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Western Region\WUTC\WUTC-LeMay\Dump Fee\2180 PCR\DF 3-1-2022\"/>
    </mc:Choice>
  </mc:AlternateContent>
  <bookViews>
    <workbookView xWindow="195" yWindow="180" windowWidth="13380" windowHeight="6795" tabRatio="815"/>
  </bookViews>
  <sheets>
    <sheet name="References" sheetId="4" r:id="rId1"/>
    <sheet name="DF Calculation" sheetId="7" r:id="rId2"/>
    <sheet name="Mapping" sheetId="17" r:id="rId3"/>
    <sheet name="To Populate Tariff" sheetId="22" r:id="rId4"/>
    <sheet name="Interject_LastPulledValues" sheetId="32" state="hidden" r:id="rId5"/>
    <sheet name="Disposal Schedule" sheetId="29" r:id="rId6"/>
    <sheet name="2180 (Reg.) - Price Out 2020" sheetId="26" r:id="rId7"/>
    <sheet name="2180 (Reg EA.) - Price Out 2020" sheetId="27" r:id="rId8"/>
    <sheet name="2180 (JBLM Housing) -Price 2020" sheetId="28"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D" localSheetId="5">#REF!</definedName>
    <definedName name="\D">#REF!</definedName>
    <definedName name="\S" localSheetId="5">#REF!</definedName>
    <definedName name="\S">#REF!</definedName>
    <definedName name="\Y" localSheetId="5">#REF!</definedName>
    <definedName name="\Y">#REF!</definedName>
    <definedName name="_____________CYA1">[1]Hidden!$N$11</definedName>
    <definedName name="_____________CYA10">[1]Hidden!$E$11</definedName>
    <definedName name="_____________CYA11">[1]Hidden!$P$11</definedName>
    <definedName name="_____________CYA2">[1]Hidden!$M$11</definedName>
    <definedName name="_____________CYA3">[1]Hidden!$L$11</definedName>
    <definedName name="_____________CYA4">[1]Hidden!$K$11</definedName>
    <definedName name="_____________CYA5">[1]Hidden!$J$11</definedName>
    <definedName name="_____________CYA6">[1]Hidden!$I$11</definedName>
    <definedName name="_____________CYA7">[1]Hidden!$H$11</definedName>
    <definedName name="_____________CYA8">[1]Hidden!$G$11</definedName>
    <definedName name="_____________CYA9">[1]Hidden!$F$11</definedName>
    <definedName name="_____________LYA12">[1]Hidden!$O$11</definedName>
    <definedName name="____________CYA1">[1]Hidden!$N$11</definedName>
    <definedName name="____________CYA10">[1]Hidden!$E$11</definedName>
    <definedName name="____________CYA11">[1]Hidden!$P$11</definedName>
    <definedName name="____________CYA2">[1]Hidden!$M$11</definedName>
    <definedName name="____________CYA3">[1]Hidden!$L$11</definedName>
    <definedName name="____________CYA4">[1]Hidden!$K$11</definedName>
    <definedName name="____________CYA5">[1]Hidden!$J$11</definedName>
    <definedName name="____________CYA6">[1]Hidden!$I$11</definedName>
    <definedName name="____________CYA7">[1]Hidden!$H$11</definedName>
    <definedName name="____________CYA8">[1]Hidden!$G$11</definedName>
    <definedName name="____________CYA9">[1]Hidden!$F$11</definedName>
    <definedName name="____________LYA12">[1]Hidden!$O$11</definedName>
    <definedName name="___________CYA1">[1]Hidden!$N$11</definedName>
    <definedName name="___________CYA10">[1]Hidden!$E$11</definedName>
    <definedName name="___________CYA11">[1]Hidden!$P$11</definedName>
    <definedName name="___________CYA2">[1]Hidden!$M$11</definedName>
    <definedName name="___________CYA3">[1]Hidden!$L$11</definedName>
    <definedName name="___________CYA4">[1]Hidden!$K$11</definedName>
    <definedName name="___________CYA5">[1]Hidden!$J$11</definedName>
    <definedName name="___________CYA6">[1]Hidden!$I$11</definedName>
    <definedName name="___________CYA7">[1]Hidden!$H$11</definedName>
    <definedName name="___________CYA8">[1]Hidden!$G$11</definedName>
    <definedName name="___________CYA9">[1]Hidden!$F$11</definedName>
    <definedName name="___________LYA12">[1]Hidden!$O$11</definedName>
    <definedName name="__________CYA1">[1]Hidden!$N$11</definedName>
    <definedName name="__________CYA10">[1]Hidden!$E$11</definedName>
    <definedName name="__________CYA11">[1]Hidden!$P$11</definedName>
    <definedName name="__________CYA2">[1]Hidden!$M$11</definedName>
    <definedName name="__________CYA3">[1]Hidden!$L$11</definedName>
    <definedName name="__________CYA4">[1]Hidden!$K$11</definedName>
    <definedName name="__________CYA5">[1]Hidden!$J$11</definedName>
    <definedName name="__________CYA6">[1]Hidden!$I$11</definedName>
    <definedName name="__________CYA7">[1]Hidden!$H$11</definedName>
    <definedName name="__________CYA8">[1]Hidden!$G$11</definedName>
    <definedName name="__________CYA9">[1]Hidden!$F$11</definedName>
    <definedName name="__________LYA12">[1]Hidden!$O$11</definedName>
    <definedName name="_________CYA1">[1]Hidden!$N$11</definedName>
    <definedName name="_________CYA10">[1]Hidden!$E$11</definedName>
    <definedName name="_________CYA11">[1]Hidden!$P$11</definedName>
    <definedName name="_________CYA2">[1]Hidden!$M$11</definedName>
    <definedName name="_________CYA3">[1]Hidden!$L$11</definedName>
    <definedName name="_________CYA4">[1]Hidden!$K$11</definedName>
    <definedName name="_________CYA5">[1]Hidden!$J$11</definedName>
    <definedName name="_________CYA6">[1]Hidden!$I$11</definedName>
    <definedName name="_________CYA7">[1]Hidden!$H$11</definedName>
    <definedName name="_________CYA8">[1]Hidden!$G$11</definedName>
    <definedName name="_________CYA9">[1]Hidden!$F$11</definedName>
    <definedName name="_________LYA12">[1]Hidden!$O$11</definedName>
    <definedName name="________CYA1">[1]Hidden!$N$11</definedName>
    <definedName name="________CYA10">[1]Hidden!$E$11</definedName>
    <definedName name="________CYA11">[1]Hidden!$P$11</definedName>
    <definedName name="________CYA2">[1]Hidden!$M$11</definedName>
    <definedName name="________CYA3">[1]Hidden!$L$11</definedName>
    <definedName name="________CYA4">[1]Hidden!$K$11</definedName>
    <definedName name="________CYA5">[1]Hidden!$J$11</definedName>
    <definedName name="________CYA6">[1]Hidden!$I$11</definedName>
    <definedName name="________CYA7">[1]Hidden!$H$11</definedName>
    <definedName name="________CYA8">[1]Hidden!$G$11</definedName>
    <definedName name="________CYA9">[1]Hidden!$F$11</definedName>
    <definedName name="________LYA12">[1]Hidden!$O$11</definedName>
    <definedName name="_______CYA1">[1]Hidden!$N$11</definedName>
    <definedName name="_______CYA10">[1]Hidden!$E$11</definedName>
    <definedName name="_______CYA11">[1]Hidden!$P$11</definedName>
    <definedName name="_______CYA2">[1]Hidden!$M$11</definedName>
    <definedName name="_______CYA3">[1]Hidden!$L$11</definedName>
    <definedName name="_______CYA4">[1]Hidden!$K$11</definedName>
    <definedName name="_______CYA5">[1]Hidden!$J$11</definedName>
    <definedName name="_______CYA6">[1]Hidden!$I$11</definedName>
    <definedName name="_______CYA7">[1]Hidden!$H$11</definedName>
    <definedName name="_______CYA8">[1]Hidden!$G$11</definedName>
    <definedName name="_______CYA9">[1]Hidden!$F$11</definedName>
    <definedName name="_______LYA12">[1]Hidden!$O$11</definedName>
    <definedName name="______CYA1">[1]Hidden!$N$11</definedName>
    <definedName name="______CYA10">[1]Hidden!$E$11</definedName>
    <definedName name="______CYA11">[1]Hidden!$P$11</definedName>
    <definedName name="______CYA2">[1]Hidden!$M$11</definedName>
    <definedName name="______CYA3">[1]Hidden!$L$11</definedName>
    <definedName name="______CYA4">[1]Hidden!$K$11</definedName>
    <definedName name="______CYA5">[1]Hidden!$J$11</definedName>
    <definedName name="______CYA6">[1]Hidden!$I$11</definedName>
    <definedName name="______CYA7">[1]Hidden!$H$11</definedName>
    <definedName name="______CYA8">[1]Hidden!$G$11</definedName>
    <definedName name="______CYA9">[1]Hidden!$F$11</definedName>
    <definedName name="______LYA12">[1]Hidden!$O$11</definedName>
    <definedName name="_____CYA1">[1]Hidden!$N$11</definedName>
    <definedName name="_____CYA10">[1]Hidden!$E$11</definedName>
    <definedName name="_____CYA11">[1]Hidden!$P$11</definedName>
    <definedName name="_____CYA2">[1]Hidden!$M$11</definedName>
    <definedName name="_____CYA3">[1]Hidden!$L$11</definedName>
    <definedName name="_____CYA4">[1]Hidden!$K$11</definedName>
    <definedName name="_____CYA5">[1]Hidden!$J$11</definedName>
    <definedName name="_____CYA6">[1]Hidden!$I$11</definedName>
    <definedName name="_____CYA7">[1]Hidden!$H$11</definedName>
    <definedName name="_____CYA8">[1]Hidden!$G$11</definedName>
    <definedName name="_____CYA9">[1]Hidden!$F$11</definedName>
    <definedName name="_____LYA12">[1]Hidden!$O$11</definedName>
    <definedName name="____CYA1">[1]Hidden!$N$11</definedName>
    <definedName name="____CYA10">[1]Hidden!$E$11</definedName>
    <definedName name="____CYA11">[1]Hidden!$P$11</definedName>
    <definedName name="____CYA2">[1]Hidden!$M$11</definedName>
    <definedName name="____CYA3">[1]Hidden!$L$11</definedName>
    <definedName name="____CYA4">[1]Hidden!$K$11</definedName>
    <definedName name="____CYA5">[1]Hidden!$J$11</definedName>
    <definedName name="____CYA6">[1]Hidden!$I$11</definedName>
    <definedName name="____CYA7">[1]Hidden!$H$11</definedName>
    <definedName name="____CYA8">[1]Hidden!$G$11</definedName>
    <definedName name="____CYA9">[1]Hidden!$F$11</definedName>
    <definedName name="____LYA12">[1]Hidden!$O$11</definedName>
    <definedName name="___CYA1">[1]Hidden!$N$11</definedName>
    <definedName name="___CYA10">[1]Hidden!$E$11</definedName>
    <definedName name="___CYA11">[1]Hidden!$P$11</definedName>
    <definedName name="___CYA2">[1]Hidden!$M$11</definedName>
    <definedName name="___CYA3">[1]Hidden!$L$11</definedName>
    <definedName name="___CYA4">[1]Hidden!$K$11</definedName>
    <definedName name="___CYA5">[1]Hidden!$J$11</definedName>
    <definedName name="___CYA6">[1]Hidden!$I$11</definedName>
    <definedName name="___CYA7">[1]Hidden!$H$11</definedName>
    <definedName name="___CYA8">[1]Hidden!$G$11</definedName>
    <definedName name="___CYA9">[1]Hidden!$F$11</definedName>
    <definedName name="___LYA12">[1]Hidden!$O$11</definedName>
    <definedName name="__CYA1">[1]Hidden!$N$11</definedName>
    <definedName name="__CYA10">[1]Hidden!$E$11</definedName>
    <definedName name="__CYA11">[1]Hidden!$P$11</definedName>
    <definedName name="__CYA2">[1]Hidden!$M$11</definedName>
    <definedName name="__CYA3">[1]Hidden!$L$11</definedName>
    <definedName name="__CYA4">[1]Hidden!$K$11</definedName>
    <definedName name="__CYA5">[1]Hidden!$J$11</definedName>
    <definedName name="__CYA6">[1]Hidden!$I$11</definedName>
    <definedName name="__CYA7">[1]Hidden!$H$11</definedName>
    <definedName name="__CYA8">[1]Hidden!$G$11</definedName>
    <definedName name="__CYA9">[1]Hidden!$F$11</definedName>
    <definedName name="__LYA12">[1]Hidden!$O$11</definedName>
    <definedName name="_123Graph_g" hidden="1">'[2]#REF'!$F$9:$F$83</definedName>
    <definedName name="_132" hidden="1">[3]XXXXXX!$B$10:$B$10</definedName>
    <definedName name="_132Graph_h" localSheetId="7" hidden="1">#REF!</definedName>
    <definedName name="_132Graph_h" localSheetId="5" hidden="1">#REF!</definedName>
    <definedName name="_132Graph_h" hidden="1">#REF!</definedName>
    <definedName name="_ACT1" localSheetId="7">[4]Hidden!#REF!</definedName>
    <definedName name="_ACT1" localSheetId="5">[5]Hidden!#REF!</definedName>
    <definedName name="_ACT1">[5]Hidden!#REF!</definedName>
    <definedName name="_ACT2" localSheetId="7">[4]Hidden!#REF!</definedName>
    <definedName name="_ACT2" localSheetId="5">[5]Hidden!#REF!</definedName>
    <definedName name="_ACT2">[5]Hidden!#REF!</definedName>
    <definedName name="_ACT3" localSheetId="7">[4]Hidden!#REF!</definedName>
    <definedName name="_ACT3" localSheetId="5">[5]Hidden!#REF!</definedName>
    <definedName name="_ACT3">[5]Hidden!#REF!</definedName>
    <definedName name="_COS1" localSheetId="7">#REF!</definedName>
    <definedName name="_COS1" localSheetId="5">#REF!</definedName>
    <definedName name="_COS1">#REF!</definedName>
    <definedName name="_COS2" localSheetId="7">#REF!</definedName>
    <definedName name="_COS2" localSheetId="5">#REF!</definedName>
    <definedName name="_COS2">#REF!</definedName>
    <definedName name="_CYA1">[1]Hidden!$N$11</definedName>
    <definedName name="_CYA10">[1]Hidden!$E$11</definedName>
    <definedName name="_CYA11">[1]Hidden!$P$11</definedName>
    <definedName name="_CYA2">[1]Hidden!$M$11</definedName>
    <definedName name="_CYA3">[1]Hidden!$L$11</definedName>
    <definedName name="_CYA4">[1]Hidden!$K$11</definedName>
    <definedName name="_CYA5">[1]Hidden!$J$11</definedName>
    <definedName name="_CYA6">[1]Hidden!$I$11</definedName>
    <definedName name="_CYA7">[1]Hidden!$H$11</definedName>
    <definedName name="_CYA8">[1]Hidden!$G$11</definedName>
    <definedName name="_CYA9">[1]Hidden!$F$11</definedName>
    <definedName name="_Fill" localSheetId="7" hidden="1">#REF!</definedName>
    <definedName name="_Fill" localSheetId="5" hidden="1">#REF!</definedName>
    <definedName name="_Fill" hidden="1">#REF!</definedName>
    <definedName name="_xlnm._FilterDatabase" localSheetId="7" hidden="1">'2180 (Reg EA.) - Price Out 2020'!#REF!</definedName>
    <definedName name="_xlnm._FilterDatabase" localSheetId="6" hidden="1">'2180 (Reg.) - Price Out 2020'!#REF!</definedName>
    <definedName name="_xlnm._FilterDatabase" localSheetId="2" hidden="1">Mapping!$A$1:$N$86</definedName>
    <definedName name="_xlnm._FilterDatabase" localSheetId="3" hidden="1">'To Populate Tariff'!$A$1:$F$105</definedName>
    <definedName name="_Key1" localSheetId="7" hidden="1">#REF!</definedName>
    <definedName name="_Key1" localSheetId="5" hidden="1">#REF!</definedName>
    <definedName name="_Key1" hidden="1">#REF!</definedName>
    <definedName name="_Key2" hidden="1">'[2]#REF'!$D$12</definedName>
    <definedName name="_key5" hidden="1">[3]XXXXXX!$H$10</definedName>
    <definedName name="_LYA12">[1]Hidden!$O$11</definedName>
    <definedName name="_max" localSheetId="7" hidden="1">#REF!</definedName>
    <definedName name="_max" localSheetId="5" hidden="1">#REF!</definedName>
    <definedName name="_max" hidden="1">#REF!</definedName>
    <definedName name="_Mon" localSheetId="7" hidden="1">#REF!</definedName>
    <definedName name="_Mon" localSheetId="5" hidden="1">#REF!</definedName>
    <definedName name="_Mon" hidden="1">#REF!</definedName>
    <definedName name="_Order1" hidden="1">255</definedName>
    <definedName name="_Order2" hidden="1">255</definedName>
    <definedName name="_Order3" hidden="1">0</definedName>
    <definedName name="_Sort" localSheetId="7" hidden="1">#REF!</definedName>
    <definedName name="_Sort" localSheetId="5" hidden="1">#REF!</definedName>
    <definedName name="_Sort" hidden="1">#REF!</definedName>
    <definedName name="_Sort1" hidden="1">'[2]#REF'!$A$10:$Z$281</definedName>
    <definedName name="_sort3" hidden="1">[3]XXXXXX!$G$10:$J$11</definedName>
    <definedName name="a" localSheetId="7">#REF!</definedName>
    <definedName name="a" localSheetId="5">#REF!</definedName>
    <definedName name="a">#REF!</definedName>
    <definedName name="Accounts" localSheetId="5">#REF!</definedName>
    <definedName name="Accounts">#REF!</definedName>
    <definedName name="ACCT" localSheetId="5">[5]Hidden!#REF!</definedName>
    <definedName name="ACCT">[5]Hidden!#REF!</definedName>
    <definedName name="ACCT.ConsolSum">[1]Hidden!$Q$11</definedName>
    <definedName name="ACT_CUR" localSheetId="7">[4]Hidden!#REF!</definedName>
    <definedName name="ACT_CUR" localSheetId="5">[5]Hidden!#REF!</definedName>
    <definedName name="ACT_CUR">[5]Hidden!#REF!</definedName>
    <definedName name="ACT_YTD" localSheetId="7">[4]Hidden!#REF!</definedName>
    <definedName name="ACT_YTD" localSheetId="5">[5]Hidden!#REF!</definedName>
    <definedName name="ACT_YTD">[5]Hidden!#REF!</definedName>
    <definedName name="afsdfsdfsd" localSheetId="7">#REF!</definedName>
    <definedName name="afsdfsdfsd" localSheetId="5">#REF!</definedName>
    <definedName name="afsdfsdfsd">#REF!</definedName>
    <definedName name="AmountCount" localSheetId="7">#REF!</definedName>
    <definedName name="AmountCount" localSheetId="5">#REF!</definedName>
    <definedName name="AmountCount">#REF!</definedName>
    <definedName name="AmountCount1" localSheetId="5">#REF!</definedName>
    <definedName name="AmountCount1">#REF!</definedName>
    <definedName name="AmountFrom" localSheetId="5">#REF!</definedName>
    <definedName name="AmountFrom">#REF!</definedName>
    <definedName name="AmountTo" localSheetId="5">#REF!</definedName>
    <definedName name="AmountTo">#REF!</definedName>
    <definedName name="AmountTotal" localSheetId="7">#REF!</definedName>
    <definedName name="AmountTotal" localSheetId="5">#REF!</definedName>
    <definedName name="AmountTotal">#REF!</definedName>
    <definedName name="AmountTotal1" localSheetId="5">#REF!</definedName>
    <definedName name="AmountTotal1">#REF!</definedName>
    <definedName name="BookRev">'[6]Pacific Regulated - Price Out'!$F$50</definedName>
    <definedName name="BookRev_com">'[6]Pacific Regulated - Price Out'!$F$214</definedName>
    <definedName name="BookRev_mfr">'[6]Pacific Regulated - Price Out'!$F$222</definedName>
    <definedName name="BookRev_ro">'[6]Pacific Regulated - Price Out'!$F$282</definedName>
    <definedName name="BookRev_rr">'[6]Pacific Regulated - Price Out'!$F$59</definedName>
    <definedName name="BookRev_yw">'[6]Pacific Regulated - Price Out'!$F$70</definedName>
    <definedName name="BREMAIR_COST_of_SERVICE_STUDY" localSheetId="7">#REF!</definedName>
    <definedName name="BREMAIR_COST_of_SERVICE_STUDY" localSheetId="5">#REF!</definedName>
    <definedName name="BREMAIR_COST_of_SERVICE_STUDY">#REF!</definedName>
    <definedName name="BUD_CUR" localSheetId="7">[4]Hidden!#REF!</definedName>
    <definedName name="BUD_CUR" localSheetId="5">[5]Hidden!#REF!</definedName>
    <definedName name="BUD_CUR">[5]Hidden!#REF!</definedName>
    <definedName name="BUD_YTD" localSheetId="7">[4]Hidden!#REF!</definedName>
    <definedName name="BUD_YTD" localSheetId="5">[5]Hidden!#REF!</definedName>
    <definedName name="BUD_YTD">[5]Hidden!#REF!</definedName>
    <definedName name="CalRecyTons">'[7]Recycl Tons, Commodity Value'!$L$23</definedName>
    <definedName name="CheckTotals" localSheetId="7">#REF!</definedName>
    <definedName name="CheckTotals" localSheetId="5">#REF!</definedName>
    <definedName name="CheckTotals">#REF!</definedName>
    <definedName name="colgroup">[1]Orientation!$G$6</definedName>
    <definedName name="colsegment">[1]Orientation!$F$6</definedName>
    <definedName name="CommlStaffPriceOut" localSheetId="7">'[8]Price Out-Reg EASTSIDE-Resi'!#REF!</definedName>
    <definedName name="CommlStaffPriceOut" localSheetId="5">'[8]Price Out-Reg EASTSIDE-Resi'!#REF!</definedName>
    <definedName name="CommlStaffPriceOut">'[8]Price Out-Reg EASTSIDE-Resi'!#REF!</definedName>
    <definedName name="COST_OF_SERVICE_STUDY" localSheetId="7">#REF!</definedName>
    <definedName name="COST_OF_SERVICE_STUDY" localSheetId="5">#REF!</definedName>
    <definedName name="COST_OF_SERVICE_STUDY">#REF!</definedName>
    <definedName name="CRCTable" localSheetId="7">#REF!</definedName>
    <definedName name="CRCTable" localSheetId="5">#REF!</definedName>
    <definedName name="CRCTable">#REF!</definedName>
    <definedName name="CRCTableOLD" localSheetId="7">#REF!</definedName>
    <definedName name="CRCTableOLD" localSheetId="5">#REF!</definedName>
    <definedName name="CRCTableOLD">#REF!</definedName>
    <definedName name="CriteriaType">[9]ControlPanel!$Z$2:$Z$5</definedName>
    <definedName name="CurrentMonth" localSheetId="5">#REF!</definedName>
    <definedName name="CurrentMonth">#REF!</definedName>
    <definedName name="Cutomers" localSheetId="7">#REF!</definedName>
    <definedName name="Cutomers" localSheetId="5">#REF!</definedName>
    <definedName name="Cutomers">#REF!</definedName>
    <definedName name="_xlnm.Database" localSheetId="7">#REF!</definedName>
    <definedName name="_xlnm.Database" localSheetId="5">#REF!</definedName>
    <definedName name="_xlnm.Database">#REF!</definedName>
    <definedName name="Database1" localSheetId="7">#REF!</definedName>
    <definedName name="Database1" localSheetId="5">#REF!</definedName>
    <definedName name="Database1">#REF!</definedName>
    <definedName name="DateFrom" localSheetId="5">#REF!</definedName>
    <definedName name="DateFrom">#REF!</definedName>
    <definedName name="DateTo" localSheetId="5">#REF!</definedName>
    <definedName name="DateTo">#REF!</definedName>
    <definedName name="DBxStaffPriceOut" localSheetId="7">'[8]Price Out-Reg EASTSIDE-Resi'!#REF!</definedName>
    <definedName name="DBxStaffPriceOut" localSheetId="5">'[8]Price Out-Reg EASTSIDE-Resi'!#REF!</definedName>
    <definedName name="DBxStaffPriceOut">'[8]Price Out-Reg EASTSIDE-Resi'!#REF!</definedName>
    <definedName name="DEPT" localSheetId="7">[4]Hidden!#REF!</definedName>
    <definedName name="DEPT" localSheetId="5">[5]Hidden!#REF!</definedName>
    <definedName name="DEPT">[5]Hidden!#REF!</definedName>
    <definedName name="Dist">[10]Data!$E$3</definedName>
    <definedName name="District" localSheetId="7">'[11]Vashon BS'!#REF!</definedName>
    <definedName name="District" localSheetId="5">'[12]Vashon BS'!#REF!</definedName>
    <definedName name="District">'[12]Vashon BS'!#REF!</definedName>
    <definedName name="DistrictNum" localSheetId="7">#REF!</definedName>
    <definedName name="DistrictNum" localSheetId="5">#REF!</definedName>
    <definedName name="DistrictNum">#REF!</definedName>
    <definedName name="Districts" localSheetId="5">#REF!</definedName>
    <definedName name="Districts">#REF!</definedName>
    <definedName name="dOG" localSheetId="7">#REF!</definedName>
    <definedName name="dOG" localSheetId="5">#REF!</definedName>
    <definedName name="dOG">#REF!</definedName>
    <definedName name="drlFilter">[1]Settings!$D$27</definedName>
    <definedName name="End" localSheetId="7">#REF!</definedName>
    <definedName name="End" localSheetId="5">#REF!</definedName>
    <definedName name="End">#REF!</definedName>
    <definedName name="EntrieShownLimit" localSheetId="5">#REF!</definedName>
    <definedName name="EntrieShownLimit">#REF!</definedName>
    <definedName name="ExcludeIC" localSheetId="7">'[13]2009 BS'!#REF!</definedName>
    <definedName name="ExcludeIC" localSheetId="5">'[12]Vashon BS'!#REF!</definedName>
    <definedName name="ExcludeIC">'[12]Vashon BS'!#REF!</definedName>
    <definedName name="ExpensesPF1" localSheetId="7">#REF!</definedName>
    <definedName name="ExpensesPF1" localSheetId="5">#REF!</definedName>
    <definedName name="ExpensesPF1">#REF!</definedName>
    <definedName name="EXT" localSheetId="7">#REF!</definedName>
    <definedName name="EXT" localSheetId="5">#REF!</definedName>
    <definedName name="EXT">#REF!</definedName>
    <definedName name="FBTable" localSheetId="7">#REF!</definedName>
    <definedName name="FBTable" localSheetId="5">#REF!</definedName>
    <definedName name="FBTable">#REF!</definedName>
    <definedName name="FBTableOld" localSheetId="7">#REF!</definedName>
    <definedName name="FBTableOld" localSheetId="5">#REF!</definedName>
    <definedName name="FBTableOld">#REF!</definedName>
    <definedName name="filter">[1]Settings!$B$14:$H$25</definedName>
    <definedName name="FromMonth" localSheetId="5">#REF!</definedName>
    <definedName name="FromMonth">#REF!</definedName>
    <definedName name="FundsApprPend" localSheetId="7">[14]Data!#REF!</definedName>
    <definedName name="FundsApprPend" localSheetId="5">[10]Data!#REF!</definedName>
    <definedName name="FundsApprPend">[10]Data!#REF!</definedName>
    <definedName name="FundsBudUnbud" localSheetId="7">[14]Data!#REF!</definedName>
    <definedName name="FundsBudUnbud" localSheetId="5">[10]Data!#REF!</definedName>
    <definedName name="FundsBudUnbud">[10]Data!#REF!</definedName>
    <definedName name="GLMappingStart" localSheetId="7">#REF!</definedName>
    <definedName name="GLMappingStart" localSheetId="5">#REF!</definedName>
    <definedName name="GLMappingStart">#REF!</definedName>
    <definedName name="GLMappingStart1" localSheetId="5">#REF!</definedName>
    <definedName name="GLMappingStart1">#REF!</definedName>
    <definedName name="Import_Range" localSheetId="7">[14]Data!#REF!</definedName>
    <definedName name="Import_Range" localSheetId="5">[10]Data!#REF!</definedName>
    <definedName name="Import_Range">[10]Data!#REF!</definedName>
    <definedName name="IncomeStmnt" localSheetId="7">#REF!</definedName>
    <definedName name="IncomeStmnt" localSheetId="5">#REF!</definedName>
    <definedName name="IncomeStmnt">#REF!</definedName>
    <definedName name="INPUT" localSheetId="7">#REF!</definedName>
    <definedName name="INPUT" localSheetId="5">#REF!</definedName>
    <definedName name="INPUT">#REF!</definedName>
    <definedName name="INPUTc" localSheetId="7">#REF!</definedName>
    <definedName name="INPUTc" localSheetId="5">#REF!</definedName>
    <definedName name="INPUTc">#REF!</definedName>
    <definedName name="Insurance" localSheetId="7">#REF!</definedName>
    <definedName name="Insurance" localSheetId="5">#REF!</definedName>
    <definedName name="Insurance">#REF!</definedName>
    <definedName name="Interject_LastPulledValues_BalanceRange" localSheetId="5">Interject_LastPulledValues!$A$3:$I$3</definedName>
    <definedName name="Interject_LastPulledValues_BalanceRange">#REF!</definedName>
    <definedName name="Interject_LastPulledValues_DescriptionRange" localSheetId="5">Interject_LastPulledValues!$K$3:$N$3</definedName>
    <definedName name="Interject_LastPulledValues_DescriptionRange">#REF!</definedName>
    <definedName name="Interject_LastPulledValues_LastChangeGUID" localSheetId="5">Interject_LastPulledValues!$Q$1</definedName>
    <definedName name="Interject_LastPulledValues_LastChangeGUID">#REF!</definedName>
    <definedName name="Interject_LastPulledValues_PreviousLastChangeGUID" localSheetId="5">Interject_LastPulledValues!$Q$2</definedName>
    <definedName name="Interject_LastPulledValues_PreviousLastChangeGUID">#REF!</definedName>
    <definedName name="Invoice_Start" localSheetId="7">[14]Invoice_Drill!#REF!</definedName>
    <definedName name="Invoice_Start" localSheetId="5">[10]Invoice_Drill!#REF!</definedName>
    <definedName name="Invoice_Start">[10]Invoice_Drill!#REF!</definedName>
    <definedName name="JEDetail" localSheetId="7">#REF!</definedName>
    <definedName name="JEDetail" localSheetId="5">#REF!</definedName>
    <definedName name="JEDetail">#REF!</definedName>
    <definedName name="JEDetail1" localSheetId="5">#REF!</definedName>
    <definedName name="JEDetail1">#REF!</definedName>
    <definedName name="JEType" localSheetId="7">#REF!</definedName>
    <definedName name="JEType" localSheetId="5">#REF!</definedName>
    <definedName name="JEType">#REF!</definedName>
    <definedName name="JEType1" localSheetId="5">#REF!</definedName>
    <definedName name="JEType1">#REF!</definedName>
    <definedName name="lblBillAreaStatus" localSheetId="7">#REF!</definedName>
    <definedName name="lblBillAreaStatus" localSheetId="5">#REF!</definedName>
    <definedName name="lblBillAreaStatus">#REF!</definedName>
    <definedName name="lblBillCycleStatus" localSheetId="7">#REF!</definedName>
    <definedName name="lblBillCycleStatus" localSheetId="5">#REF!</definedName>
    <definedName name="lblBillCycleStatus">#REF!</definedName>
    <definedName name="lblCategoryStatus" localSheetId="7">#REF!</definedName>
    <definedName name="lblCategoryStatus" localSheetId="5">#REF!</definedName>
    <definedName name="lblCategoryStatus">#REF!</definedName>
    <definedName name="lblCompanyStatus" localSheetId="7">#REF!</definedName>
    <definedName name="lblCompanyStatus" localSheetId="5">#REF!</definedName>
    <definedName name="lblCompanyStatus">#REF!</definedName>
    <definedName name="lblDatabaseStatus" localSheetId="7">#REF!</definedName>
    <definedName name="lblDatabaseStatus" localSheetId="5">#REF!</definedName>
    <definedName name="lblDatabaseStatus">#REF!</definedName>
    <definedName name="lblPullStatus" localSheetId="7">#REF!</definedName>
    <definedName name="lblPullStatus" localSheetId="5">#REF!</definedName>
    <definedName name="lblPullStatus">#REF!</definedName>
    <definedName name="lllllllllllllllllllll" localSheetId="7">#REF!</definedName>
    <definedName name="lllllllllllllllllllll" localSheetId="5">#REF!</definedName>
    <definedName name="lllllllllllllllllllll">#REF!</definedName>
    <definedName name="LOB">[15]DropDownRanges!$B$4:$B$37</definedName>
    <definedName name="MainDataEnd" localSheetId="7">#REF!</definedName>
    <definedName name="MainDataEnd" localSheetId="5">#REF!</definedName>
    <definedName name="MainDataEnd">#REF!</definedName>
    <definedName name="MainDataStart" localSheetId="7">#REF!</definedName>
    <definedName name="MainDataStart" localSheetId="5">#REF!</definedName>
    <definedName name="MainDataStart">#REF!</definedName>
    <definedName name="MapKeyStart" localSheetId="7">#REF!</definedName>
    <definedName name="MapKeyStart" localSheetId="5">#REF!</definedName>
    <definedName name="MapKeyStart">#REF!</definedName>
    <definedName name="master_def" localSheetId="7">#REF!</definedName>
    <definedName name="master_def" localSheetId="5">#REF!</definedName>
    <definedName name="master_def">#REF!</definedName>
    <definedName name="MATRIX" localSheetId="7">#REF!</definedName>
    <definedName name="MATRIX" localSheetId="5">#REF!</definedName>
    <definedName name="MATRIX">#REF!</definedName>
    <definedName name="MemoAttachment" localSheetId="7">#REF!</definedName>
    <definedName name="MemoAttachment" localSheetId="5">#REF!</definedName>
    <definedName name="MemoAttachment">#REF!</definedName>
    <definedName name="MetaSet">[1]Orientation!$C$22</definedName>
    <definedName name="MFStaffPriceOut" localSheetId="7">'[8]Price Out-Reg EASTSIDE-Resi'!#REF!</definedName>
    <definedName name="MFStaffPriceOut" localSheetId="5">'[8]Price Out-Reg EASTSIDE-Resi'!#REF!</definedName>
    <definedName name="MFStaffPriceOut">'[8]Price Out-Reg EASTSIDE-Resi'!#REF!</definedName>
    <definedName name="MILTON" localSheetId="5">#REF!</definedName>
    <definedName name="MILTON">#REF!</definedName>
    <definedName name="MonthList">'[10]Lookup Tables'!$A$1:$A$13</definedName>
    <definedName name="NewLob">[15]DropDownRanges!$B$4:$B$37</definedName>
    <definedName name="NewOnlyOrg">#N/A</definedName>
    <definedName name="NewSource">[15]DropDownRanges!$D$4:$D$7</definedName>
    <definedName name="nn" localSheetId="7">#REF!</definedName>
    <definedName name="nn" localSheetId="5">#REF!</definedName>
    <definedName name="nn">#REF!</definedName>
    <definedName name="NOTES" localSheetId="7">#REF!</definedName>
    <definedName name="NOTES" localSheetId="5">#REF!</definedName>
    <definedName name="NOTES">#REF!</definedName>
    <definedName name="NR" localSheetId="7">#REF!</definedName>
    <definedName name="NR" localSheetId="5">#REF!</definedName>
    <definedName name="NR">#REF!</definedName>
    <definedName name="OfficerSalary">#N/A</definedName>
    <definedName name="OffsetAcctBil">[16]JEexport!$L$10</definedName>
    <definedName name="OffsetAcctPmt">[16]JEexport!$L$9</definedName>
    <definedName name="Org11_13">#N/A</definedName>
    <definedName name="Org7_10">#N/A</definedName>
    <definedName name="p" localSheetId="7">#REF!</definedName>
    <definedName name="p" localSheetId="5">#REF!</definedName>
    <definedName name="p">#REF!</definedName>
    <definedName name="PAGE_1" localSheetId="7">#REF!</definedName>
    <definedName name="PAGE_1" localSheetId="5">#REF!</definedName>
    <definedName name="PAGE_1">#REF!</definedName>
    <definedName name="Page16" localSheetId="7">#REF!</definedName>
    <definedName name="Page16" localSheetId="5">#REF!</definedName>
    <definedName name="Page16">#REF!</definedName>
    <definedName name="Page17" localSheetId="7">#REF!</definedName>
    <definedName name="Page17" localSheetId="5">#REF!</definedName>
    <definedName name="Page17">#REF!</definedName>
    <definedName name="Page18" localSheetId="7">#REF!</definedName>
    <definedName name="Page18" localSheetId="5">#REF!</definedName>
    <definedName name="Page18">#REF!</definedName>
    <definedName name="Page7a" localSheetId="7">#REF!</definedName>
    <definedName name="Page7a" localSheetId="5">#REF!</definedName>
    <definedName name="Page7a">#REF!</definedName>
    <definedName name="pBatchID" localSheetId="7">#REF!</definedName>
    <definedName name="pBatchID" localSheetId="5">#REF!</definedName>
    <definedName name="pBatchID">#REF!</definedName>
    <definedName name="pBillArea" localSheetId="7">#REF!</definedName>
    <definedName name="pBillArea" localSheetId="5">#REF!</definedName>
    <definedName name="pBillArea">#REF!</definedName>
    <definedName name="pBillCycle" localSheetId="7">#REF!</definedName>
    <definedName name="pBillCycle" localSheetId="5">#REF!</definedName>
    <definedName name="pBillCycle">#REF!</definedName>
    <definedName name="pCategory" localSheetId="7">#REF!</definedName>
    <definedName name="pCategory" localSheetId="5">#REF!</definedName>
    <definedName name="pCategory">#REF!</definedName>
    <definedName name="pCompany" localSheetId="7">#REF!</definedName>
    <definedName name="pCompany" localSheetId="5">#REF!</definedName>
    <definedName name="pCompany">#REF!</definedName>
    <definedName name="pCustomerNumber" localSheetId="7">#REF!</definedName>
    <definedName name="pCustomerNumber" localSheetId="5">#REF!</definedName>
    <definedName name="pCustomerNumber">#REF!</definedName>
    <definedName name="pDatabase" localSheetId="7">#REF!</definedName>
    <definedName name="pDatabase" localSheetId="5">#REF!</definedName>
    <definedName name="pDatabase">#REF!</definedName>
    <definedName name="pEndPostDate" localSheetId="7">#REF!</definedName>
    <definedName name="pEndPostDate" localSheetId="5">#REF!</definedName>
    <definedName name="pEndPostDate">#REF!</definedName>
    <definedName name="Period" localSheetId="7">#REF!</definedName>
    <definedName name="Period" localSheetId="5">#REF!</definedName>
    <definedName name="Period">#REF!</definedName>
    <definedName name="pMonth" localSheetId="7">#REF!</definedName>
    <definedName name="pMonth" localSheetId="5">#REF!</definedName>
    <definedName name="pMonth">#REF!</definedName>
    <definedName name="pOnlyShowLastTranx" localSheetId="7">#REF!</definedName>
    <definedName name="pOnlyShowLastTranx" localSheetId="5">#REF!</definedName>
    <definedName name="pOnlyShowLastTranx">#REF!</definedName>
    <definedName name="Posting" localSheetId="5">#REF!</definedName>
    <definedName name="Posting">#REF!</definedName>
    <definedName name="primtbl">[1]Orientation!$C$23</definedName>
    <definedName name="_xlnm.Print_Area" localSheetId="8">'2180 (JBLM Housing) -Price 2020'!$A$1:$AJ$100</definedName>
    <definedName name="_xlnm.Print_Area" localSheetId="7">'2180 (Reg EA.) - Price Out 2020'!$A$1:$AN$285</definedName>
    <definedName name="_xlnm.Print_Area" localSheetId="6">'2180 (Reg.) - Price Out 2020'!$A$1:$AN$294</definedName>
    <definedName name="_xlnm.Print_Area" localSheetId="1">'DF Calculation'!$A$1:$R$89</definedName>
    <definedName name="_xlnm.Print_Area" localSheetId="5">'Disposal Schedule'!$A$1:$N$145</definedName>
    <definedName name="_xlnm.Print_Area" localSheetId="2">Mapping!$A$1:$N$87</definedName>
    <definedName name="_xlnm.Print_Area" localSheetId="3">'To Populate Tariff'!$A$1:$J$102</definedName>
    <definedName name="_xlnm.Print_Area">#REF!</definedName>
    <definedName name="Print_Area_MI" localSheetId="7">#REF!</definedName>
    <definedName name="Print_Area_MI" localSheetId="5">#REF!</definedName>
    <definedName name="Print_Area_MI">#REF!</definedName>
    <definedName name="Print_Area_MIc" localSheetId="7">#REF!</definedName>
    <definedName name="Print_Area_MIc" localSheetId="5">#REF!</definedName>
    <definedName name="Print_Area_MIc">#REF!</definedName>
    <definedName name="Print_Area1" localSheetId="7">#REF!</definedName>
    <definedName name="Print_Area1" localSheetId="5">#REF!</definedName>
    <definedName name="Print_Area1">#REF!</definedName>
    <definedName name="Print_Area2" localSheetId="7">#REF!</definedName>
    <definedName name="Print_Area2" localSheetId="5">#REF!</definedName>
    <definedName name="Print_Area2">#REF!</definedName>
    <definedName name="Print_Area3" localSheetId="7">#REF!</definedName>
    <definedName name="Print_Area3" localSheetId="5">#REF!</definedName>
    <definedName name="Print_Area3">#REF!</definedName>
    <definedName name="Print_Area5" localSheetId="7">#REF!</definedName>
    <definedName name="Print_Area5" localSheetId="5">#REF!</definedName>
    <definedName name="Print_Area5">#REF!</definedName>
    <definedName name="_xlnm.Print_Titles" localSheetId="8">'2180 (JBLM Housing) -Price 2020'!$1:$7</definedName>
    <definedName name="_xlnm.Print_Titles" localSheetId="7">'2180 (Reg EA.) - Price Out 2020'!$1:$7</definedName>
    <definedName name="_xlnm.Print_Titles" localSheetId="6">'2180 (Reg.) - Price Out 2020'!$1:$7</definedName>
    <definedName name="_xlnm.Print_Titles" localSheetId="1">'DF Calculation'!$1:$6</definedName>
    <definedName name="_xlnm.Print_Titles" localSheetId="5">'Disposal Schedule'!$1:$5</definedName>
    <definedName name="_xlnm.Print_Titles" localSheetId="2">Mapping!$1:$1</definedName>
    <definedName name="_xlnm.Print_Titles" localSheetId="3">'To Populate Tariff'!$1:$1</definedName>
    <definedName name="Print1" localSheetId="7">#REF!</definedName>
    <definedName name="Print1" localSheetId="5">#REF!</definedName>
    <definedName name="Print1">#REF!</definedName>
    <definedName name="Print2" localSheetId="7">#REF!</definedName>
    <definedName name="Print2" localSheetId="5">#REF!</definedName>
    <definedName name="Print2">#REF!</definedName>
    <definedName name="Print5" localSheetId="7">#REF!</definedName>
    <definedName name="Print5" localSheetId="5">#REF!</definedName>
    <definedName name="Print5">#REF!</definedName>
    <definedName name="ProRev">'[6]Pacific Regulated - Price Out'!$M$49</definedName>
    <definedName name="ProRev_com">'[6]Pacific Regulated - Price Out'!$M$213</definedName>
    <definedName name="ProRev_mfr">'[6]Pacific Regulated - Price Out'!$M$221</definedName>
    <definedName name="ProRev_ro">'[6]Pacific Regulated - Price Out'!$M$281</definedName>
    <definedName name="ProRev_rr">'[6]Pacific Regulated - Price Out'!$M$58</definedName>
    <definedName name="ProRev_yw">'[6]Pacific Regulated - Price Out'!$M$69</definedName>
    <definedName name="pServer" localSheetId="7">#REF!</definedName>
    <definedName name="pServer" localSheetId="5">#REF!</definedName>
    <definedName name="pServer">#REF!</definedName>
    <definedName name="pServiceCode" localSheetId="7">#REF!</definedName>
    <definedName name="pServiceCode" localSheetId="5">#REF!</definedName>
    <definedName name="pServiceCode">#REF!</definedName>
    <definedName name="pShowAllUnposted" localSheetId="7">#REF!</definedName>
    <definedName name="pShowAllUnposted" localSheetId="5">#REF!</definedName>
    <definedName name="pShowAllUnposted">#REF!</definedName>
    <definedName name="pShowCustomerDetail" localSheetId="7">#REF!</definedName>
    <definedName name="pShowCustomerDetail" localSheetId="5">#REF!</definedName>
    <definedName name="pShowCustomerDetail">#REF!</definedName>
    <definedName name="pSortOption" localSheetId="7">#REF!</definedName>
    <definedName name="pSortOption" localSheetId="5">#REF!</definedName>
    <definedName name="pSortOption">#REF!</definedName>
    <definedName name="pStartPostDate" localSheetId="7">#REF!</definedName>
    <definedName name="pStartPostDate" localSheetId="5">#REF!</definedName>
    <definedName name="pStartPostDate">#REF!</definedName>
    <definedName name="pTransType" localSheetId="7">#REF!</definedName>
    <definedName name="pTransType" localSheetId="5">#REF!</definedName>
    <definedName name="pTransType">#REF!</definedName>
    <definedName name="RCW_81.04.080">#N/A</definedName>
    <definedName name="RecyDisposal">#N/A</definedName>
    <definedName name="Reg_Cust_Billed_Percent">'[17]Consolidated IS 2009 2010'!$AK$20</definedName>
    <definedName name="Reg_Cust_Percent">'[17]Consolidated IS 2009 2010'!$AC$20</definedName>
    <definedName name="Reg_Drive_Percent">'[17]Consolidated IS 2009 2010'!$AC$40</definedName>
    <definedName name="Reg_Haul_Rev_Percent">'[17]Consolidated IS 2009 2010'!$Z$18</definedName>
    <definedName name="Reg_Lab_Percent">'[17]Consolidated IS 2009 2010'!$AC$39</definedName>
    <definedName name="Reg_Steel_Cont_Percent">'[17]Consolidated IS 2009 2010'!$AE$120</definedName>
    <definedName name="RegulatedIS">'[17]2009 IS'!$A$12:$Q$655</definedName>
    <definedName name="RelatedSalary">#N/A</definedName>
    <definedName name="report_type">[1]Orientation!$C$24</definedName>
    <definedName name="ReportNames">[18]ControlPanel!$S$2:$S$16</definedName>
    <definedName name="ReportVersion">[1]Settings!$D$5</definedName>
    <definedName name="ReslStaffPriceOut" localSheetId="7">'[8]Price Out-Reg EASTSIDE-Resi'!#REF!</definedName>
    <definedName name="ReslStaffPriceOut" localSheetId="5">'[8]Price Out-Reg EASTSIDE-Resi'!#REF!</definedName>
    <definedName name="ReslStaffPriceOut">'[8]Price Out-Reg EASTSIDE-Resi'!#REF!</definedName>
    <definedName name="RetainedEarnings" localSheetId="7">#REF!</definedName>
    <definedName name="RetainedEarnings" localSheetId="5">#REF!</definedName>
    <definedName name="RetainedEarnings">#REF!</definedName>
    <definedName name="RevCust" localSheetId="7">'[19]RevenuesCust, pg 8'!#REF!</definedName>
    <definedName name="RevCust" localSheetId="5">[20]RevenuesCust!#REF!</definedName>
    <definedName name="RevCust">[20]RevenuesCust!#REF!</definedName>
    <definedName name="RevCustomer" localSheetId="7">#REF!</definedName>
    <definedName name="RevCustomer" localSheetId="5">#REF!</definedName>
    <definedName name="RevCustomer">#REF!</definedName>
    <definedName name="RevenuePF1" localSheetId="7">#REF!</definedName>
    <definedName name="RevenuePF1" localSheetId="5">#REF!</definedName>
    <definedName name="RevenuePF1">#REF!</definedName>
    <definedName name="rngCreateLog">[1]Delivery!$B$12</definedName>
    <definedName name="rngFilePassword">[1]Delivery!$B$6</definedName>
    <definedName name="rngSourceTab">[1]Delivery!$E$8</definedName>
    <definedName name="rowgroup">[1]Orientation!$C$17</definedName>
    <definedName name="rowsegment">[1]Orientation!$B$17</definedName>
    <definedName name="seffasfasdfsd" localSheetId="7">[5]Hidden!#REF!</definedName>
    <definedName name="seffasfasdfsd" localSheetId="5">[5]Hidden!#REF!</definedName>
    <definedName name="seffasfasdfsd">[5]Hidden!#REF!</definedName>
    <definedName name="Sequential_Group">[1]Settings!$J$6</definedName>
    <definedName name="Sequential_Segment">[1]Settings!$I$6</definedName>
    <definedName name="Sequential_sort">[1]Settings!$I$10:$J$11</definedName>
    <definedName name="slope">'[21]LG Nonpublic 2018 V5.0'!$X$58</definedName>
    <definedName name="sortcol" localSheetId="7">#REF!</definedName>
    <definedName name="sortcol" localSheetId="5">#REF!</definedName>
    <definedName name="sortcol">#REF!</definedName>
    <definedName name="Source">[15]DropDownRanges!$D$4:$D$7</definedName>
    <definedName name="sSRCDate" localSheetId="7">'[22]Feb''12 FAR Data'!#REF!</definedName>
    <definedName name="sSRCDate" localSheetId="5">'[23]Feb''12 FAR Data'!#REF!</definedName>
    <definedName name="sSRCDate">'[23]Feb''12 FAR Data'!#REF!</definedName>
    <definedName name="SubSystems" localSheetId="5">#REF!</definedName>
    <definedName name="SubSystems">#REF!</definedName>
    <definedName name="Supplemental_filter">[1]Settings!$C$31</definedName>
    <definedName name="SWDisposal">#N/A</definedName>
    <definedName name="System">[24]BS_Close!$V$8</definedName>
    <definedName name="Systems" localSheetId="5">#REF!</definedName>
    <definedName name="Systems">#REF!</definedName>
    <definedName name="TemplateEnd" localSheetId="7">#REF!</definedName>
    <definedName name="TemplateEnd" localSheetId="5">#REF!</definedName>
    <definedName name="TemplateEnd">#REF!</definedName>
    <definedName name="TemplateStart" localSheetId="7">#REF!</definedName>
    <definedName name="TemplateStart" localSheetId="5">#REF!</definedName>
    <definedName name="TemplateStart">#REF!</definedName>
    <definedName name="TheTable" localSheetId="7">#REF!</definedName>
    <definedName name="TheTable" localSheetId="5">#REF!</definedName>
    <definedName name="TheTable">#REF!</definedName>
    <definedName name="TheTableOLD" localSheetId="7">#REF!</definedName>
    <definedName name="TheTableOLD" localSheetId="5">#REF!</definedName>
    <definedName name="TheTableOLD">#REF!</definedName>
    <definedName name="timeseries">[1]Orientation!$B$6:$C$13</definedName>
    <definedName name="ToMonth" localSheetId="5">#REF!</definedName>
    <definedName name="ToMonth">#REF!</definedName>
    <definedName name="Tons" localSheetId="7">#REF!</definedName>
    <definedName name="Tons" localSheetId="5">#REF!</definedName>
    <definedName name="Tons">#REF!</definedName>
    <definedName name="Total_Comm">'[7]Tariff Rate Sheet'!$L$214</definedName>
    <definedName name="Total_DB">'[7]Tariff Rate Sheet'!$L$278</definedName>
    <definedName name="Total_Resi">'[7]Tariff Rate Sheet'!$L$107</definedName>
    <definedName name="Transactions" localSheetId="7">#REF!</definedName>
    <definedName name="Transactions" localSheetId="5">#REF!</definedName>
    <definedName name="Transactions">#REF!</definedName>
    <definedName name="UnregulatedIS">'[17]2010 IS'!$A$12:$Q$654</definedName>
    <definedName name="VendorCode" localSheetId="5">#REF!</definedName>
    <definedName name="VendorCode">#REF!</definedName>
    <definedName name="Version" localSheetId="7">[14]Data!#REF!</definedName>
    <definedName name="Version" localSheetId="5">[10]Data!#REF!</definedName>
    <definedName name="Version">[10]Data!#REF!</definedName>
    <definedName name="wrn.PrintReview." localSheetId="5" hidden="1">{#N/A,#N/A,TRUE,"SUMM";#N/A,#N/A,TRUE,"Rev";#N/A,#N/A,TRUE,"Dir_Costs";#N/A,#N/A,TRUE,"G and A Costs";#N/A,#N/A,TRUE,"Itemize";#N/A,#N/A,TRUE,"Cust_Count1";#N/A,#N/A,TRUE,"Cust_Count2";#N/A,#N/A,TRUE,"Rev_Breakdown";#N/A,#N/A,TRUE,"Truck Hours";#N/A,#N/A,TRUE,"Labor Hours";#N/A,#N/A,TRUE,"Container Breakdown";#N/A,#N/A,TRUE,"Cart Breakdown"}</definedName>
    <definedName name="wrn.PrintReview." hidden="1">{#N/A,#N/A,TRUE,"SUMM";#N/A,#N/A,TRUE,"Rev";#N/A,#N/A,TRUE,"Dir_Costs";#N/A,#N/A,TRUE,"G and A Costs";#N/A,#N/A,TRUE,"Itemize";#N/A,#N/A,TRUE,"Cust_Count1";#N/A,#N/A,TRUE,"Cust_Count2";#N/A,#N/A,TRUE,"Rev_Breakdown";#N/A,#N/A,TRUE,"Truck Hours";#N/A,#N/A,TRUE,"Labor Hours";#N/A,#N/A,TRUE,"Container Breakdown";#N/A,#N/A,TRUE,"Cart Breakdown"}</definedName>
    <definedName name="wrn.PrintReview2" localSheetId="5" hidden="1">{#N/A,#N/A,TRUE,"SUMM";#N/A,#N/A,TRUE,"Rev";#N/A,#N/A,TRUE,"Dir_Costs";#N/A,#N/A,TRUE,"G and A Costs";#N/A,#N/A,TRUE,"Itemize";#N/A,#N/A,TRUE,"Cust_Count1";#N/A,#N/A,TRUE,"Cust_Count2";#N/A,#N/A,TRUE,"Rev_Breakdown";#N/A,#N/A,TRUE,"Truck Hours";#N/A,#N/A,TRUE,"Labor Hours";#N/A,#N/A,TRUE,"Container Breakdown";#N/A,#N/A,TRUE,"Cart Breakdown"}</definedName>
    <definedName name="wrn.PrintReview2" hidden="1">{#N/A,#N/A,TRUE,"SUMM";#N/A,#N/A,TRUE,"Rev";#N/A,#N/A,TRUE,"Dir_Costs";#N/A,#N/A,TRUE,"G and A Costs";#N/A,#N/A,TRUE,"Itemize";#N/A,#N/A,TRUE,"Cust_Count1";#N/A,#N/A,TRUE,"Cust_Count2";#N/A,#N/A,TRUE,"Rev_Breakdown";#N/A,#N/A,TRUE,"Truck Hours";#N/A,#N/A,TRUE,"Labor Hours";#N/A,#N/A,TRUE,"Container Breakdown";#N/A,#N/A,TRUE,"Cart Breakdown"}</definedName>
    <definedName name="wrn.PrnPg1_Pg11." localSheetId="5" hidden="1">{"Page1",#N/A,TRUE,"SUMM";"Page2",#N/A,TRUE,"Rev";"Page3",#N/A,TRUE,"Dir_Costs";"Page4",#N/A,TRUE,"G and A Costs";"Page5",#N/A,TRUE,"Itemize";"Page6",#N/A,TRUE,"Cust_Count1";"Page7",#N/A,TRUE,"Cust_Count2";"Page8",#N/A,TRUE,"Rev_Breakdown";"Page9",#N/A,TRUE,"Truck Hours";"Page10",#N/A,TRUE,"Labor Hours";"Page11",#N/A,TRUE,"Container Breakdown"}</definedName>
    <definedName name="wrn.PrnPg1_Pg11." hidden="1">{"Page1",#N/A,TRUE,"SUMM";"Page2",#N/A,TRUE,"Rev";"Page3",#N/A,TRUE,"Dir_Costs";"Page4",#N/A,TRUE,"G and A Costs";"Page5",#N/A,TRUE,"Itemize";"Page6",#N/A,TRUE,"Cust_Count1";"Page7",#N/A,TRUE,"Cust_Count2";"Page8",#N/A,TRUE,"Rev_Breakdown";"Page9",#N/A,TRUE,"Truck Hours";"Page10",#N/A,TRUE,"Labor Hours";"Page11",#N/A,TRUE,"Container Breakdown"}</definedName>
    <definedName name="wrn.test." localSheetId="5" hidden="1">{"Page1",#N/A,TRUE,"SUMM";"Page2",#N/A,TRUE,"Rev";"Page3",#N/A,TRUE,"Dir_Costs"}</definedName>
    <definedName name="wrn.test." hidden="1">{"Page1",#N/A,TRUE,"SUMM";"Page2",#N/A,TRUE,"Rev";"Page3",#N/A,TRUE,"Dir_Costs"}</definedName>
    <definedName name="WTable" localSheetId="7">#REF!</definedName>
    <definedName name="WTable" localSheetId="5">#REF!</definedName>
    <definedName name="WTable">#REF!</definedName>
    <definedName name="WTableOld" localSheetId="7">#REF!</definedName>
    <definedName name="WTableOld" localSheetId="5">#REF!</definedName>
    <definedName name="WTableOld">#REF!</definedName>
    <definedName name="ww" localSheetId="7">#REF!</definedName>
    <definedName name="ww" localSheetId="5">#REF!</definedName>
    <definedName name="ww">#REF!</definedName>
    <definedName name="xperiod">[1]Orientation!$G$15</definedName>
    <definedName name="xtabin" localSheetId="7">[4]Hidden!#REF!</definedName>
    <definedName name="xtabin" localSheetId="5">[5]Hidden!#REF!</definedName>
    <definedName name="xtabin">[5]Hidden!#REF!</definedName>
    <definedName name="xx" localSheetId="7">#REF!</definedName>
    <definedName name="xx" localSheetId="5">#REF!</definedName>
    <definedName name="xx">#REF!</definedName>
    <definedName name="xxx" localSheetId="7">#REF!</definedName>
    <definedName name="xxx" localSheetId="5">#REF!</definedName>
    <definedName name="xxx">#REF!</definedName>
    <definedName name="xxxx" localSheetId="7">#REF!</definedName>
    <definedName name="xxxx" localSheetId="5">#REF!</definedName>
    <definedName name="xxxx">#REF!</definedName>
    <definedName name="y_inter1">'[21]LG Nonpublic 2018 V5.0'!$W$55</definedName>
    <definedName name="y_inter2">'[21]LG Nonpublic 2018 V5.0'!$W$56</definedName>
    <definedName name="y_inter3">'[21]LG Nonpublic 2018 V5.0'!$Y$55</definedName>
    <definedName name="y_inter4">'[21]LG Nonpublic 2018 V5.0'!$Y$56</definedName>
    <definedName name="YearMonth" localSheetId="7">'[11]Vashon BS'!#REF!</definedName>
    <definedName name="YearMonth" localSheetId="5">'[12]Vashon BS'!#REF!</definedName>
    <definedName name="YearMonth">'[12]Vashon BS'!#REF!</definedName>
    <definedName name="YWMedWasteDisp">#N/A</definedName>
    <definedName name="yy" localSheetId="7">#REF!</definedName>
    <definedName name="yy" localSheetId="5">#REF!</definedName>
    <definedName name="yy">#REF!</definedName>
  </definedNames>
  <calcPr calcId="162913"/>
</workbook>
</file>

<file path=xl/calcChain.xml><?xml version="1.0" encoding="utf-8"?>
<calcChain xmlns="http://schemas.openxmlformats.org/spreadsheetml/2006/main">
  <c r="H5" i="22" l="1"/>
  <c r="H4" i="22"/>
  <c r="G102" i="22" l="1"/>
  <c r="G101" i="22"/>
  <c r="G100" i="22"/>
  <c r="G99" i="22"/>
  <c r="G98" i="22"/>
  <c r="G97" i="22"/>
  <c r="G96" i="22"/>
  <c r="G95" i="22"/>
  <c r="G94" i="22"/>
  <c r="G88" i="22"/>
  <c r="G87" i="22"/>
  <c r="G86" i="22"/>
  <c r="G85" i="22"/>
  <c r="G84" i="22"/>
  <c r="G83" i="22"/>
  <c r="G82" i="22"/>
  <c r="G81" i="22"/>
  <c r="G80" i="22"/>
  <c r="G79" i="22"/>
  <c r="G77" i="22"/>
  <c r="G76" i="22"/>
  <c r="G75" i="22"/>
  <c r="G74" i="22"/>
  <c r="G73" i="22"/>
  <c r="G72" i="22"/>
  <c r="G71" i="22"/>
  <c r="G70" i="22"/>
  <c r="G69" i="22"/>
  <c r="G68" i="22"/>
  <c r="G67" i="22"/>
  <c r="G66" i="22"/>
  <c r="G65" i="22"/>
  <c r="G64" i="22"/>
  <c r="G63" i="22"/>
  <c r="G62" i="22"/>
  <c r="G55" i="22"/>
  <c r="G54" i="22"/>
  <c r="G51" i="22"/>
  <c r="G50" i="22"/>
  <c r="G30" i="22"/>
  <c r="G29" i="22"/>
  <c r="G28" i="22"/>
  <c r="G26" i="22"/>
  <c r="G25" i="22"/>
  <c r="G24" i="22"/>
  <c r="G23" i="22"/>
  <c r="G22" i="22"/>
  <c r="G21" i="22"/>
  <c r="G20" i="22"/>
  <c r="G19" i="22"/>
  <c r="G18" i="22"/>
  <c r="G17" i="22"/>
  <c r="G16" i="22"/>
  <c r="G15" i="22"/>
  <c r="G14" i="22"/>
  <c r="G13" i="22"/>
  <c r="G12" i="22"/>
  <c r="G11" i="22"/>
  <c r="G10" i="22"/>
  <c r="G9" i="22"/>
  <c r="G8" i="22"/>
  <c r="G6" i="22"/>
  <c r="G3" i="22"/>
  <c r="G2" i="22"/>
  <c r="D2" i="22"/>
  <c r="D64" i="22"/>
  <c r="K29" i="7"/>
  <c r="D28" i="22"/>
  <c r="A4" i="28" l="1"/>
  <c r="G6" i="28"/>
  <c r="W6" i="28"/>
  <c r="X6" i="28"/>
  <c r="Y6" i="28"/>
  <c r="Z6" i="28"/>
  <c r="AA6" i="28"/>
  <c r="AB6" i="28"/>
  <c r="AC6" i="28"/>
  <c r="AD6" i="28"/>
  <c r="AE6" i="28"/>
  <c r="AF6" i="28"/>
  <c r="AG6" i="28"/>
  <c r="AH6" i="28"/>
  <c r="A11" i="28"/>
  <c r="U11" i="28"/>
  <c r="W11" i="28"/>
  <c r="X11" i="28"/>
  <c r="Y11" i="28"/>
  <c r="Z11" i="28"/>
  <c r="AA11" i="28"/>
  <c r="AB11" i="28"/>
  <c r="AC11" i="28"/>
  <c r="AD11" i="28"/>
  <c r="AE11" i="28"/>
  <c r="AF11" i="28"/>
  <c r="AG11" i="28"/>
  <c r="AH11" i="28"/>
  <c r="AL11" i="28"/>
  <c r="AP11" i="28" s="1"/>
  <c r="A12" i="28"/>
  <c r="U12" i="28"/>
  <c r="W12" i="28"/>
  <c r="X12" i="28"/>
  <c r="Y12" i="28"/>
  <c r="Z12" i="28"/>
  <c r="AA12" i="28"/>
  <c r="AB12" i="28"/>
  <c r="AC12" i="28"/>
  <c r="AD12" i="28"/>
  <c r="AE12" i="28"/>
  <c r="AF12" i="28"/>
  <c r="AG12" i="28"/>
  <c r="AH12" i="28"/>
  <c r="AL12" i="28"/>
  <c r="AP12" i="28"/>
  <c r="A13" i="28"/>
  <c r="U13" i="28"/>
  <c r="W13" i="28"/>
  <c r="AI13" i="28" s="1"/>
  <c r="AN13" i="28" s="1"/>
  <c r="X13" i="28"/>
  <c r="Y13" i="28"/>
  <c r="Z13" i="28"/>
  <c r="AA13" i="28"/>
  <c r="AB13" i="28"/>
  <c r="AC13" i="28"/>
  <c r="AD13" i="28"/>
  <c r="AE13" i="28"/>
  <c r="AF13" i="28"/>
  <c r="AG13" i="28"/>
  <c r="AH13" i="28"/>
  <c r="AL13" i="28"/>
  <c r="AP13" i="28" s="1"/>
  <c r="A14" i="28"/>
  <c r="U14" i="28"/>
  <c r="W14" i="28"/>
  <c r="X14" i="28"/>
  <c r="Y14" i="28"/>
  <c r="Z14" i="28"/>
  <c r="AA14" i="28"/>
  <c r="AB14" i="28"/>
  <c r="AC14" i="28"/>
  <c r="AD14" i="28"/>
  <c r="AE14" i="28"/>
  <c r="AF14" i="28"/>
  <c r="AG14" i="28"/>
  <c r="AH14" i="28"/>
  <c r="AL14" i="28"/>
  <c r="AP14" i="28"/>
  <c r="F15" i="28"/>
  <c r="W15" i="28" s="1"/>
  <c r="G15" i="28"/>
  <c r="Z15" i="28" s="1"/>
  <c r="U15" i="28"/>
  <c r="A16" i="28"/>
  <c r="U16" i="28"/>
  <c r="W16" i="28"/>
  <c r="X16" i="28"/>
  <c r="Y16" i="28"/>
  <c r="Z16" i="28"/>
  <c r="AA16" i="28"/>
  <c r="AB16" i="28"/>
  <c r="AC16" i="28"/>
  <c r="AD16" i="28"/>
  <c r="AE16" i="28"/>
  <c r="AF16" i="28"/>
  <c r="AG16" i="28"/>
  <c r="AH16" i="28"/>
  <c r="AL16" i="28"/>
  <c r="AP16" i="28" s="1"/>
  <c r="A17" i="28"/>
  <c r="U17" i="28"/>
  <c r="W17" i="28"/>
  <c r="X17" i="28"/>
  <c r="Y17" i="28"/>
  <c r="Z17" i="28"/>
  <c r="AA17" i="28"/>
  <c r="AB17" i="28"/>
  <c r="AC17" i="28"/>
  <c r="AD17" i="28"/>
  <c r="AE17" i="28"/>
  <c r="AF17" i="28"/>
  <c r="AG17" i="28"/>
  <c r="AH17" i="28"/>
  <c r="AL17" i="28"/>
  <c r="AP17" i="28"/>
  <c r="A18" i="28"/>
  <c r="U18" i="28"/>
  <c r="W18" i="28"/>
  <c r="X18" i="28"/>
  <c r="Y18" i="28"/>
  <c r="Z18" i="28"/>
  <c r="AA18" i="28"/>
  <c r="AB18" i="28"/>
  <c r="AC18" i="28"/>
  <c r="AD18" i="28"/>
  <c r="AE18" i="28"/>
  <c r="AF18" i="28"/>
  <c r="AG18" i="28"/>
  <c r="AH18" i="28"/>
  <c r="AL18" i="28"/>
  <c r="AP18" i="28" s="1"/>
  <c r="A19" i="28"/>
  <c r="U19" i="28"/>
  <c r="W19" i="28"/>
  <c r="X19" i="28"/>
  <c r="Y19" i="28"/>
  <c r="Z19" i="28"/>
  <c r="AA19" i="28"/>
  <c r="AB19" i="28"/>
  <c r="AC19" i="28"/>
  <c r="AD19" i="28"/>
  <c r="AE19" i="28"/>
  <c r="AF19" i="28"/>
  <c r="AG19" i="28"/>
  <c r="AH19" i="28"/>
  <c r="AL19" i="28"/>
  <c r="AP19" i="28" s="1"/>
  <c r="A20" i="28"/>
  <c r="U20" i="28"/>
  <c r="W20" i="28"/>
  <c r="X20" i="28"/>
  <c r="Y20" i="28"/>
  <c r="Z20" i="28"/>
  <c r="AA20" i="28"/>
  <c r="AB20" i="28"/>
  <c r="AC20" i="28"/>
  <c r="AD20" i="28"/>
  <c r="AE20" i="28"/>
  <c r="AF20" i="28"/>
  <c r="AG20" i="28"/>
  <c r="AH20" i="28"/>
  <c r="AI20" i="28"/>
  <c r="AL20" i="28"/>
  <c r="AP20" i="28" s="1"/>
  <c r="A21" i="28"/>
  <c r="U21" i="28"/>
  <c r="W21" i="28"/>
  <c r="X21" i="28"/>
  <c r="Y21" i="28"/>
  <c r="Z21" i="28"/>
  <c r="AA21" i="28"/>
  <c r="AB21" i="28"/>
  <c r="AC21" i="28"/>
  <c r="AD21" i="28"/>
  <c r="AE21" i="28"/>
  <c r="AF21" i="28"/>
  <c r="AG21" i="28"/>
  <c r="AH21" i="28"/>
  <c r="AL21" i="28"/>
  <c r="AP21" i="28" s="1"/>
  <c r="H23" i="28"/>
  <c r="H40" i="28" s="1"/>
  <c r="I23" i="28"/>
  <c r="J23" i="28"/>
  <c r="K23" i="28"/>
  <c r="L23" i="28"/>
  <c r="M23" i="28"/>
  <c r="N23" i="28"/>
  <c r="N40" i="28" s="1"/>
  <c r="O23" i="28"/>
  <c r="P23" i="28"/>
  <c r="P40" i="28" s="1"/>
  <c r="Q23" i="28"/>
  <c r="R23" i="28"/>
  <c r="S23" i="28"/>
  <c r="A26" i="28"/>
  <c r="U26" i="28"/>
  <c r="W26" i="28"/>
  <c r="X26" i="28"/>
  <c r="Y26" i="28"/>
  <c r="Z26" i="28"/>
  <c r="AA26" i="28"/>
  <c r="AB26" i="28"/>
  <c r="AC26" i="28"/>
  <c r="AD26" i="28"/>
  <c r="AE26" i="28"/>
  <c r="AF26" i="28"/>
  <c r="AF30" i="28" s="1"/>
  <c r="AG26" i="28"/>
  <c r="AH26" i="28"/>
  <c r="AL26" i="28"/>
  <c r="AP26" i="28"/>
  <c r="A27" i="28"/>
  <c r="U27" i="28"/>
  <c r="W27" i="28"/>
  <c r="X27" i="28"/>
  <c r="Y27" i="28"/>
  <c r="Z27" i="28"/>
  <c r="AA27" i="28"/>
  <c r="AB27" i="28"/>
  <c r="AC27" i="28"/>
  <c r="AD27" i="28"/>
  <c r="AE27" i="28"/>
  <c r="AF27" i="28"/>
  <c r="AG27" i="28"/>
  <c r="AH27" i="28"/>
  <c r="AL27" i="28"/>
  <c r="AP27" i="28" s="1"/>
  <c r="A28" i="28"/>
  <c r="U28" i="28"/>
  <c r="W28" i="28"/>
  <c r="X28" i="28"/>
  <c r="X30" i="28" s="1"/>
  <c r="Y28" i="28"/>
  <c r="Z28" i="28"/>
  <c r="AA28" i="28"/>
  <c r="AB28" i="28"/>
  <c r="AC28" i="28"/>
  <c r="AD28" i="28"/>
  <c r="AE28" i="28"/>
  <c r="AF28" i="28"/>
  <c r="AG28" i="28"/>
  <c r="AH28" i="28"/>
  <c r="AH30" i="28" s="1"/>
  <c r="AL28" i="28"/>
  <c r="AP28" i="28"/>
  <c r="H30" i="28"/>
  <c r="I30" i="28"/>
  <c r="J30" i="28"/>
  <c r="K30" i="28"/>
  <c r="L30" i="28"/>
  <c r="M30" i="28"/>
  <c r="N30" i="28"/>
  <c r="O30" i="28"/>
  <c r="P30" i="28"/>
  <c r="Q30" i="28"/>
  <c r="R30" i="28"/>
  <c r="S30" i="28"/>
  <c r="AB30" i="28"/>
  <c r="A32" i="28"/>
  <c r="W32" i="28"/>
  <c r="X32" i="28"/>
  <c r="Y32" i="28"/>
  <c r="Z32" i="28"/>
  <c r="AA32" i="28"/>
  <c r="AB32" i="28"/>
  <c r="AC32" i="28"/>
  <c r="AD32" i="28"/>
  <c r="AE32" i="28"/>
  <c r="AF32" i="28"/>
  <c r="AG32" i="28"/>
  <c r="AH32" i="28"/>
  <c r="A35" i="28"/>
  <c r="U35" i="28"/>
  <c r="W35" i="28"/>
  <c r="X35" i="28"/>
  <c r="X36" i="28" s="1"/>
  <c r="Y35" i="28"/>
  <c r="Z35" i="28"/>
  <c r="AA35" i="28"/>
  <c r="AB35" i="28"/>
  <c r="AB36" i="28" s="1"/>
  <c r="AC35" i="28"/>
  <c r="AC36" i="28" s="1"/>
  <c r="AD35" i="28"/>
  <c r="AE35" i="28"/>
  <c r="AF35" i="28"/>
  <c r="AF36" i="28" s="1"/>
  <c r="AG35" i="28"/>
  <c r="AG36" i="28" s="1"/>
  <c r="AH35" i="28"/>
  <c r="AL35" i="28"/>
  <c r="AP35" i="28" s="1"/>
  <c r="H36" i="28"/>
  <c r="I36" i="28"/>
  <c r="I40" i="28" s="1"/>
  <c r="J36" i="28"/>
  <c r="K36" i="28"/>
  <c r="L36" i="28"/>
  <c r="L40" i="28" s="1"/>
  <c r="M36" i="28"/>
  <c r="N36" i="28"/>
  <c r="O36" i="28"/>
  <c r="O40" i="28" s="1"/>
  <c r="P36" i="28"/>
  <c r="Q36" i="28"/>
  <c r="Q40" i="28" s="1"/>
  <c r="R36" i="28"/>
  <c r="S36" i="28"/>
  <c r="U36" i="28"/>
  <c r="W36" i="28"/>
  <c r="Z36" i="28"/>
  <c r="AA36" i="28"/>
  <c r="AD36" i="28"/>
  <c r="AE36" i="28"/>
  <c r="AH36" i="28"/>
  <c r="J40" i="28"/>
  <c r="R40" i="28"/>
  <c r="A48" i="28"/>
  <c r="U48" i="28"/>
  <c r="W48" i="28"/>
  <c r="X48" i="28"/>
  <c r="Y48" i="28"/>
  <c r="AJ48" i="28" s="1"/>
  <c r="Z48" i="28"/>
  <c r="AA48" i="28"/>
  <c r="AB48" i="28"/>
  <c r="AI48" i="28" s="1"/>
  <c r="AC48" i="28"/>
  <c r="AD48" i="28"/>
  <c r="AE48" i="28"/>
  <c r="AF48" i="28"/>
  <c r="AG48" i="28"/>
  <c r="AH48" i="28"/>
  <c r="AL48" i="28"/>
  <c r="AP48" i="28" s="1"/>
  <c r="A49" i="28"/>
  <c r="U49" i="28"/>
  <c r="W49" i="28"/>
  <c r="X49" i="28"/>
  <c r="Y49" i="28"/>
  <c r="Z49" i="28"/>
  <c r="AA49" i="28"/>
  <c r="AB49" i="28"/>
  <c r="AC49" i="28"/>
  <c r="AD49" i="28"/>
  <c r="AE49" i="28"/>
  <c r="AF49" i="28"/>
  <c r="AG49" i="28"/>
  <c r="AH49" i="28"/>
  <c r="AL49" i="28"/>
  <c r="AP49" i="28"/>
  <c r="H51" i="28"/>
  <c r="I51" i="28"/>
  <c r="I61" i="28" s="1"/>
  <c r="J51" i="28"/>
  <c r="K51" i="28"/>
  <c r="L51" i="28"/>
  <c r="M51" i="28"/>
  <c r="N51" i="28"/>
  <c r="O51" i="28"/>
  <c r="P51" i="28"/>
  <c r="Q51" i="28"/>
  <c r="Q61" i="28" s="1"/>
  <c r="R51" i="28"/>
  <c r="S51" i="28"/>
  <c r="AJ56" i="28"/>
  <c r="H58" i="28"/>
  <c r="I58" i="28"/>
  <c r="J58" i="28"/>
  <c r="J61" i="28" s="1"/>
  <c r="J99" i="28" s="1"/>
  <c r="K58" i="28"/>
  <c r="K61" i="28" s="1"/>
  <c r="L58" i="28"/>
  <c r="L61" i="28" s="1"/>
  <c r="M58" i="28"/>
  <c r="N58" i="28"/>
  <c r="O58" i="28"/>
  <c r="P58" i="28"/>
  <c r="Q58" i="28"/>
  <c r="R58" i="28"/>
  <c r="R61" i="28" s="1"/>
  <c r="S58" i="28"/>
  <c r="S61" i="28" s="1"/>
  <c r="U58" i="28"/>
  <c r="M61" i="28"/>
  <c r="A68" i="28"/>
  <c r="U68" i="28"/>
  <c r="W68" i="28"/>
  <c r="X68" i="28"/>
  <c r="Y68" i="28"/>
  <c r="Z68" i="28"/>
  <c r="AA68" i="28"/>
  <c r="AB68" i="28"/>
  <c r="AC68" i="28"/>
  <c r="AD68" i="28"/>
  <c r="AE68" i="28"/>
  <c r="AF68" i="28"/>
  <c r="AG68" i="28"/>
  <c r="AH68" i="28"/>
  <c r="AL68" i="28"/>
  <c r="AP68" i="28" s="1"/>
  <c r="A69" i="28"/>
  <c r="U69" i="28"/>
  <c r="W69" i="28"/>
  <c r="X69" i="28"/>
  <c r="Y69" i="28"/>
  <c r="Z69" i="28"/>
  <c r="AA69" i="28"/>
  <c r="AB69" i="28"/>
  <c r="AC69" i="28"/>
  <c r="AD69" i="28"/>
  <c r="AE69" i="28"/>
  <c r="AF69" i="28"/>
  <c r="AG69" i="28"/>
  <c r="AH69" i="28"/>
  <c r="AL69" i="28"/>
  <c r="AP69" i="28" s="1"/>
  <c r="A70" i="28"/>
  <c r="U70" i="28"/>
  <c r="W70" i="28"/>
  <c r="X70" i="28"/>
  <c r="Y70" i="28"/>
  <c r="Z70" i="28"/>
  <c r="AA70" i="28"/>
  <c r="AB70" i="28"/>
  <c r="AC70" i="28"/>
  <c r="AD70" i="28"/>
  <c r="AE70" i="28"/>
  <c r="AF70" i="28"/>
  <c r="AG70" i="28"/>
  <c r="AH70" i="28"/>
  <c r="AL70" i="28"/>
  <c r="AP70" i="28" s="1"/>
  <c r="A71" i="28"/>
  <c r="U71" i="28"/>
  <c r="W71" i="28"/>
  <c r="X71" i="28"/>
  <c r="Y71" i="28"/>
  <c r="Z71" i="28"/>
  <c r="AA71" i="28"/>
  <c r="AA78" i="28" s="1"/>
  <c r="AB71" i="28"/>
  <c r="AC71" i="28"/>
  <c r="AD71" i="28"/>
  <c r="AD78" i="28" s="1"/>
  <c r="AE71" i="28"/>
  <c r="AF71" i="28"/>
  <c r="AG71" i="28"/>
  <c r="AH71" i="28"/>
  <c r="AL71" i="28"/>
  <c r="AP71" i="28" s="1"/>
  <c r="A72" i="28"/>
  <c r="U72" i="28"/>
  <c r="W72" i="28"/>
  <c r="W78" i="28" s="1"/>
  <c r="X72" i="28"/>
  <c r="Y72" i="28"/>
  <c r="Z72" i="28"/>
  <c r="Z78" i="28" s="1"/>
  <c r="AA72" i="28"/>
  <c r="AB72" i="28"/>
  <c r="AC72" i="28"/>
  <c r="AD72" i="28"/>
  <c r="AE72" i="28"/>
  <c r="AF72" i="28"/>
  <c r="AG72" i="28"/>
  <c r="AH72" i="28"/>
  <c r="AH78" i="28" s="1"/>
  <c r="AL72" i="28"/>
  <c r="AP72" i="28" s="1"/>
  <c r="A73" i="28"/>
  <c r="U73" i="28"/>
  <c r="W73" i="28"/>
  <c r="X73" i="28"/>
  <c r="Y73" i="28"/>
  <c r="Z73" i="28"/>
  <c r="AA73" i="28"/>
  <c r="AB73" i="28"/>
  <c r="AC73" i="28"/>
  <c r="AD73" i="28"/>
  <c r="AE73" i="28"/>
  <c r="AF73" i="28"/>
  <c r="AG73" i="28"/>
  <c r="AH73" i="28"/>
  <c r="AL73" i="28"/>
  <c r="AP73" i="28" s="1"/>
  <c r="A74" i="28"/>
  <c r="U74" i="28"/>
  <c r="W74" i="28"/>
  <c r="X74" i="28"/>
  <c r="Y74" i="28"/>
  <c r="Z74" i="28"/>
  <c r="AA74" i="28"/>
  <c r="AB74" i="28"/>
  <c r="AJ74" i="28" s="1"/>
  <c r="AC74" i="28"/>
  <c r="AD74" i="28"/>
  <c r="AE74" i="28"/>
  <c r="AF74" i="28"/>
  <c r="AG74" i="28"/>
  <c r="AH74" i="28"/>
  <c r="AL74" i="28"/>
  <c r="AP74" i="28" s="1"/>
  <c r="A75" i="28"/>
  <c r="U75" i="28"/>
  <c r="W75" i="28"/>
  <c r="X75" i="28"/>
  <c r="Y75" i="28"/>
  <c r="Z75" i="28"/>
  <c r="AA75" i="28"/>
  <c r="AB75" i="28"/>
  <c r="AC75" i="28"/>
  <c r="AD75" i="28"/>
  <c r="AE75" i="28"/>
  <c r="AF75" i="28"/>
  <c r="AG75" i="28"/>
  <c r="AH75" i="28"/>
  <c r="AL75" i="28"/>
  <c r="AP75" i="28" s="1"/>
  <c r="A76" i="28"/>
  <c r="U76" i="28"/>
  <c r="W76" i="28"/>
  <c r="X76" i="28"/>
  <c r="AJ76" i="28" s="1"/>
  <c r="Y76" i="28"/>
  <c r="Z76" i="28"/>
  <c r="AA76" i="28"/>
  <c r="AB76" i="28"/>
  <c r="AC76" i="28"/>
  <c r="AD76" i="28"/>
  <c r="AE76" i="28"/>
  <c r="AF76" i="28"/>
  <c r="AG76" i="28"/>
  <c r="AH76" i="28"/>
  <c r="AL76" i="28"/>
  <c r="AP76" i="28" s="1"/>
  <c r="H78" i="28"/>
  <c r="H86" i="28" s="1"/>
  <c r="I78" i="28"/>
  <c r="I86" i="28" s="1"/>
  <c r="J78" i="28"/>
  <c r="K78" i="28"/>
  <c r="L78" i="28"/>
  <c r="M78" i="28"/>
  <c r="N78" i="28"/>
  <c r="N86" i="28" s="1"/>
  <c r="O78" i="28"/>
  <c r="P78" i="28"/>
  <c r="P86" i="28" s="1"/>
  <c r="Q78" i="28"/>
  <c r="Q86" i="28" s="1"/>
  <c r="Q99" i="28" s="1"/>
  <c r="R78" i="28"/>
  <c r="S78" i="28"/>
  <c r="AE78" i="28"/>
  <c r="A81" i="28"/>
  <c r="U81" i="28"/>
  <c r="W81" i="28"/>
  <c r="X81" i="28"/>
  <c r="Y81" i="28"/>
  <c r="Z81" i="28"/>
  <c r="AA81" i="28"/>
  <c r="AB81" i="28"/>
  <c r="AC81" i="28"/>
  <c r="AD81" i="28"/>
  <c r="AE81" i="28"/>
  <c r="AF81" i="28"/>
  <c r="AG81" i="28"/>
  <c r="AH81" i="28"/>
  <c r="AL81" i="28"/>
  <c r="AP81" i="28" s="1"/>
  <c r="A82" i="28"/>
  <c r="U82" i="28"/>
  <c r="W82" i="28"/>
  <c r="X82" i="28"/>
  <c r="Y82" i="28"/>
  <c r="Z82" i="28"/>
  <c r="AA82" i="28"/>
  <c r="AB82" i="28"/>
  <c r="AC82" i="28"/>
  <c r="AD82" i="28"/>
  <c r="AE82" i="28"/>
  <c r="AF82" i="28"/>
  <c r="AG82" i="28"/>
  <c r="AH82" i="28"/>
  <c r="AL82" i="28"/>
  <c r="AP82" i="28" s="1"/>
  <c r="H83" i="28"/>
  <c r="I83" i="28"/>
  <c r="J83" i="28"/>
  <c r="K83" i="28"/>
  <c r="L83" i="28"/>
  <c r="L86" i="28" s="1"/>
  <c r="M83" i="28"/>
  <c r="M86" i="28" s="1"/>
  <c r="N83" i="28"/>
  <c r="O83" i="28"/>
  <c r="P83" i="28"/>
  <c r="Q83" i="28"/>
  <c r="R83" i="28"/>
  <c r="R86" i="28" s="1"/>
  <c r="S83" i="28"/>
  <c r="J86" i="28"/>
  <c r="O86" i="28"/>
  <c r="A91" i="28"/>
  <c r="W91" i="28"/>
  <c r="X91" i="28"/>
  <c r="Y91" i="28"/>
  <c r="Z91" i="28"/>
  <c r="AA91" i="28"/>
  <c r="AB91" i="28"/>
  <c r="AC91" i="28"/>
  <c r="AD91" i="28"/>
  <c r="AE91" i="28"/>
  <c r="AF91" i="28"/>
  <c r="AG91" i="28"/>
  <c r="AH91" i="28"/>
  <c r="A92" i="28"/>
  <c r="G92" i="28"/>
  <c r="AB92" i="28" s="1"/>
  <c r="W92" i="28"/>
  <c r="X92" i="28"/>
  <c r="Y92" i="28"/>
  <c r="H94" i="28"/>
  <c r="I94" i="28"/>
  <c r="J94" i="28"/>
  <c r="K94" i="28"/>
  <c r="L94" i="28"/>
  <c r="M94" i="28"/>
  <c r="N94" i="28"/>
  <c r="O94" i="28"/>
  <c r="P94" i="28"/>
  <c r="Q94" i="28"/>
  <c r="R94" i="28"/>
  <c r="S94" i="28"/>
  <c r="AA6" i="27"/>
  <c r="AB6" i="27"/>
  <c r="AC6" i="27"/>
  <c r="AD6" i="27"/>
  <c r="AE6" i="27"/>
  <c r="AF6" i="27"/>
  <c r="AG6" i="27"/>
  <c r="AH6" i="27"/>
  <c r="AI6" i="27"/>
  <c r="AJ6" i="27"/>
  <c r="AK6" i="27"/>
  <c r="AL6" i="27"/>
  <c r="A11" i="27"/>
  <c r="X11" i="27"/>
  <c r="AC11" i="27"/>
  <c r="AD11" i="27"/>
  <c r="AE11" i="27"/>
  <c r="AF11" i="27"/>
  <c r="AG11" i="27"/>
  <c r="AH11" i="27"/>
  <c r="AI11" i="27"/>
  <c r="AJ11" i="27"/>
  <c r="AK11" i="27"/>
  <c r="AL11" i="27"/>
  <c r="A12" i="27"/>
  <c r="X12" i="27"/>
  <c r="AC12" i="27"/>
  <c r="AD12" i="27"/>
  <c r="AE12" i="27"/>
  <c r="AF12" i="27"/>
  <c r="AG12" i="27"/>
  <c r="AH12" i="27"/>
  <c r="AI12" i="27"/>
  <c r="AJ12" i="27"/>
  <c r="AK12" i="27"/>
  <c r="AL12" i="27"/>
  <c r="A13" i="27"/>
  <c r="X13" i="27"/>
  <c r="AC13" i="27"/>
  <c r="AD13" i="27"/>
  <c r="AE13" i="27"/>
  <c r="AF13" i="27"/>
  <c r="AG13" i="27"/>
  <c r="AH13" i="27"/>
  <c r="AI13" i="27"/>
  <c r="AJ13" i="27"/>
  <c r="AK13" i="27"/>
  <c r="AL13" i="27"/>
  <c r="A14" i="27"/>
  <c r="X14" i="27"/>
  <c r="AC14" i="27"/>
  <c r="AD14" i="27"/>
  <c r="AM14" i="27" s="1"/>
  <c r="AE14" i="27"/>
  <c r="AF14" i="27"/>
  <c r="AG14" i="27"/>
  <c r="AH14" i="27"/>
  <c r="AI14" i="27"/>
  <c r="AJ14" i="27"/>
  <c r="AK14" i="27"/>
  <c r="AL14" i="27"/>
  <c r="A15" i="27"/>
  <c r="X15" i="27"/>
  <c r="AC15" i="27"/>
  <c r="AD15" i="27"/>
  <c r="AE15" i="27"/>
  <c r="AF15" i="27"/>
  <c r="AG15" i="27"/>
  <c r="AM15" i="27" s="1"/>
  <c r="AH15" i="27"/>
  <c r="AI15" i="27"/>
  <c r="AJ15" i="27"/>
  <c r="AK15" i="27"/>
  <c r="AL15" i="27"/>
  <c r="A16" i="27"/>
  <c r="X16" i="27"/>
  <c r="AC16" i="27"/>
  <c r="AD16" i="27"/>
  <c r="AE16" i="27"/>
  <c r="AF16" i="27"/>
  <c r="AG16" i="27"/>
  <c r="AH16" i="27"/>
  <c r="AI16" i="27"/>
  <c r="AJ16" i="27"/>
  <c r="AK16" i="27"/>
  <c r="AK58" i="27" s="1"/>
  <c r="AL16" i="27"/>
  <c r="A17" i="27"/>
  <c r="X17" i="27"/>
  <c r="AC17" i="27"/>
  <c r="AD17" i="27"/>
  <c r="AE17" i="27"/>
  <c r="AF17" i="27"/>
  <c r="AG17" i="27"/>
  <c r="AH17" i="27"/>
  <c r="AI17" i="27"/>
  <c r="AJ17" i="27"/>
  <c r="AK17" i="27"/>
  <c r="AL17" i="27"/>
  <c r="A18" i="27"/>
  <c r="X18" i="27"/>
  <c r="AC18" i="27"/>
  <c r="AD18" i="27"/>
  <c r="AE18" i="27"/>
  <c r="AF18" i="27"/>
  <c r="AG18" i="27"/>
  <c r="AH18" i="27"/>
  <c r="AI18" i="27"/>
  <c r="AJ18" i="27"/>
  <c r="AK18" i="27"/>
  <c r="AL18" i="27"/>
  <c r="A19" i="27"/>
  <c r="X19" i="27"/>
  <c r="AC19" i="27"/>
  <c r="AD19" i="27"/>
  <c r="AE19" i="27"/>
  <c r="AF19" i="27"/>
  <c r="AG19" i="27"/>
  <c r="AG59" i="27" s="1"/>
  <c r="AH19" i="27"/>
  <c r="AI19" i="27"/>
  <c r="AJ19" i="27"/>
  <c r="AK19" i="27"/>
  <c r="AL19" i="27"/>
  <c r="A20" i="27"/>
  <c r="X20" i="27"/>
  <c r="AC20" i="27"/>
  <c r="AD20" i="27"/>
  <c r="AE20" i="27"/>
  <c r="AF20" i="27"/>
  <c r="AG20" i="27"/>
  <c r="AH20" i="27"/>
  <c r="AI20" i="27"/>
  <c r="AJ20" i="27"/>
  <c r="AK20" i="27"/>
  <c r="AL20" i="27"/>
  <c r="A21" i="27"/>
  <c r="X21" i="27"/>
  <c r="AC21" i="27"/>
  <c r="AD21" i="27"/>
  <c r="AE21" i="27"/>
  <c r="AF21" i="27"/>
  <c r="AG21" i="27"/>
  <c r="AH21" i="27"/>
  <c r="AI21" i="27"/>
  <c r="AJ21" i="27"/>
  <c r="AK21" i="27"/>
  <c r="AL21" i="27"/>
  <c r="A22" i="27"/>
  <c r="X22" i="27"/>
  <c r="AC22" i="27"/>
  <c r="AD22" i="27"/>
  <c r="AE22" i="27"/>
  <c r="AF22" i="27"/>
  <c r="AG22" i="27"/>
  <c r="AH22" i="27"/>
  <c r="AI22" i="27"/>
  <c r="AJ22" i="27"/>
  <c r="AK22" i="27"/>
  <c r="AL22" i="27"/>
  <c r="A23" i="27"/>
  <c r="X23" i="27"/>
  <c r="AC23" i="27"/>
  <c r="AD23" i="27"/>
  <c r="AE23" i="27"/>
  <c r="AF23" i="27"/>
  <c r="AG23" i="27"/>
  <c r="AH23" i="27"/>
  <c r="AI23" i="27"/>
  <c r="AJ23" i="27"/>
  <c r="AK23" i="27"/>
  <c r="AL23" i="27"/>
  <c r="A24" i="27"/>
  <c r="X24" i="27"/>
  <c r="AC24" i="27"/>
  <c r="AD24" i="27"/>
  <c r="AE24" i="27"/>
  <c r="AF24" i="27"/>
  <c r="AG24" i="27"/>
  <c r="AH24" i="27"/>
  <c r="AI24" i="27"/>
  <c r="AJ24" i="27"/>
  <c r="AK24" i="27"/>
  <c r="AL24" i="27"/>
  <c r="A25" i="27"/>
  <c r="X25" i="27"/>
  <c r="AC25" i="27"/>
  <c r="AD25" i="27"/>
  <c r="AE25" i="27"/>
  <c r="AF25" i="27"/>
  <c r="AG25" i="27"/>
  <c r="AH25" i="27"/>
  <c r="AI25" i="27"/>
  <c r="AJ25" i="27"/>
  <c r="AK25" i="27"/>
  <c r="AL25" i="27"/>
  <c r="A26" i="27"/>
  <c r="X26" i="27"/>
  <c r="AC26" i="27"/>
  <c r="AN26" i="27" s="1"/>
  <c r="AD26" i="27"/>
  <c r="AE26" i="27"/>
  <c r="AF26" i="27"/>
  <c r="AG26" i="27"/>
  <c r="AH26" i="27"/>
  <c r="AI26" i="27"/>
  <c r="AJ26" i="27"/>
  <c r="AK26" i="27"/>
  <c r="AL26" i="27"/>
  <c r="A27" i="27"/>
  <c r="X27" i="27"/>
  <c r="AC27" i="27"/>
  <c r="AD27" i="27"/>
  <c r="AE27" i="27"/>
  <c r="AF27" i="27"/>
  <c r="AG27" i="27"/>
  <c r="AH27" i="27"/>
  <c r="AI27" i="27"/>
  <c r="AJ27" i="27"/>
  <c r="AK27" i="27"/>
  <c r="AL27" i="27"/>
  <c r="A28" i="27"/>
  <c r="X28" i="27"/>
  <c r="AC28" i="27"/>
  <c r="AD28" i="27"/>
  <c r="AE28" i="27"/>
  <c r="AF28" i="27"/>
  <c r="AG28" i="27"/>
  <c r="AH28" i="27"/>
  <c r="AI28" i="27"/>
  <c r="AJ28" i="27"/>
  <c r="AK28" i="27"/>
  <c r="AL28" i="27"/>
  <c r="A29" i="27"/>
  <c r="X29" i="27"/>
  <c r="AC29" i="27"/>
  <c r="AD29" i="27"/>
  <c r="AE29" i="27"/>
  <c r="AF29" i="27"/>
  <c r="AN29" i="27" s="1"/>
  <c r="AG29" i="27"/>
  <c r="AH29" i="27"/>
  <c r="AI29" i="27"/>
  <c r="AJ29" i="27"/>
  <c r="AK29" i="27"/>
  <c r="AL29" i="27"/>
  <c r="A30" i="27"/>
  <c r="X30" i="27"/>
  <c r="AC30" i="27"/>
  <c r="AD30" i="27"/>
  <c r="AE30" i="27"/>
  <c r="AF30" i="27"/>
  <c r="AG30" i="27"/>
  <c r="AH30" i="27"/>
  <c r="AI30" i="27"/>
  <c r="AJ30" i="27"/>
  <c r="AK30" i="27"/>
  <c r="AL30" i="27"/>
  <c r="A31" i="27"/>
  <c r="X31" i="27"/>
  <c r="AC31" i="27"/>
  <c r="AD31" i="27"/>
  <c r="AE31" i="27"/>
  <c r="AF31" i="27"/>
  <c r="AG31" i="27"/>
  <c r="AH31" i="27"/>
  <c r="AI31" i="27"/>
  <c r="AJ31" i="27"/>
  <c r="AK31" i="27"/>
  <c r="AL31" i="27"/>
  <c r="A32" i="27"/>
  <c r="X32" i="27"/>
  <c r="AC32" i="27"/>
  <c r="AD32" i="27"/>
  <c r="AE32" i="27"/>
  <c r="AF32" i="27"/>
  <c r="AG32" i="27"/>
  <c r="AH32" i="27"/>
  <c r="AI32" i="27"/>
  <c r="AJ32" i="27"/>
  <c r="AK32" i="27"/>
  <c r="AL32" i="27"/>
  <c r="A33" i="27"/>
  <c r="X33" i="27"/>
  <c r="AC33" i="27"/>
  <c r="AD33" i="27"/>
  <c r="AE33" i="27"/>
  <c r="AF33" i="27"/>
  <c r="AG33" i="27"/>
  <c r="AH33" i="27"/>
  <c r="AI33" i="27"/>
  <c r="AJ33" i="27"/>
  <c r="AK33" i="27"/>
  <c r="AL33" i="27"/>
  <c r="A34" i="27"/>
  <c r="X34" i="27"/>
  <c r="AC34" i="27"/>
  <c r="AD34" i="27"/>
  <c r="AE34" i="27"/>
  <c r="AF34" i="27"/>
  <c r="AG34" i="27"/>
  <c r="AH34" i="27"/>
  <c r="AI34" i="27"/>
  <c r="AJ34" i="27"/>
  <c r="AK34" i="27"/>
  <c r="AL34" i="27"/>
  <c r="A35" i="27"/>
  <c r="X35" i="27"/>
  <c r="AC35" i="27"/>
  <c r="AD35" i="27"/>
  <c r="AE35" i="27"/>
  <c r="AF35" i="27"/>
  <c r="AG35" i="27"/>
  <c r="AH35" i="27"/>
  <c r="AI35" i="27"/>
  <c r="AJ35" i="27"/>
  <c r="AK35" i="27"/>
  <c r="AL35" i="27"/>
  <c r="A36" i="27"/>
  <c r="X36" i="27"/>
  <c r="AC36" i="27"/>
  <c r="AD36" i="27"/>
  <c r="AE36" i="27"/>
  <c r="AF36" i="27"/>
  <c r="AG36" i="27"/>
  <c r="AH36" i="27"/>
  <c r="AI36" i="27"/>
  <c r="AJ36" i="27"/>
  <c r="AK36" i="27"/>
  <c r="AL36" i="27"/>
  <c r="A37" i="27"/>
  <c r="X37" i="27"/>
  <c r="AC37" i="27"/>
  <c r="AD37" i="27"/>
  <c r="AE37" i="27"/>
  <c r="AF37" i="27"/>
  <c r="AG37" i="27"/>
  <c r="AH37" i="27"/>
  <c r="AI37" i="27"/>
  <c r="AJ37" i="27"/>
  <c r="AK37" i="27"/>
  <c r="AL37" i="27"/>
  <c r="A38" i="27"/>
  <c r="X38" i="27"/>
  <c r="AC38" i="27"/>
  <c r="AD38" i="27"/>
  <c r="AE38" i="27"/>
  <c r="AF38" i="27"/>
  <c r="AG38" i="27"/>
  <c r="AH38" i="27"/>
  <c r="AI38" i="27"/>
  <c r="AJ38" i="27"/>
  <c r="AM38" i="27" s="1"/>
  <c r="AK38" i="27"/>
  <c r="AL38" i="27"/>
  <c r="A39" i="27"/>
  <c r="X39" i="27"/>
  <c r="AC39" i="27"/>
  <c r="AD39" i="27"/>
  <c r="AE39" i="27"/>
  <c r="AF39" i="27"/>
  <c r="AG39" i="27"/>
  <c r="AH39" i="27"/>
  <c r="AI39" i="27"/>
  <c r="AJ39" i="27"/>
  <c r="AK39" i="27"/>
  <c r="AL39" i="27"/>
  <c r="A40" i="27"/>
  <c r="X40" i="27"/>
  <c r="AC40" i="27"/>
  <c r="AD40" i="27"/>
  <c r="AE40" i="27"/>
  <c r="AF40" i="27"/>
  <c r="AG40" i="27"/>
  <c r="AH40" i="27"/>
  <c r="AI40" i="27"/>
  <c r="AJ40" i="27"/>
  <c r="AK40" i="27"/>
  <c r="AL40" i="27"/>
  <c r="A41" i="27"/>
  <c r="X41" i="27"/>
  <c r="AC41" i="27"/>
  <c r="AD41" i="27"/>
  <c r="AE41" i="27"/>
  <c r="AF41" i="27"/>
  <c r="AG41" i="27"/>
  <c r="AH41" i="27"/>
  <c r="AI41" i="27"/>
  <c r="AJ41" i="27"/>
  <c r="AK41" i="27"/>
  <c r="AL41" i="27"/>
  <c r="A42" i="27"/>
  <c r="X42" i="27"/>
  <c r="AC42" i="27"/>
  <c r="AD42" i="27"/>
  <c r="AE42" i="27"/>
  <c r="AF42" i="27"/>
  <c r="AG42" i="27"/>
  <c r="AH42" i="27"/>
  <c r="AI42" i="27"/>
  <c r="AJ42" i="27"/>
  <c r="AK42" i="27"/>
  <c r="AL42" i="27"/>
  <c r="A43" i="27"/>
  <c r="X43" i="27"/>
  <c r="AC43" i="27"/>
  <c r="AD43" i="27"/>
  <c r="AE43" i="27"/>
  <c r="AF43" i="27"/>
  <c r="AG43" i="27"/>
  <c r="AH43" i="27"/>
  <c r="AI43" i="27"/>
  <c r="AJ43" i="27"/>
  <c r="AK43" i="27"/>
  <c r="AL43" i="27"/>
  <c r="A44" i="27"/>
  <c r="X44" i="27"/>
  <c r="AC44" i="27"/>
  <c r="AD44" i="27"/>
  <c r="AE44" i="27"/>
  <c r="AF44" i="27"/>
  <c r="AG44" i="27"/>
  <c r="AH44" i="27"/>
  <c r="AI44" i="27"/>
  <c r="AJ44" i="27"/>
  <c r="AK44" i="27"/>
  <c r="AL44" i="27"/>
  <c r="A45" i="27"/>
  <c r="X45" i="27"/>
  <c r="AC45" i="27"/>
  <c r="AD45" i="27"/>
  <c r="AE45" i="27"/>
  <c r="AF45" i="27"/>
  <c r="AG45" i="27"/>
  <c r="AH45" i="27"/>
  <c r="AI45" i="27"/>
  <c r="AJ45" i="27"/>
  <c r="AK45" i="27"/>
  <c r="AL45" i="27"/>
  <c r="A46" i="27"/>
  <c r="X46" i="27"/>
  <c r="AC46" i="27"/>
  <c r="AM46" i="27" s="1"/>
  <c r="AD46" i="27"/>
  <c r="AE46" i="27"/>
  <c r="AF46" i="27"/>
  <c r="AG46" i="27"/>
  <c r="AH46" i="27"/>
  <c r="AI46" i="27"/>
  <c r="AJ46" i="27"/>
  <c r="AK46" i="27"/>
  <c r="AL46" i="27"/>
  <c r="A47" i="27"/>
  <c r="X47" i="27"/>
  <c r="AC47" i="27"/>
  <c r="AD47" i="27"/>
  <c r="AE47" i="27"/>
  <c r="AF47" i="27"/>
  <c r="AG47" i="27"/>
  <c r="AH47" i="27"/>
  <c r="AI47" i="27"/>
  <c r="AJ47" i="27"/>
  <c r="AK47" i="27"/>
  <c r="AL47" i="27"/>
  <c r="A48" i="27"/>
  <c r="X48" i="27"/>
  <c r="AC48" i="27"/>
  <c r="AD48" i="27"/>
  <c r="AE48" i="27"/>
  <c r="AF48" i="27"/>
  <c r="AG48" i="27"/>
  <c r="AH48" i="27"/>
  <c r="AI48" i="27"/>
  <c r="AJ48" i="27"/>
  <c r="AK48" i="27"/>
  <c r="AL48" i="27"/>
  <c r="A49" i="27"/>
  <c r="X49" i="27"/>
  <c r="AC49" i="27"/>
  <c r="AD49" i="27"/>
  <c r="AE49" i="27"/>
  <c r="AF49" i="27"/>
  <c r="AG49" i="27"/>
  <c r="AH49" i="27"/>
  <c r="AI49" i="27"/>
  <c r="AJ49" i="27"/>
  <c r="AK49" i="27"/>
  <c r="AL49" i="27"/>
  <c r="A50" i="27"/>
  <c r="X50" i="27"/>
  <c r="AC50" i="27"/>
  <c r="AD50" i="27"/>
  <c r="AE50" i="27"/>
  <c r="AF50" i="27"/>
  <c r="AG50" i="27"/>
  <c r="AH50" i="27"/>
  <c r="AN50" i="27" s="1"/>
  <c r="AI50" i="27"/>
  <c r="AJ50" i="27"/>
  <c r="AK50" i="27"/>
  <c r="AL50" i="27"/>
  <c r="A51" i="27"/>
  <c r="X51" i="27"/>
  <c r="AC51" i="27"/>
  <c r="AD51" i="27"/>
  <c r="AE51" i="27"/>
  <c r="AF51" i="27"/>
  <c r="AG51" i="27"/>
  <c r="AH51" i="27"/>
  <c r="AI51" i="27"/>
  <c r="AJ51" i="27"/>
  <c r="AK51" i="27"/>
  <c r="AL51" i="27"/>
  <c r="A52" i="27"/>
  <c r="X52" i="27"/>
  <c r="AC52" i="27"/>
  <c r="AD52" i="27"/>
  <c r="AE52" i="27"/>
  <c r="AF52" i="27"/>
  <c r="AG52" i="27"/>
  <c r="AH52" i="27"/>
  <c r="AI52" i="27"/>
  <c r="AJ52" i="27"/>
  <c r="AK52" i="27"/>
  <c r="AL52" i="27"/>
  <c r="A53" i="27"/>
  <c r="X53" i="27"/>
  <c r="AC53" i="27"/>
  <c r="AD53" i="27"/>
  <c r="AE53" i="27"/>
  <c r="AF53" i="27"/>
  <c r="AG53" i="27"/>
  <c r="AH53" i="27"/>
  <c r="AI53" i="27"/>
  <c r="AJ53" i="27"/>
  <c r="AK53" i="27"/>
  <c r="AL53" i="27"/>
  <c r="A54" i="27"/>
  <c r="X54" i="27"/>
  <c r="AC54" i="27"/>
  <c r="AN54" i="27" s="1"/>
  <c r="AD54" i="27"/>
  <c r="AE54" i="27"/>
  <c r="AF54" i="27"/>
  <c r="AG54" i="27"/>
  <c r="AH54" i="27"/>
  <c r="AI54" i="27"/>
  <c r="AJ54" i="27"/>
  <c r="AK54" i="27"/>
  <c r="AL54" i="27"/>
  <c r="A55" i="27"/>
  <c r="X55" i="27"/>
  <c r="AC55" i="27"/>
  <c r="AD55" i="27"/>
  <c r="AE55" i="27"/>
  <c r="AF55" i="27"/>
  <c r="AG55" i="27"/>
  <c r="AH55" i="27"/>
  <c r="AI55" i="27"/>
  <c r="AJ55" i="27"/>
  <c r="AK55" i="27"/>
  <c r="AL55" i="27"/>
  <c r="A56" i="27"/>
  <c r="X56" i="27"/>
  <c r="AC56" i="27"/>
  <c r="AD56" i="27"/>
  <c r="AE56" i="27"/>
  <c r="AF56" i="27"/>
  <c r="AG56" i="27"/>
  <c r="AH56" i="27"/>
  <c r="AI56" i="27"/>
  <c r="AJ56" i="27"/>
  <c r="AK56" i="27"/>
  <c r="AL56" i="27"/>
  <c r="AN57" i="27"/>
  <c r="L58" i="27"/>
  <c r="M58" i="27"/>
  <c r="M77" i="27" s="1"/>
  <c r="N58" i="27"/>
  <c r="O58" i="27"/>
  <c r="P58" i="27"/>
  <c r="P77" i="27" s="1"/>
  <c r="Q58" i="27"/>
  <c r="R58" i="27"/>
  <c r="S58" i="27"/>
  <c r="T58" i="27"/>
  <c r="U58" i="27"/>
  <c r="U77" i="27" s="1"/>
  <c r="V58" i="27"/>
  <c r="AD59" i="27"/>
  <c r="AE59" i="27"/>
  <c r="A62" i="27"/>
  <c r="X62" i="27"/>
  <c r="AC62" i="27"/>
  <c r="AD62" i="27"/>
  <c r="AE62" i="27"/>
  <c r="AF62" i="27"/>
  <c r="AG62" i="27"/>
  <c r="AH62" i="27"/>
  <c r="AI62" i="27"/>
  <c r="AI66" i="27" s="1"/>
  <c r="AJ62" i="27"/>
  <c r="AK62" i="27"/>
  <c r="AK66" i="27" s="1"/>
  <c r="AL62" i="27"/>
  <c r="A63" i="27"/>
  <c r="X63" i="27"/>
  <c r="AC63" i="27"/>
  <c r="AD63" i="27"/>
  <c r="AE63" i="27"/>
  <c r="AE60" i="27" s="1"/>
  <c r="AF63" i="27"/>
  <c r="AG63" i="27"/>
  <c r="AH63" i="27"/>
  <c r="AI63" i="27"/>
  <c r="AJ63" i="27"/>
  <c r="AK63" i="27"/>
  <c r="AL63" i="27"/>
  <c r="AM63" i="27"/>
  <c r="A64" i="27"/>
  <c r="X64" i="27"/>
  <c r="AC64" i="27"/>
  <c r="AN64" i="27" s="1"/>
  <c r="AD64" i="27"/>
  <c r="AE64" i="27"/>
  <c r="AF64" i="27"/>
  <c r="AG64" i="27"/>
  <c r="AH64" i="27"/>
  <c r="AI64" i="27"/>
  <c r="AJ64" i="27"/>
  <c r="AK64" i="27"/>
  <c r="AL64" i="27"/>
  <c r="L66" i="27"/>
  <c r="M66" i="27"/>
  <c r="N66" i="27"/>
  <c r="O66" i="27"/>
  <c r="P66" i="27"/>
  <c r="Q66" i="27"/>
  <c r="Q77" i="27" s="1"/>
  <c r="R66" i="27"/>
  <c r="S66" i="27"/>
  <c r="T66" i="27"/>
  <c r="U66" i="27"/>
  <c r="V66" i="27"/>
  <c r="AF66" i="27"/>
  <c r="AG66" i="27"/>
  <c r="A68" i="27"/>
  <c r="X68" i="27"/>
  <c r="AC68" i="27"/>
  <c r="AD68" i="27"/>
  <c r="AE68" i="27"/>
  <c r="AF68" i="27"/>
  <c r="AG68" i="27"/>
  <c r="AH68" i="27"/>
  <c r="AI68" i="27"/>
  <c r="AJ68" i="27"/>
  <c r="AK68" i="27"/>
  <c r="AL68" i="27"/>
  <c r="A71" i="27"/>
  <c r="X71" i="27"/>
  <c r="AC71" i="27"/>
  <c r="AD71" i="27"/>
  <c r="AM71" i="27" s="1"/>
  <c r="AE71" i="27"/>
  <c r="AE75" i="27" s="1"/>
  <c r="AF71" i="27"/>
  <c r="AG71" i="27"/>
  <c r="AH71" i="27"/>
  <c r="AI71" i="27"/>
  <c r="AJ71" i="27"/>
  <c r="AK71" i="27"/>
  <c r="AL71" i="27"/>
  <c r="A72" i="27"/>
  <c r="X72" i="27"/>
  <c r="AC72" i="27"/>
  <c r="AD72" i="27"/>
  <c r="AE72" i="27"/>
  <c r="AF72" i="27"/>
  <c r="AF75" i="27" s="1"/>
  <c r="AG72" i="27"/>
  <c r="AH72" i="27"/>
  <c r="AI72" i="27"/>
  <c r="AJ72" i="27"/>
  <c r="AK72" i="27"/>
  <c r="AL72" i="27"/>
  <c r="A73" i="27"/>
  <c r="X73" i="27"/>
  <c r="A74" i="27"/>
  <c r="X74" i="27"/>
  <c r="L75" i="27"/>
  <c r="M75" i="27"/>
  <c r="N75" i="27"/>
  <c r="O75" i="27"/>
  <c r="O77" i="27" s="1"/>
  <c r="P75" i="27"/>
  <c r="Q75" i="27"/>
  <c r="R75" i="27"/>
  <c r="R77" i="27" s="1"/>
  <c r="S75" i="27"/>
  <c r="T75" i="27"/>
  <c r="U75" i="27"/>
  <c r="V75" i="27"/>
  <c r="X75" i="27"/>
  <c r="AC75" i="27"/>
  <c r="AH75" i="27"/>
  <c r="AJ75" i="27"/>
  <c r="AK75" i="27"/>
  <c r="A83" i="27"/>
  <c r="X83" i="27"/>
  <c r="AC83" i="27"/>
  <c r="AD83" i="27"/>
  <c r="AE83" i="27"/>
  <c r="AF83" i="27"/>
  <c r="AG83" i="27"/>
  <c r="AH83" i="27"/>
  <c r="AI83" i="27"/>
  <c r="AJ83" i="27"/>
  <c r="AK83" i="27"/>
  <c r="AL83" i="27"/>
  <c r="AO83" i="27"/>
  <c r="A84" i="27"/>
  <c r="X84" i="27"/>
  <c r="AC84" i="27"/>
  <c r="AD84" i="27"/>
  <c r="AE84" i="27"/>
  <c r="AF84" i="27"/>
  <c r="AG84" i="27"/>
  <c r="AH84" i="27"/>
  <c r="AI84" i="27"/>
  <c r="AJ84" i="27"/>
  <c r="AK84" i="27"/>
  <c r="AL84" i="27"/>
  <c r="AO84" i="27"/>
  <c r="A85" i="27"/>
  <c r="X85" i="27"/>
  <c r="AC85" i="27"/>
  <c r="AD85" i="27"/>
  <c r="AE85" i="27"/>
  <c r="AF85" i="27"/>
  <c r="AG85" i="27"/>
  <c r="AH85" i="27"/>
  <c r="AI85" i="27"/>
  <c r="AJ85" i="27"/>
  <c r="AK85" i="27"/>
  <c r="AL85" i="27"/>
  <c r="AO85" i="27"/>
  <c r="A86" i="27"/>
  <c r="X86" i="27"/>
  <c r="AC86" i="27"/>
  <c r="AD86" i="27"/>
  <c r="AE86" i="27"/>
  <c r="AF86" i="27"/>
  <c r="AG86" i="27"/>
  <c r="AH86" i="27"/>
  <c r="AI86" i="27"/>
  <c r="AJ86" i="27"/>
  <c r="AK86" i="27"/>
  <c r="AL86" i="27"/>
  <c r="AO86" i="27"/>
  <c r="A87" i="27"/>
  <c r="X87" i="27"/>
  <c r="AC87" i="27"/>
  <c r="AD87" i="27"/>
  <c r="AE87" i="27"/>
  <c r="AF87" i="27"/>
  <c r="AG87" i="27"/>
  <c r="AH87" i="27"/>
  <c r="AI87" i="27"/>
  <c r="AJ87" i="27"/>
  <c r="AK87" i="27"/>
  <c r="AL87" i="27"/>
  <c r="AO87" i="27"/>
  <c r="A88" i="27"/>
  <c r="X88" i="27"/>
  <c r="AC88" i="27"/>
  <c r="AD88" i="27"/>
  <c r="AE88" i="27"/>
  <c r="AF88" i="27"/>
  <c r="AG88" i="27"/>
  <c r="AH88" i="27"/>
  <c r="AI88" i="27"/>
  <c r="AJ88" i="27"/>
  <c r="AK88" i="27"/>
  <c r="AL88" i="27"/>
  <c r="AO88" i="27"/>
  <c r="A89" i="27"/>
  <c r="X89" i="27"/>
  <c r="AC89" i="27"/>
  <c r="AD89" i="27"/>
  <c r="AE89" i="27"/>
  <c r="AF89" i="27"/>
  <c r="AG89" i="27"/>
  <c r="AH89" i="27"/>
  <c r="AI89" i="27"/>
  <c r="AJ89" i="27"/>
  <c r="AK89" i="27"/>
  <c r="AL89" i="27"/>
  <c r="AO89" i="27"/>
  <c r="A90" i="27"/>
  <c r="X90" i="27"/>
  <c r="AC90" i="27"/>
  <c r="AD90" i="27"/>
  <c r="AE90" i="27"/>
  <c r="AF90" i="27"/>
  <c r="AG90" i="27"/>
  <c r="AH90" i="27"/>
  <c r="AI90" i="27"/>
  <c r="AJ90" i="27"/>
  <c r="AK90" i="27"/>
  <c r="AL90" i="27"/>
  <c r="AO90" i="27"/>
  <c r="A91" i="27"/>
  <c r="X91" i="27"/>
  <c r="AC91" i="27"/>
  <c r="AD91" i="27"/>
  <c r="AE91" i="27"/>
  <c r="AF91" i="27"/>
  <c r="AG91" i="27"/>
  <c r="AH91" i="27"/>
  <c r="AI91" i="27"/>
  <c r="AJ91" i="27"/>
  <c r="AK91" i="27"/>
  <c r="AL91" i="27"/>
  <c r="AO91" i="27"/>
  <c r="A92" i="27"/>
  <c r="X92" i="27"/>
  <c r="AC92" i="27"/>
  <c r="AD92" i="27"/>
  <c r="AE92" i="27"/>
  <c r="AF92" i="27"/>
  <c r="AG92" i="27"/>
  <c r="AH92" i="27"/>
  <c r="AI92" i="27"/>
  <c r="AJ92" i="27"/>
  <c r="AK92" i="27"/>
  <c r="AL92" i="27"/>
  <c r="AO92" i="27"/>
  <c r="A93" i="27"/>
  <c r="X93" i="27"/>
  <c r="AC93" i="27"/>
  <c r="AD93" i="27"/>
  <c r="AE93" i="27"/>
  <c r="AF93" i="27"/>
  <c r="AG93" i="27"/>
  <c r="AH93" i="27"/>
  <c r="AI93" i="27"/>
  <c r="AJ93" i="27"/>
  <c r="AK93" i="27"/>
  <c r="AL93" i="27"/>
  <c r="AO93" i="27"/>
  <c r="A94" i="27"/>
  <c r="X94" i="27"/>
  <c r="AC94" i="27"/>
  <c r="AD94" i="27"/>
  <c r="AE94" i="27"/>
  <c r="AF94" i="27"/>
  <c r="AG94" i="27"/>
  <c r="AH94" i="27"/>
  <c r="AI94" i="27"/>
  <c r="AJ94" i="27"/>
  <c r="AK94" i="27"/>
  <c r="AL94" i="27"/>
  <c r="AO94" i="27"/>
  <c r="A95" i="27"/>
  <c r="X95" i="27"/>
  <c r="AC95" i="27"/>
  <c r="AM95" i="27" s="1"/>
  <c r="AD95" i="27"/>
  <c r="AE95" i="27"/>
  <c r="AF95" i="27"/>
  <c r="AG95" i="27"/>
  <c r="AH95" i="27"/>
  <c r="AI95" i="27"/>
  <c r="AJ95" i="27"/>
  <c r="AK95" i="27"/>
  <c r="AL95" i="27"/>
  <c r="AO95" i="27"/>
  <c r="A96" i="27"/>
  <c r="X96" i="27"/>
  <c r="AC96" i="27"/>
  <c r="AD96" i="27"/>
  <c r="AE96" i="27"/>
  <c r="AF96" i="27"/>
  <c r="AG96" i="27"/>
  <c r="AH96" i="27"/>
  <c r="AI96" i="27"/>
  <c r="AJ96" i="27"/>
  <c r="AK96" i="27"/>
  <c r="AL96" i="27"/>
  <c r="AO96" i="27"/>
  <c r="A97" i="27"/>
  <c r="X97" i="27"/>
  <c r="AC97" i="27"/>
  <c r="AD97" i="27"/>
  <c r="AE97" i="27"/>
  <c r="AF97" i="27"/>
  <c r="AG97" i="27"/>
  <c r="AH97" i="27"/>
  <c r="AI97" i="27"/>
  <c r="AJ97" i="27"/>
  <c r="AK97" i="27"/>
  <c r="AL97" i="27"/>
  <c r="AO97" i="27"/>
  <c r="A98" i="27"/>
  <c r="X98" i="27"/>
  <c r="AC98" i="27"/>
  <c r="AD98" i="27"/>
  <c r="AE98" i="27"/>
  <c r="AF98" i="27"/>
  <c r="AG98" i="27"/>
  <c r="AH98" i="27"/>
  <c r="AI98" i="27"/>
  <c r="AJ98" i="27"/>
  <c r="AK98" i="27"/>
  <c r="AL98" i="27"/>
  <c r="AO98" i="27"/>
  <c r="A99" i="27"/>
  <c r="X99" i="27"/>
  <c r="AC99" i="27"/>
  <c r="AD99" i="27"/>
  <c r="AE99" i="27"/>
  <c r="AF99" i="27"/>
  <c r="AG99" i="27"/>
  <c r="AH99" i="27"/>
  <c r="AI99" i="27"/>
  <c r="AJ99" i="27"/>
  <c r="AK99" i="27"/>
  <c r="AL99" i="27"/>
  <c r="AO99" i="27"/>
  <c r="A100" i="27"/>
  <c r="X100" i="27"/>
  <c r="AC100" i="27"/>
  <c r="AD100" i="27"/>
  <c r="AE100" i="27"/>
  <c r="AF100" i="27"/>
  <c r="AG100" i="27"/>
  <c r="AH100" i="27"/>
  <c r="AI100" i="27"/>
  <c r="AJ100" i="27"/>
  <c r="AK100" i="27"/>
  <c r="AL100" i="27"/>
  <c r="AO100" i="27"/>
  <c r="A101" i="27"/>
  <c r="X101" i="27"/>
  <c r="AC101" i="27"/>
  <c r="AD101" i="27"/>
  <c r="AE101" i="27"/>
  <c r="AF101" i="27"/>
  <c r="AG101" i="27"/>
  <c r="AH101" i="27"/>
  <c r="AI101" i="27"/>
  <c r="AJ101" i="27"/>
  <c r="AK101" i="27"/>
  <c r="AL101" i="27"/>
  <c r="AO101" i="27"/>
  <c r="A102" i="27"/>
  <c r="X102" i="27"/>
  <c r="AC102" i="27"/>
  <c r="AN102" i="27" s="1"/>
  <c r="AD102" i="27"/>
  <c r="AE102" i="27"/>
  <c r="AF102" i="27"/>
  <c r="AG102" i="27"/>
  <c r="AH102" i="27"/>
  <c r="AI102" i="27"/>
  <c r="AJ102" i="27"/>
  <c r="AK102" i="27"/>
  <c r="AL102" i="27"/>
  <c r="AO102" i="27"/>
  <c r="A103" i="27"/>
  <c r="X103" i="27"/>
  <c r="AC103" i="27"/>
  <c r="AD103" i="27"/>
  <c r="AE103" i="27"/>
  <c r="AF103" i="27"/>
  <c r="AG103" i="27"/>
  <c r="AH103" i="27"/>
  <c r="AI103" i="27"/>
  <c r="AJ103" i="27"/>
  <c r="AK103" i="27"/>
  <c r="AL103" i="27"/>
  <c r="AO103" i="27"/>
  <c r="A104" i="27"/>
  <c r="X104" i="27"/>
  <c r="AC104" i="27"/>
  <c r="AN104" i="27" s="1"/>
  <c r="AD104" i="27"/>
  <c r="AE104" i="27"/>
  <c r="AF104" i="27"/>
  <c r="AG104" i="27"/>
  <c r="AH104" i="27"/>
  <c r="AI104" i="27"/>
  <c r="AJ104" i="27"/>
  <c r="AK104" i="27"/>
  <c r="AL104" i="27"/>
  <c r="AO104" i="27"/>
  <c r="A105" i="27"/>
  <c r="X105" i="27"/>
  <c r="AC105" i="27"/>
  <c r="AD105" i="27"/>
  <c r="AE105" i="27"/>
  <c r="AF105" i="27"/>
  <c r="AG105" i="27"/>
  <c r="AH105" i="27"/>
  <c r="AI105" i="27"/>
  <c r="AJ105" i="27"/>
  <c r="AN105" i="27" s="1"/>
  <c r="AK105" i="27"/>
  <c r="AL105" i="27"/>
  <c r="AO105" i="27"/>
  <c r="A106" i="27"/>
  <c r="X106" i="27"/>
  <c r="AC106" i="27"/>
  <c r="AD106" i="27"/>
  <c r="AE106" i="27"/>
  <c r="AF106" i="27"/>
  <c r="AG106" i="27"/>
  <c r="AH106" i="27"/>
  <c r="AI106" i="27"/>
  <c r="AJ106" i="27"/>
  <c r="AK106" i="27"/>
  <c r="AL106" i="27"/>
  <c r="AL196" i="27" s="1"/>
  <c r="AO106" i="27"/>
  <c r="A107" i="27"/>
  <c r="X107" i="27"/>
  <c r="AC107" i="27"/>
  <c r="AD107" i="27"/>
  <c r="AE107" i="27"/>
  <c r="AF107" i="27"/>
  <c r="AG107" i="27"/>
  <c r="AH107" i="27"/>
  <c r="AI107" i="27"/>
  <c r="AJ107" i="27"/>
  <c r="AK107" i="27"/>
  <c r="AL107" i="27"/>
  <c r="AO107" i="27"/>
  <c r="A108" i="27"/>
  <c r="X108" i="27"/>
  <c r="AC108" i="27"/>
  <c r="AD108" i="27"/>
  <c r="AE108" i="27"/>
  <c r="AF108" i="27"/>
  <c r="AG108" i="27"/>
  <c r="AH108" i="27"/>
  <c r="AI108" i="27"/>
  <c r="AJ108" i="27"/>
  <c r="AK108" i="27"/>
  <c r="AL108" i="27"/>
  <c r="AO108" i="27"/>
  <c r="A109" i="27"/>
  <c r="X109" i="27"/>
  <c r="AC109" i="27"/>
  <c r="AD109" i="27"/>
  <c r="AE109" i="27"/>
  <c r="AF109" i="27"/>
  <c r="AG109" i="27"/>
  <c r="AH109" i="27"/>
  <c r="AI109" i="27"/>
  <c r="AJ109" i="27"/>
  <c r="AK109" i="27"/>
  <c r="AL109" i="27"/>
  <c r="AM109" i="27"/>
  <c r="AO109" i="27"/>
  <c r="A110" i="27"/>
  <c r="X110" i="27"/>
  <c r="AC110" i="27"/>
  <c r="AD110" i="27"/>
  <c r="AE110" i="27"/>
  <c r="AF110" i="27"/>
  <c r="AG110" i="27"/>
  <c r="AH110" i="27"/>
  <c r="AI110" i="27"/>
  <c r="AJ110" i="27"/>
  <c r="AK110" i="27"/>
  <c r="AL110" i="27"/>
  <c r="AO110" i="27"/>
  <c r="A111" i="27"/>
  <c r="X111" i="27"/>
  <c r="AC111" i="27"/>
  <c r="AD111" i="27"/>
  <c r="AE111" i="27"/>
  <c r="AF111" i="27"/>
  <c r="AG111" i="27"/>
  <c r="AH111" i="27"/>
  <c r="AI111" i="27"/>
  <c r="AJ111" i="27"/>
  <c r="AK111" i="27"/>
  <c r="AL111" i="27"/>
  <c r="AO111" i="27"/>
  <c r="A112" i="27"/>
  <c r="X112" i="27"/>
  <c r="AC112" i="27"/>
  <c r="AD112" i="27"/>
  <c r="AE112" i="27"/>
  <c r="AF112" i="27"/>
  <c r="AG112" i="27"/>
  <c r="AH112" i="27"/>
  <c r="AI112" i="27"/>
  <c r="AJ112" i="27"/>
  <c r="AK112" i="27"/>
  <c r="AL112" i="27"/>
  <c r="AN112" i="27"/>
  <c r="AO112" i="27"/>
  <c r="A113" i="27"/>
  <c r="X113" i="27"/>
  <c r="AC113" i="27"/>
  <c r="AD113" i="27"/>
  <c r="AE113" i="27"/>
  <c r="AF113" i="27"/>
  <c r="AG113" i="27"/>
  <c r="AN113" i="27" s="1"/>
  <c r="AH113" i="27"/>
  <c r="AI113" i="27"/>
  <c r="AJ113" i="27"/>
  <c r="AK113" i="27"/>
  <c r="AL113" i="27"/>
  <c r="AO113" i="27"/>
  <c r="A114" i="27"/>
  <c r="X114" i="27"/>
  <c r="AC114" i="27"/>
  <c r="AD114" i="27"/>
  <c r="AE114" i="27"/>
  <c r="AF114" i="27"/>
  <c r="AG114" i="27"/>
  <c r="AH114" i="27"/>
  <c r="AI114" i="27"/>
  <c r="AJ114" i="27"/>
  <c r="AK114" i="27"/>
  <c r="AL114" i="27"/>
  <c r="AO114" i="27"/>
  <c r="A115" i="27"/>
  <c r="X115" i="27"/>
  <c r="AC115" i="27"/>
  <c r="AD115" i="27"/>
  <c r="AE115" i="27"/>
  <c r="AF115" i="27"/>
  <c r="AG115" i="27"/>
  <c r="AH115" i="27"/>
  <c r="AI115" i="27"/>
  <c r="AJ115" i="27"/>
  <c r="AK115" i="27"/>
  <c r="AL115" i="27"/>
  <c r="AO115" i="27"/>
  <c r="A116" i="27"/>
  <c r="X116" i="27"/>
  <c r="AC116" i="27"/>
  <c r="AD116" i="27"/>
  <c r="AE116" i="27"/>
  <c r="AF116" i="27"/>
  <c r="AG116" i="27"/>
  <c r="AH116" i="27"/>
  <c r="AI116" i="27"/>
  <c r="AJ116" i="27"/>
  <c r="AK116" i="27"/>
  <c r="AL116" i="27"/>
  <c r="AO116" i="27"/>
  <c r="A117" i="27"/>
  <c r="X117" i="27"/>
  <c r="AC117" i="27"/>
  <c r="AD117" i="27"/>
  <c r="AE117" i="27"/>
  <c r="AF117" i="27"/>
  <c r="AG117" i="27"/>
  <c r="AH117" i="27"/>
  <c r="AI117" i="27"/>
  <c r="AJ117" i="27"/>
  <c r="AK117" i="27"/>
  <c r="AL117" i="27"/>
  <c r="AO117" i="27"/>
  <c r="A118" i="27"/>
  <c r="X118" i="27"/>
  <c r="AC118" i="27"/>
  <c r="AD118" i="27"/>
  <c r="AE118" i="27"/>
  <c r="AF118" i="27"/>
  <c r="AG118" i="27"/>
  <c r="AH118" i="27"/>
  <c r="AI118" i="27"/>
  <c r="AJ118" i="27"/>
  <c r="AK118" i="27"/>
  <c r="AL118" i="27"/>
  <c r="AO118" i="27"/>
  <c r="A119" i="27"/>
  <c r="X119" i="27"/>
  <c r="AC119" i="27"/>
  <c r="AD119" i="27"/>
  <c r="AE119" i="27"/>
  <c r="AF119" i="27"/>
  <c r="AG119" i="27"/>
  <c r="AH119" i="27"/>
  <c r="AI119" i="27"/>
  <c r="AJ119" i="27"/>
  <c r="AK119" i="27"/>
  <c r="AL119" i="27"/>
  <c r="AO119" i="27"/>
  <c r="A120" i="27"/>
  <c r="X120" i="27"/>
  <c r="AC120" i="27"/>
  <c r="AM120" i="27" s="1"/>
  <c r="AD120" i="27"/>
  <c r="AE120" i="27"/>
  <c r="AF120" i="27"/>
  <c r="AG120" i="27"/>
  <c r="AH120" i="27"/>
  <c r="AI120" i="27"/>
  <c r="AJ120" i="27"/>
  <c r="AK120" i="27"/>
  <c r="AL120" i="27"/>
  <c r="AO120" i="27"/>
  <c r="A121" i="27"/>
  <c r="X121" i="27"/>
  <c r="AC121" i="27"/>
  <c r="AD121" i="27"/>
  <c r="AE121" i="27"/>
  <c r="AF121" i="27"/>
  <c r="AG121" i="27"/>
  <c r="AH121" i="27"/>
  <c r="AI121" i="27"/>
  <c r="AJ121" i="27"/>
  <c r="AK121" i="27"/>
  <c r="AL121" i="27"/>
  <c r="AO121" i="27"/>
  <c r="A122" i="27"/>
  <c r="X122" i="27"/>
  <c r="AC122" i="27"/>
  <c r="AD122" i="27"/>
  <c r="AE122" i="27"/>
  <c r="AF122" i="27"/>
  <c r="AG122" i="27"/>
  <c r="AH122" i="27"/>
  <c r="AI122" i="27"/>
  <c r="AJ122" i="27"/>
  <c r="AK122" i="27"/>
  <c r="AL122" i="27"/>
  <c r="AO122" i="27"/>
  <c r="A123" i="27"/>
  <c r="X123" i="27"/>
  <c r="AC123" i="27"/>
  <c r="AD123" i="27"/>
  <c r="AE123" i="27"/>
  <c r="AF123" i="27"/>
  <c r="AG123" i="27"/>
  <c r="AH123" i="27"/>
  <c r="AI123" i="27"/>
  <c r="AJ123" i="27"/>
  <c r="AK123" i="27"/>
  <c r="AN123" i="27" s="1"/>
  <c r="AL123" i="27"/>
  <c r="AO123" i="27"/>
  <c r="A124" i="27"/>
  <c r="X124" i="27"/>
  <c r="AC124" i="27"/>
  <c r="AD124" i="27"/>
  <c r="AE124" i="27"/>
  <c r="AF124" i="27"/>
  <c r="AG124" i="27"/>
  <c r="AH124" i="27"/>
  <c r="AI124" i="27"/>
  <c r="AJ124" i="27"/>
  <c r="AK124" i="27"/>
  <c r="AL124" i="27"/>
  <c r="AO124" i="27"/>
  <c r="A125" i="27"/>
  <c r="X125" i="27"/>
  <c r="AC125" i="27"/>
  <c r="AD125" i="27"/>
  <c r="AE125" i="27"/>
  <c r="AF125" i="27"/>
  <c r="AG125" i="27"/>
  <c r="AH125" i="27"/>
  <c r="AI125" i="27"/>
  <c r="AJ125" i="27"/>
  <c r="AK125" i="27"/>
  <c r="AL125" i="27"/>
  <c r="AO125" i="27"/>
  <c r="A126" i="27"/>
  <c r="X126" i="27"/>
  <c r="AC126" i="27"/>
  <c r="AD126" i="27"/>
  <c r="AE126" i="27"/>
  <c r="AF126" i="27"/>
  <c r="AG126" i="27"/>
  <c r="AH126" i="27"/>
  <c r="AI126" i="27"/>
  <c r="AJ126" i="27"/>
  <c r="AK126" i="27"/>
  <c r="AL126" i="27"/>
  <c r="AO126" i="27"/>
  <c r="A127" i="27"/>
  <c r="X127" i="27"/>
  <c r="AC127" i="27"/>
  <c r="AD127" i="27"/>
  <c r="AE127" i="27"/>
  <c r="AF127" i="27"/>
  <c r="AG127" i="27"/>
  <c r="AH127" i="27"/>
  <c r="AI127" i="27"/>
  <c r="AJ127" i="27"/>
  <c r="AK127" i="27"/>
  <c r="AL127" i="27"/>
  <c r="AO127" i="27"/>
  <c r="A128" i="27"/>
  <c r="X128" i="27"/>
  <c r="AC128" i="27"/>
  <c r="AD128" i="27"/>
  <c r="AE128" i="27"/>
  <c r="AF128" i="27"/>
  <c r="AG128" i="27"/>
  <c r="AH128" i="27"/>
  <c r="AI128" i="27"/>
  <c r="AJ128" i="27"/>
  <c r="AK128" i="27"/>
  <c r="AL128" i="27"/>
  <c r="AO128" i="27"/>
  <c r="A129" i="27"/>
  <c r="X129" i="27"/>
  <c r="AC129" i="27"/>
  <c r="AD129" i="27"/>
  <c r="AE129" i="27"/>
  <c r="AF129" i="27"/>
  <c r="AG129" i="27"/>
  <c r="AH129" i="27"/>
  <c r="AI129" i="27"/>
  <c r="AJ129" i="27"/>
  <c r="AK129" i="27"/>
  <c r="AL129" i="27"/>
  <c r="AO129" i="27"/>
  <c r="A130" i="27"/>
  <c r="X130" i="27"/>
  <c r="AC130" i="27"/>
  <c r="AD130" i="27"/>
  <c r="AE130" i="27"/>
  <c r="AF130" i="27"/>
  <c r="AG130" i="27"/>
  <c r="AH130" i="27"/>
  <c r="AI130" i="27"/>
  <c r="AJ130" i="27"/>
  <c r="AK130" i="27"/>
  <c r="AL130" i="27"/>
  <c r="AO130" i="27"/>
  <c r="A131" i="27"/>
  <c r="X131" i="27"/>
  <c r="AC131" i="27"/>
  <c r="AN131" i="27" s="1"/>
  <c r="AD131" i="27"/>
  <c r="AE131" i="27"/>
  <c r="AF131" i="27"/>
  <c r="AG131" i="27"/>
  <c r="AH131" i="27"/>
  <c r="AI131" i="27"/>
  <c r="AJ131" i="27"/>
  <c r="AK131" i="27"/>
  <c r="AL131" i="27"/>
  <c r="AO131" i="27"/>
  <c r="A132" i="27"/>
  <c r="X132" i="27"/>
  <c r="AC132" i="27"/>
  <c r="AD132" i="27"/>
  <c r="AE132" i="27"/>
  <c r="AF132" i="27"/>
  <c r="AG132" i="27"/>
  <c r="AH132" i="27"/>
  <c r="AI132" i="27"/>
  <c r="AJ132" i="27"/>
  <c r="AK132" i="27"/>
  <c r="AL132" i="27"/>
  <c r="AO132" i="27"/>
  <c r="A133" i="27"/>
  <c r="X133" i="27"/>
  <c r="AC133" i="27"/>
  <c r="AD133" i="27"/>
  <c r="AE133" i="27"/>
  <c r="AF133" i="27"/>
  <c r="AG133" i="27"/>
  <c r="AH133" i="27"/>
  <c r="AI133" i="27"/>
  <c r="AJ133" i="27"/>
  <c r="AK133" i="27"/>
  <c r="AL133" i="27"/>
  <c r="AO133" i="27"/>
  <c r="A134" i="27"/>
  <c r="X134" i="27"/>
  <c r="AC134" i="27"/>
  <c r="AD134" i="27"/>
  <c r="AE134" i="27"/>
  <c r="AF134" i="27"/>
  <c r="AG134" i="27"/>
  <c r="AH134" i="27"/>
  <c r="AI134" i="27"/>
  <c r="AJ134" i="27"/>
  <c r="AK134" i="27"/>
  <c r="AL134" i="27"/>
  <c r="AO134" i="27"/>
  <c r="A135" i="27"/>
  <c r="X135" i="27"/>
  <c r="AC135" i="27"/>
  <c r="AD135" i="27"/>
  <c r="AE135" i="27"/>
  <c r="AF135" i="27"/>
  <c r="AG135" i="27"/>
  <c r="AH135" i="27"/>
  <c r="AI135" i="27"/>
  <c r="AJ135" i="27"/>
  <c r="AK135" i="27"/>
  <c r="AL135" i="27"/>
  <c r="AO135" i="27"/>
  <c r="A136" i="27"/>
  <c r="X136" i="27"/>
  <c r="AC136" i="27"/>
  <c r="AM136" i="27" s="1"/>
  <c r="AD136" i="27"/>
  <c r="AE136" i="27"/>
  <c r="AF136" i="27"/>
  <c r="AG136" i="27"/>
  <c r="AH136" i="27"/>
  <c r="AI136" i="27"/>
  <c r="AJ136" i="27"/>
  <c r="AK136" i="27"/>
  <c r="AL136" i="27"/>
  <c r="AO136" i="27"/>
  <c r="A137" i="27"/>
  <c r="X137" i="27"/>
  <c r="AC137" i="27"/>
  <c r="AD137" i="27"/>
  <c r="AE137" i="27"/>
  <c r="AF137" i="27"/>
  <c r="AG137" i="27"/>
  <c r="AH137" i="27"/>
  <c r="AI137" i="27"/>
  <c r="AJ137" i="27"/>
  <c r="AK137" i="27"/>
  <c r="AL137" i="27"/>
  <c r="AO137" i="27"/>
  <c r="A138" i="27"/>
  <c r="X138" i="27"/>
  <c r="AC138" i="27"/>
  <c r="AD138" i="27"/>
  <c r="AE138" i="27"/>
  <c r="AF138" i="27"/>
  <c r="AG138" i="27"/>
  <c r="AH138" i="27"/>
  <c r="AI138" i="27"/>
  <c r="AJ138" i="27"/>
  <c r="AK138" i="27"/>
  <c r="AL138" i="27"/>
  <c r="AO138" i="27"/>
  <c r="A139" i="27"/>
  <c r="X139" i="27"/>
  <c r="AC139" i="27"/>
  <c r="AD139" i="27"/>
  <c r="AE139" i="27"/>
  <c r="AF139" i="27"/>
  <c r="AG139" i="27"/>
  <c r="AH139" i="27"/>
  <c r="AI139" i="27"/>
  <c r="AJ139" i="27"/>
  <c r="AK139" i="27"/>
  <c r="AL139" i="27"/>
  <c r="AO139" i="27"/>
  <c r="A140" i="27"/>
  <c r="X140" i="27"/>
  <c r="AC140" i="27"/>
  <c r="AD140" i="27"/>
  <c r="AN140" i="27" s="1"/>
  <c r="AE140" i="27"/>
  <c r="AF140" i="27"/>
  <c r="AG140" i="27"/>
  <c r="AH140" i="27"/>
  <c r="AI140" i="27"/>
  <c r="AJ140" i="27"/>
  <c r="AK140" i="27"/>
  <c r="AL140" i="27"/>
  <c r="AO140" i="27"/>
  <c r="A141" i="27"/>
  <c r="X141" i="27"/>
  <c r="AC141" i="27"/>
  <c r="AD141" i="27"/>
  <c r="AE141" i="27"/>
  <c r="AF141" i="27"/>
  <c r="AG141" i="27"/>
  <c r="AH141" i="27"/>
  <c r="AI141" i="27"/>
  <c r="AJ141" i="27"/>
  <c r="AK141" i="27"/>
  <c r="AL141" i="27"/>
  <c r="AO141" i="27"/>
  <c r="A142" i="27"/>
  <c r="X142" i="27"/>
  <c r="AC142" i="27"/>
  <c r="AD142" i="27"/>
  <c r="AE142" i="27"/>
  <c r="AF142" i="27"/>
  <c r="AG142" i="27"/>
  <c r="AH142" i="27"/>
  <c r="AI142" i="27"/>
  <c r="AJ142" i="27"/>
  <c r="AK142" i="27"/>
  <c r="AL142" i="27"/>
  <c r="AO142" i="27"/>
  <c r="A143" i="27"/>
  <c r="X143" i="27"/>
  <c r="AC143" i="27"/>
  <c r="AD143" i="27"/>
  <c r="AE143" i="27"/>
  <c r="AF143" i="27"/>
  <c r="AG143" i="27"/>
  <c r="AH143" i="27"/>
  <c r="AI143" i="27"/>
  <c r="AJ143" i="27"/>
  <c r="AK143" i="27"/>
  <c r="AL143" i="27"/>
  <c r="AO143" i="27"/>
  <c r="A144" i="27"/>
  <c r="X144" i="27"/>
  <c r="AC144" i="27"/>
  <c r="AD144" i="27"/>
  <c r="AE144" i="27"/>
  <c r="AF144" i="27"/>
  <c r="AG144" i="27"/>
  <c r="AH144" i="27"/>
  <c r="AN144" i="27" s="1"/>
  <c r="AI144" i="27"/>
  <c r="AJ144" i="27"/>
  <c r="AK144" i="27"/>
  <c r="AL144" i="27"/>
  <c r="AO144" i="27"/>
  <c r="A145" i="27"/>
  <c r="X145" i="27"/>
  <c r="AC145" i="27"/>
  <c r="AD145" i="27"/>
  <c r="AE145" i="27"/>
  <c r="AF145" i="27"/>
  <c r="AG145" i="27"/>
  <c r="AH145" i="27"/>
  <c r="AI145" i="27"/>
  <c r="AJ145" i="27"/>
  <c r="AK145" i="27"/>
  <c r="AL145" i="27"/>
  <c r="AO145" i="27"/>
  <c r="A146" i="27"/>
  <c r="X146" i="27"/>
  <c r="AC146" i="27"/>
  <c r="AD146" i="27"/>
  <c r="AE146" i="27"/>
  <c r="AF146" i="27"/>
  <c r="AG146" i="27"/>
  <c r="AH146" i="27"/>
  <c r="AI146" i="27"/>
  <c r="AJ146" i="27"/>
  <c r="AK146" i="27"/>
  <c r="AL146" i="27"/>
  <c r="AO146" i="27"/>
  <c r="A147" i="27"/>
  <c r="X147" i="27"/>
  <c r="AC147" i="27"/>
  <c r="AD147" i="27"/>
  <c r="AE147" i="27"/>
  <c r="AF147" i="27"/>
  <c r="AG147" i="27"/>
  <c r="AH147" i="27"/>
  <c r="AI147" i="27"/>
  <c r="AJ147" i="27"/>
  <c r="AK147" i="27"/>
  <c r="AL147" i="27"/>
  <c r="AO147" i="27"/>
  <c r="A148" i="27"/>
  <c r="X148" i="27"/>
  <c r="AC148" i="27"/>
  <c r="AD148" i="27"/>
  <c r="AE148" i="27"/>
  <c r="AF148" i="27"/>
  <c r="AG148" i="27"/>
  <c r="AH148" i="27"/>
  <c r="AI148" i="27"/>
  <c r="AJ148" i="27"/>
  <c r="AK148" i="27"/>
  <c r="AL148" i="27"/>
  <c r="AO148" i="27"/>
  <c r="A149" i="27"/>
  <c r="X149" i="27"/>
  <c r="AC149" i="27"/>
  <c r="AD149" i="27"/>
  <c r="AE149" i="27"/>
  <c r="AF149" i="27"/>
  <c r="AG149" i="27"/>
  <c r="AH149" i="27"/>
  <c r="AI149" i="27"/>
  <c r="AJ149" i="27"/>
  <c r="AK149" i="27"/>
  <c r="AL149" i="27"/>
  <c r="AO149" i="27"/>
  <c r="A150" i="27"/>
  <c r="X150" i="27"/>
  <c r="AC150" i="27"/>
  <c r="AD150" i="27"/>
  <c r="AE150" i="27"/>
  <c r="AF150" i="27"/>
  <c r="AG150" i="27"/>
  <c r="AH150" i="27"/>
  <c r="AI150" i="27"/>
  <c r="AJ150" i="27"/>
  <c r="AK150" i="27"/>
  <c r="AL150" i="27"/>
  <c r="AO150" i="27"/>
  <c r="A151" i="27"/>
  <c r="X151" i="27"/>
  <c r="AC151" i="27"/>
  <c r="AD151" i="27"/>
  <c r="AE151" i="27"/>
  <c r="AF151" i="27"/>
  <c r="AG151" i="27"/>
  <c r="AH151" i="27"/>
  <c r="AI151" i="27"/>
  <c r="AJ151" i="27"/>
  <c r="AK151" i="27"/>
  <c r="AL151" i="27"/>
  <c r="AO151" i="27"/>
  <c r="A152" i="27"/>
  <c r="X152" i="27"/>
  <c r="AC152" i="27"/>
  <c r="AN152" i="27" s="1"/>
  <c r="AD152" i="27"/>
  <c r="AE152" i="27"/>
  <c r="AF152" i="27"/>
  <c r="AG152" i="27"/>
  <c r="AH152" i="27"/>
  <c r="AI152" i="27"/>
  <c r="AJ152" i="27"/>
  <c r="AK152" i="27"/>
  <c r="AL152" i="27"/>
  <c r="AO152" i="27"/>
  <c r="A153" i="27"/>
  <c r="X153" i="27"/>
  <c r="AC153" i="27"/>
  <c r="AD153" i="27"/>
  <c r="AE153" i="27"/>
  <c r="AF153" i="27"/>
  <c r="AG153" i="27"/>
  <c r="AH153" i="27"/>
  <c r="AI153" i="27"/>
  <c r="AJ153" i="27"/>
  <c r="AK153" i="27"/>
  <c r="AL153" i="27"/>
  <c r="AO153" i="27"/>
  <c r="A154" i="27"/>
  <c r="X154" i="27"/>
  <c r="AC154" i="27"/>
  <c r="AD154" i="27"/>
  <c r="AE154" i="27"/>
  <c r="AF154" i="27"/>
  <c r="AG154" i="27"/>
  <c r="AH154" i="27"/>
  <c r="AI154" i="27"/>
  <c r="AJ154" i="27"/>
  <c r="AK154" i="27"/>
  <c r="AL154" i="27"/>
  <c r="AO154" i="27"/>
  <c r="A155" i="27"/>
  <c r="X155" i="27"/>
  <c r="AC155" i="27"/>
  <c r="AN155" i="27" s="1"/>
  <c r="AD155" i="27"/>
  <c r="AE155" i="27"/>
  <c r="AF155" i="27"/>
  <c r="AG155" i="27"/>
  <c r="AH155" i="27"/>
  <c r="AI155" i="27"/>
  <c r="AJ155" i="27"/>
  <c r="AK155" i="27"/>
  <c r="AL155" i="27"/>
  <c r="AO155" i="27"/>
  <c r="A156" i="27"/>
  <c r="X156" i="27"/>
  <c r="AC156" i="27"/>
  <c r="AD156" i="27"/>
  <c r="AE156" i="27"/>
  <c r="AF156" i="27"/>
  <c r="AG156" i="27"/>
  <c r="AH156" i="27"/>
  <c r="AI156" i="27"/>
  <c r="AJ156" i="27"/>
  <c r="AK156" i="27"/>
  <c r="AL156" i="27"/>
  <c r="AO156" i="27"/>
  <c r="A157" i="27"/>
  <c r="X157" i="27"/>
  <c r="AC157" i="27"/>
  <c r="AD157" i="27"/>
  <c r="AE157" i="27"/>
  <c r="AF157" i="27"/>
  <c r="AG157" i="27"/>
  <c r="AH157" i="27"/>
  <c r="AI157" i="27"/>
  <c r="AJ157" i="27"/>
  <c r="AK157" i="27"/>
  <c r="AL157" i="27"/>
  <c r="AO157" i="27"/>
  <c r="A158" i="27"/>
  <c r="X158" i="27"/>
  <c r="AC158" i="27"/>
  <c r="AD158" i="27"/>
  <c r="AE158" i="27"/>
  <c r="AF158" i="27"/>
  <c r="AG158" i="27"/>
  <c r="AH158" i="27"/>
  <c r="AI158" i="27"/>
  <c r="AJ158" i="27"/>
  <c r="AK158" i="27"/>
  <c r="AL158" i="27"/>
  <c r="AO158" i="27"/>
  <c r="A159" i="27"/>
  <c r="X159" i="27"/>
  <c r="AC159" i="27"/>
  <c r="AD159" i="27"/>
  <c r="AE159" i="27"/>
  <c r="AF159" i="27"/>
  <c r="AG159" i="27"/>
  <c r="AH159" i="27"/>
  <c r="AI159" i="27"/>
  <c r="AJ159" i="27"/>
  <c r="AK159" i="27"/>
  <c r="AL159" i="27"/>
  <c r="AO159" i="27"/>
  <c r="A160" i="27"/>
  <c r="X160" i="27"/>
  <c r="AC160" i="27"/>
  <c r="AN160" i="27" s="1"/>
  <c r="AD160" i="27"/>
  <c r="AE160" i="27"/>
  <c r="AF160" i="27"/>
  <c r="AM160" i="27" s="1"/>
  <c r="AG160" i="27"/>
  <c r="AH160" i="27"/>
  <c r="AI160" i="27"/>
  <c r="AJ160" i="27"/>
  <c r="AK160" i="27"/>
  <c r="AL160" i="27"/>
  <c r="AO160" i="27"/>
  <c r="A161" i="27"/>
  <c r="X161" i="27"/>
  <c r="AC161" i="27"/>
  <c r="AD161" i="27"/>
  <c r="AE161" i="27"/>
  <c r="AF161" i="27"/>
  <c r="AG161" i="27"/>
  <c r="AH161" i="27"/>
  <c r="AI161" i="27"/>
  <c r="AJ161" i="27"/>
  <c r="AK161" i="27"/>
  <c r="AL161" i="27"/>
  <c r="AO161" i="27"/>
  <c r="A162" i="27"/>
  <c r="X162" i="27"/>
  <c r="AC162" i="27"/>
  <c r="AD162" i="27"/>
  <c r="AE162" i="27"/>
  <c r="AF162" i="27"/>
  <c r="AG162" i="27"/>
  <c r="AH162" i="27"/>
  <c r="AI162" i="27"/>
  <c r="AJ162" i="27"/>
  <c r="AK162" i="27"/>
  <c r="AL162" i="27"/>
  <c r="AO162" i="27"/>
  <c r="A163" i="27"/>
  <c r="X163" i="27"/>
  <c r="AC163" i="27"/>
  <c r="AD163" i="27"/>
  <c r="AE163" i="27"/>
  <c r="AF163" i="27"/>
  <c r="AG163" i="27"/>
  <c r="AH163" i="27"/>
  <c r="AI163" i="27"/>
  <c r="AJ163" i="27"/>
  <c r="AK163" i="27"/>
  <c r="AL163" i="27"/>
  <c r="AO163" i="27"/>
  <c r="A164" i="27"/>
  <c r="X164" i="27"/>
  <c r="AC164" i="27"/>
  <c r="AD164" i="27"/>
  <c r="AE164" i="27"/>
  <c r="AF164" i="27"/>
  <c r="AG164" i="27"/>
  <c r="AH164" i="27"/>
  <c r="AI164" i="27"/>
  <c r="AJ164" i="27"/>
  <c r="AK164" i="27"/>
  <c r="AL164" i="27"/>
  <c r="AO164" i="27"/>
  <c r="A165" i="27"/>
  <c r="X165" i="27"/>
  <c r="AC165" i="27"/>
  <c r="AD165" i="27"/>
  <c r="AE165" i="27"/>
  <c r="AF165" i="27"/>
  <c r="AG165" i="27"/>
  <c r="AH165" i="27"/>
  <c r="AI165" i="27"/>
  <c r="AJ165" i="27"/>
  <c r="AK165" i="27"/>
  <c r="AL165" i="27"/>
  <c r="AO165" i="27"/>
  <c r="A166" i="27"/>
  <c r="X166" i="27"/>
  <c r="AC166" i="27"/>
  <c r="AD166" i="27"/>
  <c r="AE166" i="27"/>
  <c r="AF166" i="27"/>
  <c r="AG166" i="27"/>
  <c r="AH166" i="27"/>
  <c r="AI166" i="27"/>
  <c r="AJ166" i="27"/>
  <c r="AK166" i="27"/>
  <c r="AL166" i="27"/>
  <c r="AO166" i="27"/>
  <c r="A167" i="27"/>
  <c r="X167" i="27"/>
  <c r="AC167" i="27"/>
  <c r="AD167" i="27"/>
  <c r="AE167" i="27"/>
  <c r="AF167" i="27"/>
  <c r="AG167" i="27"/>
  <c r="AH167" i="27"/>
  <c r="AI167" i="27"/>
  <c r="AJ167" i="27"/>
  <c r="AK167" i="27"/>
  <c r="AL167" i="27"/>
  <c r="AO167" i="27"/>
  <c r="A168" i="27"/>
  <c r="X168" i="27"/>
  <c r="AC168" i="27"/>
  <c r="AD168" i="27"/>
  <c r="AE168" i="27"/>
  <c r="AF168" i="27"/>
  <c r="AG168" i="27"/>
  <c r="AH168" i="27"/>
  <c r="AI168" i="27"/>
  <c r="AJ168" i="27"/>
  <c r="AK168" i="27"/>
  <c r="AL168" i="27"/>
  <c r="AO168" i="27"/>
  <c r="A169" i="27"/>
  <c r="X169" i="27"/>
  <c r="AC169" i="27"/>
  <c r="AD169" i="27"/>
  <c r="AE169" i="27"/>
  <c r="AF169" i="27"/>
  <c r="AG169" i="27"/>
  <c r="AH169" i="27"/>
  <c r="AI169" i="27"/>
  <c r="AJ169" i="27"/>
  <c r="AK169" i="27"/>
  <c r="AL169" i="27"/>
  <c r="AO169" i="27"/>
  <c r="A170" i="27"/>
  <c r="X170" i="27"/>
  <c r="AC170" i="27"/>
  <c r="AD170" i="27"/>
  <c r="AE170" i="27"/>
  <c r="AF170" i="27"/>
  <c r="AG170" i="27"/>
  <c r="AH170" i="27"/>
  <c r="AI170" i="27"/>
  <c r="AJ170" i="27"/>
  <c r="AK170" i="27"/>
  <c r="AL170" i="27"/>
  <c r="AO170" i="27"/>
  <c r="A171" i="27"/>
  <c r="X171" i="27"/>
  <c r="AC171" i="27"/>
  <c r="AD171" i="27"/>
  <c r="AE171" i="27"/>
  <c r="AF171" i="27"/>
  <c r="AG171" i="27"/>
  <c r="AH171" i="27"/>
  <c r="AI171" i="27"/>
  <c r="AJ171" i="27"/>
  <c r="AK171" i="27"/>
  <c r="AL171" i="27"/>
  <c r="AO171" i="27"/>
  <c r="A172" i="27"/>
  <c r="X172" i="27"/>
  <c r="AC172" i="27"/>
  <c r="AD172" i="27"/>
  <c r="AE172" i="27"/>
  <c r="AF172" i="27"/>
  <c r="AG172" i="27"/>
  <c r="AH172" i="27"/>
  <c r="AI172" i="27"/>
  <c r="AJ172" i="27"/>
  <c r="AK172" i="27"/>
  <c r="AL172" i="27"/>
  <c r="AO172" i="27"/>
  <c r="A173" i="27"/>
  <c r="X173" i="27"/>
  <c r="AC173" i="27"/>
  <c r="AD173" i="27"/>
  <c r="AE173" i="27"/>
  <c r="AF173" i="27"/>
  <c r="AG173" i="27"/>
  <c r="AH173" i="27"/>
  <c r="AI173" i="27"/>
  <c r="AJ173" i="27"/>
  <c r="AK173" i="27"/>
  <c r="AL173" i="27"/>
  <c r="AO173" i="27"/>
  <c r="A174" i="27"/>
  <c r="X174" i="27"/>
  <c r="AC174" i="27"/>
  <c r="AD174" i="27"/>
  <c r="AE174" i="27"/>
  <c r="AF174" i="27"/>
  <c r="AG174" i="27"/>
  <c r="AH174" i="27"/>
  <c r="AI174" i="27"/>
  <c r="AJ174" i="27"/>
  <c r="AK174" i="27"/>
  <c r="AL174" i="27"/>
  <c r="AO174" i="27"/>
  <c r="A175" i="27"/>
  <c r="X175" i="27"/>
  <c r="AC175" i="27"/>
  <c r="AD175" i="27"/>
  <c r="AE175" i="27"/>
  <c r="AF175" i="27"/>
  <c r="AG175" i="27"/>
  <c r="AH175" i="27"/>
  <c r="AI175" i="27"/>
  <c r="AJ175" i="27"/>
  <c r="AK175" i="27"/>
  <c r="AL175" i="27"/>
  <c r="AO175" i="27"/>
  <c r="A176" i="27"/>
  <c r="X176" i="27"/>
  <c r="AC176" i="27"/>
  <c r="AD176" i="27"/>
  <c r="AE176" i="27"/>
  <c r="AF176" i="27"/>
  <c r="AG176" i="27"/>
  <c r="AH176" i="27"/>
  <c r="AI176" i="27"/>
  <c r="AJ176" i="27"/>
  <c r="AK176" i="27"/>
  <c r="AL176" i="27"/>
  <c r="AO176" i="27"/>
  <c r="A177" i="27"/>
  <c r="X177" i="27"/>
  <c r="AC177" i="27"/>
  <c r="AD177" i="27"/>
  <c r="AE177" i="27"/>
  <c r="AF177" i="27"/>
  <c r="AG177" i="27"/>
  <c r="AH177" i="27"/>
  <c r="AI177" i="27"/>
  <c r="AJ177" i="27"/>
  <c r="AK177" i="27"/>
  <c r="AL177" i="27"/>
  <c r="AO177" i="27"/>
  <c r="A178" i="27"/>
  <c r="X178" i="27"/>
  <c r="AC178" i="27"/>
  <c r="AM178" i="27" s="1"/>
  <c r="AD178" i="27"/>
  <c r="AE178" i="27"/>
  <c r="AF178" i="27"/>
  <c r="AG178" i="27"/>
  <c r="AH178" i="27"/>
  <c r="AI178" i="27"/>
  <c r="AJ178" i="27"/>
  <c r="AK178" i="27"/>
  <c r="AL178" i="27"/>
  <c r="AO178" i="27"/>
  <c r="A179" i="27"/>
  <c r="X179" i="27"/>
  <c r="AC179" i="27"/>
  <c r="AD179" i="27"/>
  <c r="AE179" i="27"/>
  <c r="AF179" i="27"/>
  <c r="AG179" i="27"/>
  <c r="AH179" i="27"/>
  <c r="AI179" i="27"/>
  <c r="AJ179" i="27"/>
  <c r="AK179" i="27"/>
  <c r="AL179" i="27"/>
  <c r="AO179" i="27"/>
  <c r="A180" i="27"/>
  <c r="X180" i="27"/>
  <c r="AC180" i="27"/>
  <c r="AM180" i="27" s="1"/>
  <c r="AD180" i="27"/>
  <c r="AE180" i="27"/>
  <c r="AF180" i="27"/>
  <c r="AG180" i="27"/>
  <c r="AH180" i="27"/>
  <c r="AI180" i="27"/>
  <c r="AJ180" i="27"/>
  <c r="AK180" i="27"/>
  <c r="AL180" i="27"/>
  <c r="AO180" i="27"/>
  <c r="A181" i="27"/>
  <c r="X181" i="27"/>
  <c r="AC181" i="27"/>
  <c r="AD181" i="27"/>
  <c r="AE181" i="27"/>
  <c r="AF181" i="27"/>
  <c r="AG181" i="27"/>
  <c r="AH181" i="27"/>
  <c r="AI181" i="27"/>
  <c r="AJ181" i="27"/>
  <c r="AK181" i="27"/>
  <c r="AL181" i="27"/>
  <c r="AO181" i="27"/>
  <c r="A182" i="27"/>
  <c r="X182" i="27"/>
  <c r="AC182" i="27"/>
  <c r="AD182" i="27"/>
  <c r="AE182" i="27"/>
  <c r="AF182" i="27"/>
  <c r="AG182" i="27"/>
  <c r="AH182" i="27"/>
  <c r="AI182" i="27"/>
  <c r="AJ182" i="27"/>
  <c r="AK182" i="27"/>
  <c r="AL182" i="27"/>
  <c r="AO182" i="27"/>
  <c r="A183" i="27"/>
  <c r="X183" i="27"/>
  <c r="AC183" i="27"/>
  <c r="AD183" i="27"/>
  <c r="AE183" i="27"/>
  <c r="AF183" i="27"/>
  <c r="AG183" i="27"/>
  <c r="AH183" i="27"/>
  <c r="AI183" i="27"/>
  <c r="AJ183" i="27"/>
  <c r="AK183" i="27"/>
  <c r="AL183" i="27"/>
  <c r="AO183" i="27"/>
  <c r="A184" i="27"/>
  <c r="X184" i="27"/>
  <c r="AC184" i="27"/>
  <c r="AD184" i="27"/>
  <c r="AE184" i="27"/>
  <c r="AF184" i="27"/>
  <c r="AG184" i="27"/>
  <c r="AH184" i="27"/>
  <c r="AI184" i="27"/>
  <c r="AJ184" i="27"/>
  <c r="AK184" i="27"/>
  <c r="AL184" i="27"/>
  <c r="AO184" i="27"/>
  <c r="A185" i="27"/>
  <c r="X185" i="27"/>
  <c r="AC185" i="27"/>
  <c r="AD185" i="27"/>
  <c r="AE185" i="27"/>
  <c r="AF185" i="27"/>
  <c r="AG185" i="27"/>
  <c r="AH185" i="27"/>
  <c r="AI185" i="27"/>
  <c r="AJ185" i="27"/>
  <c r="AK185" i="27"/>
  <c r="AL185" i="27"/>
  <c r="AO185" i="27"/>
  <c r="A186" i="27"/>
  <c r="X186" i="27"/>
  <c r="AC186" i="27"/>
  <c r="AD186" i="27"/>
  <c r="AE186" i="27"/>
  <c r="AF186" i="27"/>
  <c r="AG186" i="27"/>
  <c r="AH186" i="27"/>
  <c r="AI186" i="27"/>
  <c r="AJ186" i="27"/>
  <c r="AK186" i="27"/>
  <c r="AL186" i="27"/>
  <c r="AO186" i="27"/>
  <c r="A187" i="27"/>
  <c r="X187" i="27"/>
  <c r="AC187" i="27"/>
  <c r="AD187" i="27"/>
  <c r="AN187" i="27" s="1"/>
  <c r="AE187" i="27"/>
  <c r="AF187" i="27"/>
  <c r="AG187" i="27"/>
  <c r="AH187" i="27"/>
  <c r="AI187" i="27"/>
  <c r="AJ187" i="27"/>
  <c r="AK187" i="27"/>
  <c r="AL187" i="27"/>
  <c r="AO187" i="27"/>
  <c r="A188" i="27"/>
  <c r="X188" i="27"/>
  <c r="AC188" i="27"/>
  <c r="AD188" i="27"/>
  <c r="AE188" i="27"/>
  <c r="AF188" i="27"/>
  <c r="AG188" i="27"/>
  <c r="AH188" i="27"/>
  <c r="AI188" i="27"/>
  <c r="AJ188" i="27"/>
  <c r="AK188" i="27"/>
  <c r="AL188" i="27"/>
  <c r="AO188" i="27"/>
  <c r="A189" i="27"/>
  <c r="X189" i="27"/>
  <c r="AC189" i="27"/>
  <c r="AM189" i="27" s="1"/>
  <c r="AD189" i="27"/>
  <c r="AE189" i="27"/>
  <c r="AF189" i="27"/>
  <c r="AG189" i="27"/>
  <c r="AH189" i="27"/>
  <c r="AI189" i="27"/>
  <c r="AJ189" i="27"/>
  <c r="AK189" i="27"/>
  <c r="AL189" i="27"/>
  <c r="AO189" i="27"/>
  <c r="A190" i="27"/>
  <c r="X190" i="27"/>
  <c r="AC190" i="27"/>
  <c r="AD190" i="27"/>
  <c r="AE190" i="27"/>
  <c r="AF190" i="27"/>
  <c r="AG190" i="27"/>
  <c r="AH190" i="27"/>
  <c r="AI190" i="27"/>
  <c r="AJ190" i="27"/>
  <c r="AK190" i="27"/>
  <c r="AL190" i="27"/>
  <c r="AO190" i="27"/>
  <c r="A191" i="27"/>
  <c r="X191" i="27"/>
  <c r="AC191" i="27"/>
  <c r="AD191" i="27"/>
  <c r="AE191" i="27"/>
  <c r="AF191" i="27"/>
  <c r="AG191" i="27"/>
  <c r="AH191" i="27"/>
  <c r="AI191" i="27"/>
  <c r="AJ191" i="27"/>
  <c r="AK191" i="27"/>
  <c r="AL191" i="27"/>
  <c r="AO191" i="27"/>
  <c r="A192" i="27"/>
  <c r="X192" i="27"/>
  <c r="AC192" i="27"/>
  <c r="AD192" i="27"/>
  <c r="AE192" i="27"/>
  <c r="AF192" i="27"/>
  <c r="AG192" i="27"/>
  <c r="AH192" i="27"/>
  <c r="AI192" i="27"/>
  <c r="AJ192" i="27"/>
  <c r="AK192" i="27"/>
  <c r="AL192" i="27"/>
  <c r="AO192" i="27"/>
  <c r="A193" i="27"/>
  <c r="X193" i="27"/>
  <c r="AC193" i="27"/>
  <c r="AD193" i="27"/>
  <c r="AN193" i="27" s="1"/>
  <c r="AE193" i="27"/>
  <c r="AF193" i="27"/>
  <c r="AG193" i="27"/>
  <c r="AH193" i="27"/>
  <c r="AI193" i="27"/>
  <c r="AJ193" i="27"/>
  <c r="AK193" i="27"/>
  <c r="AL193" i="27"/>
  <c r="AO193" i="27"/>
  <c r="A194" i="27"/>
  <c r="X194" i="27"/>
  <c r="AC194" i="27"/>
  <c r="AM194" i="27" s="1"/>
  <c r="AD194" i="27"/>
  <c r="AE194" i="27"/>
  <c r="AF194" i="27"/>
  <c r="AG194" i="27"/>
  <c r="AH194" i="27"/>
  <c r="AI194" i="27"/>
  <c r="AJ194" i="27"/>
  <c r="AK194" i="27"/>
  <c r="AL194" i="27"/>
  <c r="AO194" i="27"/>
  <c r="L196" i="27"/>
  <c r="L207" i="27" s="1"/>
  <c r="M196" i="27"/>
  <c r="M207" i="27" s="1"/>
  <c r="N196" i="27"/>
  <c r="N207" i="27" s="1"/>
  <c r="O196" i="27"/>
  <c r="P196" i="27"/>
  <c r="Q196" i="27"/>
  <c r="R196" i="27"/>
  <c r="S196" i="27"/>
  <c r="T196" i="27"/>
  <c r="T207" i="27" s="1"/>
  <c r="U196" i="27"/>
  <c r="V196" i="27"/>
  <c r="V207" i="27" s="1"/>
  <c r="AJ196" i="27"/>
  <c r="A199" i="27"/>
  <c r="X199" i="27"/>
  <c r="AC199" i="27"/>
  <c r="AD199" i="27"/>
  <c r="AD202" i="27" s="1"/>
  <c r="AE199" i="27"/>
  <c r="AE202" i="27" s="1"/>
  <c r="AF199" i="27"/>
  <c r="AG199" i="27"/>
  <c r="AG202" i="27" s="1"/>
  <c r="AH199" i="27"/>
  <c r="AI199" i="27"/>
  <c r="AJ199" i="27"/>
  <c r="AK199" i="27"/>
  <c r="AL199" i="27"/>
  <c r="A200" i="27"/>
  <c r="X200" i="27"/>
  <c r="AC200" i="27"/>
  <c r="AC202" i="27" s="1"/>
  <c r="AD200" i="27"/>
  <c r="AE200" i="27"/>
  <c r="AF200" i="27"/>
  <c r="AG200" i="27"/>
  <c r="AH200" i="27"/>
  <c r="AI200" i="27"/>
  <c r="AJ200" i="27"/>
  <c r="AJ202" i="27" s="1"/>
  <c r="AK200" i="27"/>
  <c r="AL200" i="27"/>
  <c r="L202" i="27"/>
  <c r="M202" i="27"/>
  <c r="N202" i="27"/>
  <c r="O202" i="27"/>
  <c r="O207" i="27" s="1"/>
  <c r="P202" i="27"/>
  <c r="Q202" i="27"/>
  <c r="Q207" i="27" s="1"/>
  <c r="R202" i="27"/>
  <c r="S202" i="27"/>
  <c r="T202" i="27"/>
  <c r="U202" i="27"/>
  <c r="V202" i="27"/>
  <c r="X202" i="27"/>
  <c r="AK202" i="27"/>
  <c r="AC204" i="27"/>
  <c r="AD204" i="27"/>
  <c r="AE204" i="27"/>
  <c r="AF204" i="27"/>
  <c r="AG204" i="27"/>
  <c r="AH204" i="27"/>
  <c r="AI204" i="27"/>
  <c r="AJ204" i="27"/>
  <c r="AK204" i="27"/>
  <c r="AL204" i="27"/>
  <c r="R207" i="27"/>
  <c r="U207" i="27"/>
  <c r="A213" i="27"/>
  <c r="X213" i="27"/>
  <c r="AC213" i="27"/>
  <c r="AN213" i="27" s="1"/>
  <c r="AD213" i="27"/>
  <c r="AE213" i="27"/>
  <c r="AF213" i="27"/>
  <c r="AG213" i="27"/>
  <c r="AH213" i="27"/>
  <c r="AI213" i="27"/>
  <c r="AJ213" i="27"/>
  <c r="AK213" i="27"/>
  <c r="AL213" i="27"/>
  <c r="A214" i="27"/>
  <c r="X214" i="27"/>
  <c r="AC214" i="27"/>
  <c r="AD214" i="27"/>
  <c r="AE214" i="27"/>
  <c r="AF214" i="27"/>
  <c r="AG214" i="27"/>
  <c r="AH214" i="27"/>
  <c r="AI214" i="27"/>
  <c r="AJ214" i="27"/>
  <c r="AK214" i="27"/>
  <c r="AL214" i="27"/>
  <c r="A215" i="27"/>
  <c r="X215" i="27"/>
  <c r="AC215" i="27"/>
  <c r="AD215" i="27"/>
  <c r="AE215" i="27"/>
  <c r="AF215" i="27"/>
  <c r="AG215" i="27"/>
  <c r="AH215" i="27"/>
  <c r="AI215" i="27"/>
  <c r="AJ215" i="27"/>
  <c r="AK215" i="27"/>
  <c r="AL215" i="27"/>
  <c r="A216" i="27"/>
  <c r="X216" i="27"/>
  <c r="AC216" i="27"/>
  <c r="AD216" i="27"/>
  <c r="AE216" i="27"/>
  <c r="AF216" i="27"/>
  <c r="AG216" i="27"/>
  <c r="AH216" i="27"/>
  <c r="AI216" i="27"/>
  <c r="AJ216" i="27"/>
  <c r="AK216" i="27"/>
  <c r="AL216" i="27"/>
  <c r="A217" i="27"/>
  <c r="X217" i="27"/>
  <c r="AC217" i="27"/>
  <c r="AD217" i="27"/>
  <c r="AE217" i="27"/>
  <c r="AF217" i="27"/>
  <c r="AG217" i="27"/>
  <c r="AH217" i="27"/>
  <c r="AI217" i="27"/>
  <c r="AJ217" i="27"/>
  <c r="AK217" i="27"/>
  <c r="AL217" i="27"/>
  <c r="A218" i="27"/>
  <c r="X218" i="27"/>
  <c r="AC218" i="27"/>
  <c r="AD218" i="27"/>
  <c r="AE218" i="27"/>
  <c r="AF218" i="27"/>
  <c r="AG218" i="27"/>
  <c r="AH218" i="27"/>
  <c r="AI218" i="27"/>
  <c r="AJ218" i="27"/>
  <c r="AK218" i="27"/>
  <c r="AL218" i="27"/>
  <c r="A219" i="27"/>
  <c r="X219" i="27"/>
  <c r="AC219" i="27"/>
  <c r="AD219" i="27"/>
  <c r="AE219" i="27"/>
  <c r="AF219" i="27"/>
  <c r="AG219" i="27"/>
  <c r="AH219" i="27"/>
  <c r="AI219" i="27"/>
  <c r="AJ219" i="27"/>
  <c r="AK219" i="27"/>
  <c r="AL219" i="27"/>
  <c r="A220" i="27"/>
  <c r="X220" i="27"/>
  <c r="AC220" i="27"/>
  <c r="AD220" i="27"/>
  <c r="AE220" i="27"/>
  <c r="AF220" i="27"/>
  <c r="AG220" i="27"/>
  <c r="AH220" i="27"/>
  <c r="AI220" i="27"/>
  <c r="AJ220" i="27"/>
  <c r="AK220" i="27"/>
  <c r="AL220" i="27"/>
  <c r="A221" i="27"/>
  <c r="X221" i="27"/>
  <c r="AC221" i="27"/>
  <c r="AD221" i="27"/>
  <c r="AE221" i="27"/>
  <c r="AF221" i="27"/>
  <c r="AG221" i="27"/>
  <c r="AH221" i="27"/>
  <c r="AI221" i="27"/>
  <c r="AJ221" i="27"/>
  <c r="AK221" i="27"/>
  <c r="AL221" i="27"/>
  <c r="A222" i="27"/>
  <c r="X222" i="27"/>
  <c r="AC222" i="27"/>
  <c r="AD222" i="27"/>
  <c r="AE222" i="27"/>
  <c r="AF222" i="27"/>
  <c r="AG222" i="27"/>
  <c r="AH222" i="27"/>
  <c r="AI222" i="27"/>
  <c r="AJ222" i="27"/>
  <c r="AK222" i="27"/>
  <c r="AL222" i="27"/>
  <c r="A223" i="27"/>
  <c r="X223" i="27"/>
  <c r="AC223" i="27"/>
  <c r="AD223" i="27"/>
  <c r="AE223" i="27"/>
  <c r="AF223" i="27"/>
  <c r="AG223" i="27"/>
  <c r="AH223" i="27"/>
  <c r="AI223" i="27"/>
  <c r="AJ223" i="27"/>
  <c r="AK223" i="27"/>
  <c r="AL223" i="27"/>
  <c r="A224" i="27"/>
  <c r="X224" i="27"/>
  <c r="AC224" i="27"/>
  <c r="AN224" i="27" s="1"/>
  <c r="AD224" i="27"/>
  <c r="AE224" i="27"/>
  <c r="AF224" i="27"/>
  <c r="AG224" i="27"/>
  <c r="AH224" i="27"/>
  <c r="AI224" i="27"/>
  <c r="AJ224" i="27"/>
  <c r="AK224" i="27"/>
  <c r="AL224" i="27"/>
  <c r="A225" i="27"/>
  <c r="X225" i="27"/>
  <c r="AC225" i="27"/>
  <c r="AD225" i="27"/>
  <c r="AE225" i="27"/>
  <c r="AF225" i="27"/>
  <c r="AG225" i="27"/>
  <c r="AH225" i="27"/>
  <c r="AI225" i="27"/>
  <c r="AJ225" i="27"/>
  <c r="AK225" i="27"/>
  <c r="AL225" i="27"/>
  <c r="A226" i="27"/>
  <c r="X226" i="27"/>
  <c r="AC226" i="27"/>
  <c r="AD226" i="27"/>
  <c r="AE226" i="27"/>
  <c r="AF226" i="27"/>
  <c r="AG226" i="27"/>
  <c r="AH226" i="27"/>
  <c r="AI226" i="27"/>
  <c r="AJ226" i="27"/>
  <c r="AK226" i="27"/>
  <c r="AL226" i="27"/>
  <c r="A227" i="27"/>
  <c r="X227" i="27"/>
  <c r="AC227" i="27"/>
  <c r="AD227" i="27"/>
  <c r="AE227" i="27"/>
  <c r="AF227" i="27"/>
  <c r="AG227" i="27"/>
  <c r="AH227" i="27"/>
  <c r="AI227" i="27"/>
  <c r="AJ227" i="27"/>
  <c r="AK227" i="27"/>
  <c r="AL227" i="27"/>
  <c r="A228" i="27"/>
  <c r="X228" i="27"/>
  <c r="AC228" i="27"/>
  <c r="AD228" i="27"/>
  <c r="AE228" i="27"/>
  <c r="AF228" i="27"/>
  <c r="AG228" i="27"/>
  <c r="AH228" i="27"/>
  <c r="AI228" i="27"/>
  <c r="AJ228" i="27"/>
  <c r="AK228" i="27"/>
  <c r="AL228" i="27"/>
  <c r="A229" i="27"/>
  <c r="X229" i="27"/>
  <c r="AC229" i="27"/>
  <c r="AD229" i="27"/>
  <c r="AE229" i="27"/>
  <c r="AF229" i="27"/>
  <c r="AG229" i="27"/>
  <c r="AH229" i="27"/>
  <c r="AI229" i="27"/>
  <c r="AJ229" i="27"/>
  <c r="AK229" i="27"/>
  <c r="AL229" i="27"/>
  <c r="A230" i="27"/>
  <c r="X230" i="27"/>
  <c r="AC230" i="27"/>
  <c r="AN230" i="27" s="1"/>
  <c r="AD230" i="27"/>
  <c r="AE230" i="27"/>
  <c r="AF230" i="27"/>
  <c r="AG230" i="27"/>
  <c r="AH230" i="27"/>
  <c r="AI230" i="27"/>
  <c r="AJ230" i="27"/>
  <c r="AK230" i="27"/>
  <c r="AL230" i="27"/>
  <c r="A231" i="27"/>
  <c r="X231" i="27"/>
  <c r="AC231" i="27"/>
  <c r="AD231" i="27"/>
  <c r="AE231" i="27"/>
  <c r="AF231" i="27"/>
  <c r="AG231" i="27"/>
  <c r="AH231" i="27"/>
  <c r="AI231" i="27"/>
  <c r="AJ231" i="27"/>
  <c r="AK231" i="27"/>
  <c r="AL231" i="27"/>
  <c r="A232" i="27"/>
  <c r="X232" i="27"/>
  <c r="AC232" i="27"/>
  <c r="AD232" i="27"/>
  <c r="AE232" i="27"/>
  <c r="AF232" i="27"/>
  <c r="AG232" i="27"/>
  <c r="AH232" i="27"/>
  <c r="AI232" i="27"/>
  <c r="AJ232" i="27"/>
  <c r="AK232" i="27"/>
  <c r="AL232" i="27"/>
  <c r="A233" i="27"/>
  <c r="X233" i="27"/>
  <c r="AC233" i="27"/>
  <c r="AD233" i="27"/>
  <c r="AE233" i="27"/>
  <c r="AF233" i="27"/>
  <c r="AG233" i="27"/>
  <c r="AH233" i="27"/>
  <c r="AI233" i="27"/>
  <c r="AJ233" i="27"/>
  <c r="AK233" i="27"/>
  <c r="AL233" i="27"/>
  <c r="A234" i="27"/>
  <c r="X234" i="27"/>
  <c r="AC234" i="27"/>
  <c r="AD234" i="27"/>
  <c r="AE234" i="27"/>
  <c r="AF234" i="27"/>
  <c r="AG234" i="27"/>
  <c r="AH234" i="27"/>
  <c r="AI234" i="27"/>
  <c r="AJ234" i="27"/>
  <c r="AK234" i="27"/>
  <c r="AL234" i="27"/>
  <c r="A235" i="27"/>
  <c r="X235" i="27"/>
  <c r="AC235" i="27"/>
  <c r="AD235" i="27"/>
  <c r="AE235" i="27"/>
  <c r="AF235" i="27"/>
  <c r="AG235" i="27"/>
  <c r="AH235" i="27"/>
  <c r="AI235" i="27"/>
  <c r="AJ235" i="27"/>
  <c r="AK235" i="27"/>
  <c r="AL235" i="27"/>
  <c r="A236" i="27"/>
  <c r="X236" i="27"/>
  <c r="AC236" i="27"/>
  <c r="AD236" i="27"/>
  <c r="AE236" i="27"/>
  <c r="AF236" i="27"/>
  <c r="AG236" i="27"/>
  <c r="AN236" i="27" s="1"/>
  <c r="AH236" i="27"/>
  <c r="AI236" i="27"/>
  <c r="AJ236" i="27"/>
  <c r="AK236" i="27"/>
  <c r="AL236" i="27"/>
  <c r="A237" i="27"/>
  <c r="X237" i="27"/>
  <c r="AC237" i="27"/>
  <c r="AD237" i="27"/>
  <c r="AE237" i="27"/>
  <c r="AF237" i="27"/>
  <c r="AG237" i="27"/>
  <c r="AH237" i="27"/>
  <c r="AI237" i="27"/>
  <c r="AJ237" i="27"/>
  <c r="AK237" i="27"/>
  <c r="AL237" i="27"/>
  <c r="AN237" i="27"/>
  <c r="A238" i="27"/>
  <c r="X238" i="27"/>
  <c r="AC238" i="27"/>
  <c r="AD238" i="27"/>
  <c r="AE238" i="27"/>
  <c r="AF238" i="27"/>
  <c r="AG238" i="27"/>
  <c r="AH238" i="27"/>
  <c r="AN238" i="27" s="1"/>
  <c r="AI238" i="27"/>
  <c r="AJ238" i="27"/>
  <c r="AK238" i="27"/>
  <c r="AL238" i="27"/>
  <c r="A239" i="27"/>
  <c r="X239" i="27"/>
  <c r="AC239" i="27"/>
  <c r="AD239" i="27"/>
  <c r="AE239" i="27"/>
  <c r="AF239" i="27"/>
  <c r="AG239" i="27"/>
  <c r="AH239" i="27"/>
  <c r="AI239" i="27"/>
  <c r="AJ239" i="27"/>
  <c r="AK239" i="27"/>
  <c r="AL239" i="27"/>
  <c r="A240" i="27"/>
  <c r="X240" i="27"/>
  <c r="AC240" i="27"/>
  <c r="AD240" i="27"/>
  <c r="AE240" i="27"/>
  <c r="AF240" i="27"/>
  <c r="AG240" i="27"/>
  <c r="AH240" i="27"/>
  <c r="AI240" i="27"/>
  <c r="AJ240" i="27"/>
  <c r="AK240" i="27"/>
  <c r="AL240" i="27"/>
  <c r="A241" i="27"/>
  <c r="X241" i="27"/>
  <c r="AC241" i="27"/>
  <c r="AD241" i="27"/>
  <c r="AE241" i="27"/>
  <c r="AF241" i="27"/>
  <c r="AG241" i="27"/>
  <c r="AH241" i="27"/>
  <c r="AI241" i="27"/>
  <c r="AJ241" i="27"/>
  <c r="AK241" i="27"/>
  <c r="AL241" i="27"/>
  <c r="A242" i="27"/>
  <c r="X242" i="27"/>
  <c r="AC242" i="27"/>
  <c r="AD242" i="27"/>
  <c r="AE242" i="27"/>
  <c r="AF242" i="27"/>
  <c r="AG242" i="27"/>
  <c r="AH242" i="27"/>
  <c r="AI242" i="27"/>
  <c r="AJ242" i="27"/>
  <c r="AK242" i="27"/>
  <c r="AL242" i="27"/>
  <c r="A243" i="27"/>
  <c r="X243" i="27"/>
  <c r="AC243" i="27"/>
  <c r="AD243" i="27"/>
  <c r="AE243" i="27"/>
  <c r="AF243" i="27"/>
  <c r="AG243" i="27"/>
  <c r="AH243" i="27"/>
  <c r="AI243" i="27"/>
  <c r="AJ243" i="27"/>
  <c r="AK243" i="27"/>
  <c r="AL243" i="27"/>
  <c r="A244" i="27"/>
  <c r="X244" i="27"/>
  <c r="AC244" i="27"/>
  <c r="AD244" i="27"/>
  <c r="AE244" i="27"/>
  <c r="AF244" i="27"/>
  <c r="AG244" i="27"/>
  <c r="AH244" i="27"/>
  <c r="AI244" i="27"/>
  <c r="AJ244" i="27"/>
  <c r="AK244" i="27"/>
  <c r="AL244" i="27"/>
  <c r="A245" i="27"/>
  <c r="X245" i="27"/>
  <c r="AC245" i="27"/>
  <c r="AD245" i="27"/>
  <c r="AE245" i="27"/>
  <c r="AF245" i="27"/>
  <c r="AG245" i="27"/>
  <c r="AH245" i="27"/>
  <c r="AI245" i="27"/>
  <c r="AJ245" i="27"/>
  <c r="AK245" i="27"/>
  <c r="AL245" i="27"/>
  <c r="A246" i="27"/>
  <c r="X246" i="27"/>
  <c r="AC246" i="27"/>
  <c r="AD246" i="27"/>
  <c r="AE246" i="27"/>
  <c r="AF246" i="27"/>
  <c r="AG246" i="27"/>
  <c r="AH246" i="27"/>
  <c r="AN246" i="27" s="1"/>
  <c r="AI246" i="27"/>
  <c r="AJ246" i="27"/>
  <c r="AK246" i="27"/>
  <c r="AL246" i="27"/>
  <c r="A247" i="27"/>
  <c r="X247" i="27"/>
  <c r="AC247" i="27"/>
  <c r="AD247" i="27"/>
  <c r="AE247" i="27"/>
  <c r="AF247" i="27"/>
  <c r="AG247" i="27"/>
  <c r="AH247" i="27"/>
  <c r="AI247" i="27"/>
  <c r="AJ247" i="27"/>
  <c r="AK247" i="27"/>
  <c r="AL247" i="27"/>
  <c r="A248" i="27"/>
  <c r="X248" i="27"/>
  <c r="AC248" i="27"/>
  <c r="AD248" i="27"/>
  <c r="AE248" i="27"/>
  <c r="AF248" i="27"/>
  <c r="AG248" i="27"/>
  <c r="AH248" i="27"/>
  <c r="AI248" i="27"/>
  <c r="AJ248" i="27"/>
  <c r="AK248" i="27"/>
  <c r="AL248" i="27"/>
  <c r="A249" i="27"/>
  <c r="X249" i="27"/>
  <c r="AC249" i="27"/>
  <c r="AD249" i="27"/>
  <c r="AE249" i="27"/>
  <c r="AF249" i="27"/>
  <c r="AG249" i="27"/>
  <c r="AH249" i="27"/>
  <c r="AI249" i="27"/>
  <c r="AJ249" i="27"/>
  <c r="AK249" i="27"/>
  <c r="AL249" i="27"/>
  <c r="A250" i="27"/>
  <c r="X250" i="27"/>
  <c r="AC250" i="27"/>
  <c r="AD250" i="27"/>
  <c r="AE250" i="27"/>
  <c r="AF250" i="27"/>
  <c r="AG250" i="27"/>
  <c r="AH250" i="27"/>
  <c r="AI250" i="27"/>
  <c r="AJ250" i="27"/>
  <c r="AK250" i="27"/>
  <c r="AL250" i="27"/>
  <c r="A251" i="27"/>
  <c r="X251" i="27"/>
  <c r="AC251" i="27"/>
  <c r="AD251" i="27"/>
  <c r="AE251" i="27"/>
  <c r="AF251" i="27"/>
  <c r="AG251" i="27"/>
  <c r="AH251" i="27"/>
  <c r="AI251" i="27"/>
  <c r="AJ251" i="27"/>
  <c r="AK251" i="27"/>
  <c r="AL251" i="27"/>
  <c r="A252" i="27"/>
  <c r="X252" i="27"/>
  <c r="AC252" i="27"/>
  <c r="AD252" i="27"/>
  <c r="AE252" i="27"/>
  <c r="AF252" i="27"/>
  <c r="AG252" i="27"/>
  <c r="AH252" i="27"/>
  <c r="AI252" i="27"/>
  <c r="AJ252" i="27"/>
  <c r="AK252" i="27"/>
  <c r="AL252" i="27"/>
  <c r="A253" i="27"/>
  <c r="X253" i="27"/>
  <c r="AC253" i="27"/>
  <c r="AM253" i="27" s="1"/>
  <c r="AD253" i="27"/>
  <c r="AE253" i="27"/>
  <c r="AF253" i="27"/>
  <c r="AG253" i="27"/>
  <c r="AH253" i="27"/>
  <c r="AI253" i="27"/>
  <c r="AJ253" i="27"/>
  <c r="AK253" i="27"/>
  <c r="AL253" i="27"/>
  <c r="A254" i="27"/>
  <c r="X254" i="27"/>
  <c r="AC254" i="27"/>
  <c r="AD254" i="27"/>
  <c r="AE254" i="27"/>
  <c r="AF254" i="27"/>
  <c r="AG254" i="27"/>
  <c r="AH254" i="27"/>
  <c r="AI254" i="27"/>
  <c r="AJ254" i="27"/>
  <c r="AK254" i="27"/>
  <c r="AL254" i="27"/>
  <c r="A255" i="27"/>
  <c r="X255" i="27"/>
  <c r="AC255" i="27"/>
  <c r="AD255" i="27"/>
  <c r="AE255" i="27"/>
  <c r="AF255" i="27"/>
  <c r="AG255" i="27"/>
  <c r="AH255" i="27"/>
  <c r="AI255" i="27"/>
  <c r="AJ255" i="27"/>
  <c r="AK255" i="27"/>
  <c r="AL255" i="27"/>
  <c r="A256" i="27"/>
  <c r="X256" i="27"/>
  <c r="AC256" i="27"/>
  <c r="AD256" i="27"/>
  <c r="AE256" i="27"/>
  <c r="AF256" i="27"/>
  <c r="AG256" i="27"/>
  <c r="AH256" i="27"/>
  <c r="AI256" i="27"/>
  <c r="AJ256" i="27"/>
  <c r="AK256" i="27"/>
  <c r="AL256" i="27"/>
  <c r="A257" i="27"/>
  <c r="X257" i="27"/>
  <c r="AC257" i="27"/>
  <c r="AD257" i="27"/>
  <c r="AE257" i="27"/>
  <c r="AF257" i="27"/>
  <c r="AG257" i="27"/>
  <c r="AH257" i="27"/>
  <c r="AI257" i="27"/>
  <c r="AJ257" i="27"/>
  <c r="AK257" i="27"/>
  <c r="AL257" i="27"/>
  <c r="L259" i="27"/>
  <c r="M259" i="27"/>
  <c r="N259" i="27"/>
  <c r="O259" i="27"/>
  <c r="O268" i="27" s="1"/>
  <c r="P259" i="27"/>
  <c r="P268" i="27" s="1"/>
  <c r="Q259" i="27"/>
  <c r="Q268" i="27" s="1"/>
  <c r="R259" i="27"/>
  <c r="S259" i="27"/>
  <c r="T259" i="27"/>
  <c r="U259" i="27"/>
  <c r="V259" i="27"/>
  <c r="A262" i="27"/>
  <c r="X262" i="27"/>
  <c r="X265" i="27" s="1"/>
  <c r="AC262" i="27"/>
  <c r="AD262" i="27"/>
  <c r="AE262" i="27"/>
  <c r="AF262" i="27"/>
  <c r="AG262" i="27"/>
  <c r="AH262" i="27"/>
  <c r="AI262" i="27"/>
  <c r="AJ262" i="27"/>
  <c r="AK262" i="27"/>
  <c r="AL262" i="27"/>
  <c r="A263" i="27"/>
  <c r="X263" i="27"/>
  <c r="AC263" i="27"/>
  <c r="AD263" i="27"/>
  <c r="AN263" i="27" s="1"/>
  <c r="AE263" i="27"/>
  <c r="AF263" i="27"/>
  <c r="AG263" i="27"/>
  <c r="AH263" i="27"/>
  <c r="AI263" i="27"/>
  <c r="AJ263" i="27"/>
  <c r="AK263" i="27"/>
  <c r="AL263" i="27"/>
  <c r="L265" i="27"/>
  <c r="L268" i="27" s="1"/>
  <c r="M265" i="27"/>
  <c r="N265" i="27"/>
  <c r="O265" i="27"/>
  <c r="P265" i="27"/>
  <c r="Q265" i="27"/>
  <c r="R265" i="27"/>
  <c r="S265" i="27"/>
  <c r="S268" i="27" s="1"/>
  <c r="T265" i="27"/>
  <c r="T268" i="27" s="1"/>
  <c r="U265" i="27"/>
  <c r="V265" i="27"/>
  <c r="A272" i="27"/>
  <c r="X272" i="27"/>
  <c r="X275" i="27" s="1"/>
  <c r="AC272" i="27"/>
  <c r="AD272" i="27"/>
  <c r="AE272" i="27"/>
  <c r="AF272" i="27"/>
  <c r="AG272" i="27"/>
  <c r="AH272" i="27"/>
  <c r="AI272" i="27"/>
  <c r="AJ272" i="27"/>
  <c r="AK272" i="27"/>
  <c r="AL272" i="27"/>
  <c r="A273" i="27"/>
  <c r="X273" i="27"/>
  <c r="AC273" i="27"/>
  <c r="AD273" i="27"/>
  <c r="AE273" i="27"/>
  <c r="AF273" i="27"/>
  <c r="AG273" i="27"/>
  <c r="AH273" i="27"/>
  <c r="AI273" i="27"/>
  <c r="AJ273" i="27"/>
  <c r="AK273" i="27"/>
  <c r="AL273" i="27"/>
  <c r="L275" i="27"/>
  <c r="M275" i="27"/>
  <c r="N275" i="27"/>
  <c r="O275" i="27"/>
  <c r="P275" i="27"/>
  <c r="Q275" i="27"/>
  <c r="R275" i="27"/>
  <c r="S275" i="27"/>
  <c r="T275" i="27"/>
  <c r="U275" i="27"/>
  <c r="V275" i="27"/>
  <c r="AA6" i="26"/>
  <c r="AB6" i="26"/>
  <c r="AC6" i="26"/>
  <c r="AD6" i="26"/>
  <c r="AE6" i="26"/>
  <c r="AF6" i="26"/>
  <c r="AG6" i="26"/>
  <c r="AH6" i="26"/>
  <c r="AI6" i="26"/>
  <c r="AJ6" i="26"/>
  <c r="AK6" i="26"/>
  <c r="A11" i="26"/>
  <c r="X11" i="26"/>
  <c r="Z11" i="26"/>
  <c r="AA11" i="26"/>
  <c r="AB11" i="26"/>
  <c r="AC11" i="26"/>
  <c r="AD11" i="26"/>
  <c r="AE11" i="26"/>
  <c r="AF11" i="26"/>
  <c r="AG11" i="26"/>
  <c r="AH11" i="26"/>
  <c r="AI11" i="26"/>
  <c r="AJ11" i="26"/>
  <c r="AK11" i="26"/>
  <c r="A12" i="26"/>
  <c r="X12" i="26"/>
  <c r="Z12" i="26"/>
  <c r="AA12" i="26"/>
  <c r="AB12" i="26"/>
  <c r="AC12" i="26"/>
  <c r="AD12" i="26"/>
  <c r="AE12" i="26"/>
  <c r="AF12" i="26"/>
  <c r="AG12" i="26"/>
  <c r="AH12" i="26"/>
  <c r="AI12" i="26"/>
  <c r="AJ12" i="26"/>
  <c r="AK12" i="26"/>
  <c r="A13" i="26"/>
  <c r="X13" i="26"/>
  <c r="Z13" i="26"/>
  <c r="AA13" i="26"/>
  <c r="AB13" i="26"/>
  <c r="AC13" i="26"/>
  <c r="AD13" i="26"/>
  <c r="AE13" i="26"/>
  <c r="AF13" i="26"/>
  <c r="AG13" i="26"/>
  <c r="AL13" i="26" s="1"/>
  <c r="AH13" i="26"/>
  <c r="AI13" i="26"/>
  <c r="AJ13" i="26"/>
  <c r="AK13" i="26"/>
  <c r="A14" i="26"/>
  <c r="X14" i="26"/>
  <c r="Z14" i="26"/>
  <c r="AL14" i="26" s="1"/>
  <c r="AA14" i="26"/>
  <c r="AB14" i="26"/>
  <c r="AC14" i="26"/>
  <c r="AD14" i="26"/>
  <c r="AE14" i="26"/>
  <c r="AF14" i="26"/>
  <c r="AG14" i="26"/>
  <c r="AH14" i="26"/>
  <c r="AI14" i="26"/>
  <c r="AJ14" i="26"/>
  <c r="AK14" i="26"/>
  <c r="A15" i="26"/>
  <c r="X15" i="26"/>
  <c r="Z15" i="26"/>
  <c r="AA15" i="26"/>
  <c r="AB15" i="26"/>
  <c r="AC15" i="26"/>
  <c r="AD15" i="26"/>
  <c r="AE15" i="26"/>
  <c r="AF15" i="26"/>
  <c r="AG15" i="26"/>
  <c r="AH15" i="26"/>
  <c r="AI15" i="26"/>
  <c r="AJ15" i="26"/>
  <c r="AK15" i="26"/>
  <c r="A16" i="26"/>
  <c r="X16" i="26"/>
  <c r="Z16" i="26"/>
  <c r="AA16" i="26"/>
  <c r="AB16" i="26"/>
  <c r="AC16" i="26"/>
  <c r="AD16" i="26"/>
  <c r="AE16" i="26"/>
  <c r="AF16" i="26"/>
  <c r="AG16" i="26"/>
  <c r="AH16" i="26"/>
  <c r="AI16" i="26"/>
  <c r="AJ16" i="26"/>
  <c r="AK16" i="26"/>
  <c r="A17" i="26"/>
  <c r="X17" i="26"/>
  <c r="Z17" i="26"/>
  <c r="AA17" i="26"/>
  <c r="AB17" i="26"/>
  <c r="AC17" i="26"/>
  <c r="AD17" i="26"/>
  <c r="AE17" i="26"/>
  <c r="AF17" i="26"/>
  <c r="AG17" i="26"/>
  <c r="AH17" i="26"/>
  <c r="AI17" i="26"/>
  <c r="AJ17" i="26"/>
  <c r="AK17" i="26"/>
  <c r="A18" i="26"/>
  <c r="X18" i="26"/>
  <c r="Z18" i="26"/>
  <c r="AA18" i="26"/>
  <c r="AB18" i="26"/>
  <c r="AC18" i="26"/>
  <c r="AD18" i="26"/>
  <c r="AE18" i="26"/>
  <c r="AF18" i="26"/>
  <c r="AG18" i="26"/>
  <c r="AH18" i="26"/>
  <c r="AI18" i="26"/>
  <c r="AJ18" i="26"/>
  <c r="AK18" i="26"/>
  <c r="A19" i="26"/>
  <c r="X19" i="26"/>
  <c r="Z19" i="26"/>
  <c r="AA19" i="26"/>
  <c r="AB19" i="26"/>
  <c r="AC19" i="26"/>
  <c r="AD19" i="26"/>
  <c r="AE19" i="26"/>
  <c r="AF19" i="26"/>
  <c r="AN19" i="26" s="1"/>
  <c r="AG19" i="26"/>
  <c r="AH19" i="26"/>
  <c r="AI19" i="26"/>
  <c r="AJ19" i="26"/>
  <c r="AK19" i="26"/>
  <c r="A20" i="26"/>
  <c r="X20" i="26"/>
  <c r="Z20" i="26"/>
  <c r="AA20" i="26"/>
  <c r="AB20" i="26"/>
  <c r="AC20" i="26"/>
  <c r="AD20" i="26"/>
  <c r="AE20" i="26"/>
  <c r="AF20" i="26"/>
  <c r="AG20" i="26"/>
  <c r="AN20" i="26" s="1"/>
  <c r="AH20" i="26"/>
  <c r="AI20" i="26"/>
  <c r="AJ20" i="26"/>
  <c r="AK20" i="26"/>
  <c r="A21" i="26"/>
  <c r="X21" i="26"/>
  <c r="Z21" i="26"/>
  <c r="AA21" i="26"/>
  <c r="AB21" i="26"/>
  <c r="AC21" i="26"/>
  <c r="AD21" i="26"/>
  <c r="AE21" i="26"/>
  <c r="AF21" i="26"/>
  <c r="AG21" i="26"/>
  <c r="AH21" i="26"/>
  <c r="AI21" i="26"/>
  <c r="AJ21" i="26"/>
  <c r="AK21" i="26"/>
  <c r="A22" i="26"/>
  <c r="X22" i="26"/>
  <c r="Z22" i="26"/>
  <c r="AA22" i="26"/>
  <c r="AB22" i="26"/>
  <c r="AC22" i="26"/>
  <c r="AD22" i="26"/>
  <c r="AE22" i="26"/>
  <c r="AF22" i="26"/>
  <c r="AG22" i="26"/>
  <c r="AH22" i="26"/>
  <c r="AI22" i="26"/>
  <c r="AJ22" i="26"/>
  <c r="AK22" i="26"/>
  <c r="A23" i="26"/>
  <c r="X23" i="26"/>
  <c r="Z23" i="26"/>
  <c r="AA23" i="26"/>
  <c r="AB23" i="26"/>
  <c r="AC23" i="26"/>
  <c r="AD23" i="26"/>
  <c r="AE23" i="26"/>
  <c r="AF23" i="26"/>
  <c r="AG23" i="26"/>
  <c r="AH23" i="26"/>
  <c r="AI23" i="26"/>
  <c r="AJ23" i="26"/>
  <c r="AK23" i="26"/>
  <c r="A24" i="26"/>
  <c r="X24" i="26"/>
  <c r="Z24" i="26"/>
  <c r="AA24" i="26"/>
  <c r="AB24" i="26"/>
  <c r="AC24" i="26"/>
  <c r="AD24" i="26"/>
  <c r="AE24" i="26"/>
  <c r="AF24" i="26"/>
  <c r="AG24" i="26"/>
  <c r="AH24" i="26"/>
  <c r="AI24" i="26"/>
  <c r="AJ24" i="26"/>
  <c r="AK24" i="26"/>
  <c r="A25" i="26"/>
  <c r="X25" i="26"/>
  <c r="Z25" i="26"/>
  <c r="AA25" i="26"/>
  <c r="AB25" i="26"/>
  <c r="AC25" i="26"/>
  <c r="AD25" i="26"/>
  <c r="AE25" i="26"/>
  <c r="AF25" i="26"/>
  <c r="AG25" i="26"/>
  <c r="AH25" i="26"/>
  <c r="AI25" i="26"/>
  <c r="AJ25" i="26"/>
  <c r="AK25" i="26"/>
  <c r="AN25" i="26" s="1"/>
  <c r="A26" i="26"/>
  <c r="X26" i="26"/>
  <c r="Z26" i="26"/>
  <c r="AA26" i="26"/>
  <c r="AB26" i="26"/>
  <c r="AC26" i="26"/>
  <c r="AD26" i="26"/>
  <c r="AE26" i="26"/>
  <c r="AF26" i="26"/>
  <c r="AG26" i="26"/>
  <c r="AH26" i="26"/>
  <c r="AI26" i="26"/>
  <c r="AJ26" i="26"/>
  <c r="AN26" i="26" s="1"/>
  <c r="AK26" i="26"/>
  <c r="A27" i="26"/>
  <c r="X27" i="26"/>
  <c r="Z27" i="26"/>
  <c r="AA27" i="26"/>
  <c r="AB27" i="26"/>
  <c r="AC27" i="26"/>
  <c r="AD27" i="26"/>
  <c r="AE27" i="26"/>
  <c r="AF27" i="26"/>
  <c r="AN27" i="26" s="1"/>
  <c r="AG27" i="26"/>
  <c r="AH27" i="26"/>
  <c r="AI27" i="26"/>
  <c r="AJ27" i="26"/>
  <c r="AK27" i="26"/>
  <c r="A28" i="26"/>
  <c r="X28" i="26"/>
  <c r="Z28" i="26"/>
  <c r="AA28" i="26"/>
  <c r="AB28" i="26"/>
  <c r="AC28" i="26"/>
  <c r="AD28" i="26"/>
  <c r="AE28" i="26"/>
  <c r="AF28" i="26"/>
  <c r="AG28" i="26"/>
  <c r="AH28" i="26"/>
  <c r="AI28" i="26"/>
  <c r="AJ28" i="26"/>
  <c r="AK28" i="26"/>
  <c r="A29" i="26"/>
  <c r="X29" i="26"/>
  <c r="Z29" i="26"/>
  <c r="AA29" i="26"/>
  <c r="AA69" i="26" s="1"/>
  <c r="AB29" i="26"/>
  <c r="AC29" i="26"/>
  <c r="AD29" i="26"/>
  <c r="AE29" i="26"/>
  <c r="AF29" i="26"/>
  <c r="AG29" i="26"/>
  <c r="AH29" i="26"/>
  <c r="AI29" i="26"/>
  <c r="AN29" i="26" s="1"/>
  <c r="AJ29" i="26"/>
  <c r="AK29" i="26"/>
  <c r="A30" i="26"/>
  <c r="X30" i="26"/>
  <c r="Z30" i="26"/>
  <c r="AA30" i="26"/>
  <c r="AB30" i="26"/>
  <c r="AC30" i="26"/>
  <c r="AD30" i="26"/>
  <c r="AE30" i="26"/>
  <c r="AF30" i="26"/>
  <c r="AG30" i="26"/>
  <c r="AH30" i="26"/>
  <c r="AI30" i="26"/>
  <c r="AJ30" i="26"/>
  <c r="AK30" i="26"/>
  <c r="A31" i="26"/>
  <c r="X31" i="26"/>
  <c r="Z31" i="26"/>
  <c r="AA31" i="26"/>
  <c r="AB31" i="26"/>
  <c r="AC31" i="26"/>
  <c r="AD31" i="26"/>
  <c r="AE31" i="26"/>
  <c r="AF31" i="26"/>
  <c r="AG31" i="26"/>
  <c r="AH31" i="26"/>
  <c r="AI31" i="26"/>
  <c r="AJ31" i="26"/>
  <c r="AN31" i="26" s="1"/>
  <c r="AK31" i="26"/>
  <c r="A32" i="26"/>
  <c r="X32" i="26"/>
  <c r="Z32" i="26"/>
  <c r="AA32" i="26"/>
  <c r="AB32" i="26"/>
  <c r="AC32" i="26"/>
  <c r="AD32" i="26"/>
  <c r="AE32" i="26"/>
  <c r="AF32" i="26"/>
  <c r="AG32" i="26"/>
  <c r="AH32" i="26"/>
  <c r="AI32" i="26"/>
  <c r="AJ32" i="26"/>
  <c r="AK32" i="26"/>
  <c r="A33" i="26"/>
  <c r="X33" i="26"/>
  <c r="Z33" i="26"/>
  <c r="AA33" i="26"/>
  <c r="AB33" i="26"/>
  <c r="AC33" i="26"/>
  <c r="AD33" i="26"/>
  <c r="AE33" i="26"/>
  <c r="AF33" i="26"/>
  <c r="AG33" i="26"/>
  <c r="AH33" i="26"/>
  <c r="AI33" i="26"/>
  <c r="AJ33" i="26"/>
  <c r="AK33" i="26"/>
  <c r="A34" i="26"/>
  <c r="X34" i="26"/>
  <c r="Z34" i="26"/>
  <c r="AA34" i="26"/>
  <c r="AB34" i="26"/>
  <c r="AC34" i="26"/>
  <c r="AD34" i="26"/>
  <c r="AE34" i="26"/>
  <c r="AF34" i="26"/>
  <c r="AG34" i="26"/>
  <c r="AN34" i="26" s="1"/>
  <c r="AH34" i="26"/>
  <c r="AI34" i="26"/>
  <c r="AJ34" i="26"/>
  <c r="AK34" i="26"/>
  <c r="A35" i="26"/>
  <c r="X35" i="26"/>
  <c r="Z35" i="26"/>
  <c r="AA35" i="26"/>
  <c r="AB35" i="26"/>
  <c r="AC35" i="26"/>
  <c r="AD35" i="26"/>
  <c r="AE35" i="26"/>
  <c r="AF35" i="26"/>
  <c r="AG35" i="26"/>
  <c r="AH35" i="26"/>
  <c r="AI35" i="26"/>
  <c r="AJ35" i="26"/>
  <c r="AK35" i="26"/>
  <c r="AN35" i="26" s="1"/>
  <c r="A36" i="26"/>
  <c r="X36" i="26"/>
  <c r="Z36" i="26"/>
  <c r="AA36" i="26"/>
  <c r="AB36" i="26"/>
  <c r="AC36" i="26"/>
  <c r="AD36" i="26"/>
  <c r="AE36" i="26"/>
  <c r="AF36" i="26"/>
  <c r="AG36" i="26"/>
  <c r="AH36" i="26"/>
  <c r="AI36" i="26"/>
  <c r="AJ36" i="26"/>
  <c r="AN36" i="26" s="1"/>
  <c r="AK36" i="26"/>
  <c r="A37" i="26"/>
  <c r="X37" i="26"/>
  <c r="Z37" i="26"/>
  <c r="AA37" i="26"/>
  <c r="AB37" i="26"/>
  <c r="AC37" i="26"/>
  <c r="AD37" i="26"/>
  <c r="AE37" i="26"/>
  <c r="AF37" i="26"/>
  <c r="AG37" i="26"/>
  <c r="AH37" i="26"/>
  <c r="AI37" i="26"/>
  <c r="AJ37" i="26"/>
  <c r="AK37" i="26"/>
  <c r="A38" i="26"/>
  <c r="X38" i="26"/>
  <c r="Z38" i="26"/>
  <c r="AA38" i="26"/>
  <c r="AB38" i="26"/>
  <c r="AC38" i="26"/>
  <c r="AD38" i="26"/>
  <c r="AE38" i="26"/>
  <c r="AF38" i="26"/>
  <c r="AG38" i="26"/>
  <c r="AH38" i="26"/>
  <c r="AI38" i="26"/>
  <c r="AJ38" i="26"/>
  <c r="AK38" i="26"/>
  <c r="A39" i="26"/>
  <c r="X39" i="26"/>
  <c r="Z39" i="26"/>
  <c r="AA39" i="26"/>
  <c r="AB39" i="26"/>
  <c r="AC39" i="26"/>
  <c r="AD39" i="26"/>
  <c r="AE39" i="26"/>
  <c r="AF39" i="26"/>
  <c r="AG39" i="26"/>
  <c r="AH39" i="26"/>
  <c r="AI39" i="26"/>
  <c r="AJ39" i="26"/>
  <c r="AK39" i="26"/>
  <c r="A40" i="26"/>
  <c r="X40" i="26"/>
  <c r="Z40" i="26"/>
  <c r="AA40" i="26"/>
  <c r="AB40" i="26"/>
  <c r="AC40" i="26"/>
  <c r="AD40" i="26"/>
  <c r="AE40" i="26"/>
  <c r="AF40" i="26"/>
  <c r="AG40" i="26"/>
  <c r="AH40" i="26"/>
  <c r="AI40" i="26"/>
  <c r="AN40" i="26" s="1"/>
  <c r="AJ40" i="26"/>
  <c r="AK40" i="26"/>
  <c r="A41" i="26"/>
  <c r="X41" i="26"/>
  <c r="Z41" i="26"/>
  <c r="AA41" i="26"/>
  <c r="AB41" i="26"/>
  <c r="AC41" i="26"/>
  <c r="AD41" i="26"/>
  <c r="AE41" i="26"/>
  <c r="AF41" i="26"/>
  <c r="AG41" i="26"/>
  <c r="AH41" i="26"/>
  <c r="AI41" i="26"/>
  <c r="AJ41" i="26"/>
  <c r="AK41" i="26"/>
  <c r="A42" i="26"/>
  <c r="X42" i="26"/>
  <c r="Z42" i="26"/>
  <c r="AA42" i="26"/>
  <c r="AB42" i="26"/>
  <c r="AC42" i="26"/>
  <c r="AD42" i="26"/>
  <c r="AE42" i="26"/>
  <c r="AF42" i="26"/>
  <c r="AN42" i="26" s="1"/>
  <c r="AG42" i="26"/>
  <c r="AH42" i="26"/>
  <c r="AI42" i="26"/>
  <c r="AJ42" i="26"/>
  <c r="AK42" i="26"/>
  <c r="A43" i="26"/>
  <c r="X43" i="26"/>
  <c r="Z43" i="26"/>
  <c r="AA43" i="26"/>
  <c r="AB43" i="26"/>
  <c r="AC43" i="26"/>
  <c r="AD43" i="26"/>
  <c r="AE43" i="26"/>
  <c r="AF43" i="26"/>
  <c r="AG43" i="26"/>
  <c r="AH43" i="26"/>
  <c r="AI43" i="26"/>
  <c r="AJ43" i="26"/>
  <c r="AK43" i="26"/>
  <c r="A44" i="26"/>
  <c r="X44" i="26"/>
  <c r="Z44" i="26"/>
  <c r="AA44" i="26"/>
  <c r="AB44" i="26"/>
  <c r="AC44" i="26"/>
  <c r="AD44" i="26"/>
  <c r="AE44" i="26"/>
  <c r="AF44" i="26"/>
  <c r="AG44" i="26"/>
  <c r="AH44" i="26"/>
  <c r="AI44" i="26"/>
  <c r="AJ44" i="26"/>
  <c r="AK44" i="26"/>
  <c r="A45" i="26"/>
  <c r="X45" i="26"/>
  <c r="Z45" i="26"/>
  <c r="AA45" i="26"/>
  <c r="AB45" i="26"/>
  <c r="AC45" i="26"/>
  <c r="AD45" i="26"/>
  <c r="AE45" i="26"/>
  <c r="AF45" i="26"/>
  <c r="AG45" i="26"/>
  <c r="AH45" i="26"/>
  <c r="AI45" i="26"/>
  <c r="AJ45" i="26"/>
  <c r="AK45" i="26"/>
  <c r="A46" i="26"/>
  <c r="X46" i="26"/>
  <c r="Z46" i="26"/>
  <c r="AA46" i="26"/>
  <c r="AB46" i="26"/>
  <c r="AC46" i="26"/>
  <c r="AD46" i="26"/>
  <c r="AE46" i="26"/>
  <c r="AF46" i="26"/>
  <c r="AG46" i="26"/>
  <c r="AH46" i="26"/>
  <c r="AI46" i="26"/>
  <c r="AJ46" i="26"/>
  <c r="AK46" i="26"/>
  <c r="A47" i="26"/>
  <c r="X47" i="26"/>
  <c r="Z47" i="26"/>
  <c r="AA47" i="26"/>
  <c r="AB47" i="26"/>
  <c r="AC47" i="26"/>
  <c r="AD47" i="26"/>
  <c r="AE47" i="26"/>
  <c r="AF47" i="26"/>
  <c r="AN47" i="26" s="1"/>
  <c r="AG47" i="26"/>
  <c r="AH47" i="26"/>
  <c r="AI47" i="26"/>
  <c r="AJ47" i="26"/>
  <c r="AK47" i="26"/>
  <c r="A48" i="26"/>
  <c r="X48" i="26"/>
  <c r="Z48" i="26"/>
  <c r="AA48" i="26"/>
  <c r="AB48" i="26"/>
  <c r="AC48" i="26"/>
  <c r="AD48" i="26"/>
  <c r="AE48" i="26"/>
  <c r="AF48" i="26"/>
  <c r="AG48" i="26"/>
  <c r="AH48" i="26"/>
  <c r="AI48" i="26"/>
  <c r="AJ48" i="26"/>
  <c r="AK48" i="26"/>
  <c r="A49" i="26"/>
  <c r="X49" i="26"/>
  <c r="Z49" i="26"/>
  <c r="AA49" i="26"/>
  <c r="AB49" i="26"/>
  <c r="AC49" i="26"/>
  <c r="AD49" i="26"/>
  <c r="AE49" i="26"/>
  <c r="AF49" i="26"/>
  <c r="AG49" i="26"/>
  <c r="AH49" i="26"/>
  <c r="AI49" i="26"/>
  <c r="AN49" i="26" s="1"/>
  <c r="AJ49" i="26"/>
  <c r="AK49" i="26"/>
  <c r="A50" i="26"/>
  <c r="X50" i="26"/>
  <c r="Z50" i="26"/>
  <c r="AA50" i="26"/>
  <c r="AB50" i="26"/>
  <c r="AC50" i="26"/>
  <c r="AD50" i="26"/>
  <c r="AE50" i="26"/>
  <c r="AF50" i="26"/>
  <c r="AG50" i="26"/>
  <c r="AH50" i="26"/>
  <c r="AI50" i="26"/>
  <c r="AJ50" i="26"/>
  <c r="AK50" i="26"/>
  <c r="A51" i="26"/>
  <c r="X51" i="26"/>
  <c r="Z51" i="26"/>
  <c r="AA51" i="26"/>
  <c r="AB51" i="26"/>
  <c r="AC51" i="26"/>
  <c r="AD51" i="26"/>
  <c r="AE51" i="26"/>
  <c r="AF51" i="26"/>
  <c r="AG51" i="26"/>
  <c r="AH51" i="26"/>
  <c r="AI51" i="26"/>
  <c r="AJ51" i="26"/>
  <c r="AK51" i="26"/>
  <c r="A52" i="26"/>
  <c r="X52" i="26"/>
  <c r="Z52" i="26"/>
  <c r="AA52" i="26"/>
  <c r="AB52" i="26"/>
  <c r="AC52" i="26"/>
  <c r="AD52" i="26"/>
  <c r="AE52" i="26"/>
  <c r="AF52" i="26"/>
  <c r="AG52" i="26"/>
  <c r="AN52" i="26" s="1"/>
  <c r="AH52" i="26"/>
  <c r="AI52" i="26"/>
  <c r="AJ52" i="26"/>
  <c r="AK52" i="26"/>
  <c r="A53" i="26"/>
  <c r="X53" i="26"/>
  <c r="Z53" i="26"/>
  <c r="AA53" i="26"/>
  <c r="AB53" i="26"/>
  <c r="AC53" i="26"/>
  <c r="AD53" i="26"/>
  <c r="AE53" i="26"/>
  <c r="AF53" i="26"/>
  <c r="AG53" i="26"/>
  <c r="AH53" i="26"/>
  <c r="AI53" i="26"/>
  <c r="AJ53" i="26"/>
  <c r="AK53" i="26"/>
  <c r="A54" i="26"/>
  <c r="X54" i="26"/>
  <c r="Z54" i="26"/>
  <c r="AA54" i="26"/>
  <c r="AB54" i="26"/>
  <c r="AC54" i="26"/>
  <c r="AD54" i="26"/>
  <c r="AE54" i="26"/>
  <c r="AF54" i="26"/>
  <c r="AG54" i="26"/>
  <c r="AH54" i="26"/>
  <c r="AI54" i="26"/>
  <c r="AJ54" i="26"/>
  <c r="AK54" i="26"/>
  <c r="A55" i="26"/>
  <c r="X55" i="26"/>
  <c r="Z55" i="26"/>
  <c r="AA55" i="26"/>
  <c r="AB55" i="26"/>
  <c r="AC55" i="26"/>
  <c r="AD55" i="26"/>
  <c r="AE55" i="26"/>
  <c r="AF55" i="26"/>
  <c r="AG55" i="26"/>
  <c r="AH55" i="26"/>
  <c r="AI55" i="26"/>
  <c r="AJ55" i="26"/>
  <c r="AK55" i="26"/>
  <c r="A56" i="26"/>
  <c r="X56" i="26"/>
  <c r="Z56" i="26"/>
  <c r="AA56" i="26"/>
  <c r="AB56" i="26"/>
  <c r="AC56" i="26"/>
  <c r="AD56" i="26"/>
  <c r="AE56" i="26"/>
  <c r="AF56" i="26"/>
  <c r="AG56" i="26"/>
  <c r="AH56" i="26"/>
  <c r="AI56" i="26"/>
  <c r="AJ56" i="26"/>
  <c r="AK56" i="26"/>
  <c r="A57" i="26"/>
  <c r="X57" i="26"/>
  <c r="Z57" i="26"/>
  <c r="AA57" i="26"/>
  <c r="AB57" i="26"/>
  <c r="AC57" i="26"/>
  <c r="AD57" i="26"/>
  <c r="AE57" i="26"/>
  <c r="AF57" i="26"/>
  <c r="AN57" i="26" s="1"/>
  <c r="AG57" i="26"/>
  <c r="AH57" i="26"/>
  <c r="AI57" i="26"/>
  <c r="AJ57" i="26"/>
  <c r="AK57" i="26"/>
  <c r="A58" i="26"/>
  <c r="X58" i="26"/>
  <c r="Z58" i="26"/>
  <c r="AA58" i="26"/>
  <c r="AB58" i="26"/>
  <c r="AC58" i="26"/>
  <c r="AD58" i="26"/>
  <c r="AE58" i="26"/>
  <c r="AF58" i="26"/>
  <c r="AG58" i="26"/>
  <c r="AH58" i="26"/>
  <c r="AI58" i="26"/>
  <c r="AJ58" i="26"/>
  <c r="AK58" i="26"/>
  <c r="A59" i="26"/>
  <c r="X59" i="26"/>
  <c r="Z59" i="26"/>
  <c r="AA59" i="26"/>
  <c r="AB59" i="26"/>
  <c r="AC59" i="26"/>
  <c r="AD59" i="26"/>
  <c r="AE59" i="26"/>
  <c r="AF59" i="26"/>
  <c r="AN59" i="26" s="1"/>
  <c r="AG59" i="26"/>
  <c r="AH59" i="26"/>
  <c r="AI59" i="26"/>
  <c r="AJ59" i="26"/>
  <c r="AK59" i="26"/>
  <c r="A60" i="26"/>
  <c r="X60" i="26"/>
  <c r="Z60" i="26"/>
  <c r="AA60" i="26"/>
  <c r="AB60" i="26"/>
  <c r="AC60" i="26"/>
  <c r="AD60" i="26"/>
  <c r="AE60" i="26"/>
  <c r="AF60" i="26"/>
  <c r="AG60" i="26"/>
  <c r="AN60" i="26" s="1"/>
  <c r="AH60" i="26"/>
  <c r="AI60" i="26"/>
  <c r="AJ60" i="26"/>
  <c r="AK60" i="26"/>
  <c r="A61" i="26"/>
  <c r="X61" i="26"/>
  <c r="Z61" i="26"/>
  <c r="AL61" i="26" s="1"/>
  <c r="AA61" i="26"/>
  <c r="AB61" i="26"/>
  <c r="AC61" i="26"/>
  <c r="AD61" i="26"/>
  <c r="AE61" i="26"/>
  <c r="AF61" i="26"/>
  <c r="AG61" i="26"/>
  <c r="AH61" i="26"/>
  <c r="AI61" i="26"/>
  <c r="AJ61" i="26"/>
  <c r="AK61" i="26"/>
  <c r="A62" i="26"/>
  <c r="X62" i="26"/>
  <c r="Z62" i="26"/>
  <c r="AA62" i="26"/>
  <c r="AB62" i="26"/>
  <c r="AC62" i="26"/>
  <c r="AD62" i="26"/>
  <c r="AE62" i="26"/>
  <c r="AF62" i="26"/>
  <c r="AG62" i="26"/>
  <c r="AH62" i="26"/>
  <c r="AI62" i="26"/>
  <c r="AJ62" i="26"/>
  <c r="AK62" i="26"/>
  <c r="A63" i="26"/>
  <c r="X63" i="26"/>
  <c r="Z63" i="26"/>
  <c r="AA63" i="26"/>
  <c r="AB63" i="26"/>
  <c r="AC63" i="26"/>
  <c r="AD63" i="26"/>
  <c r="AE63" i="26"/>
  <c r="AF63" i="26"/>
  <c r="AG63" i="26"/>
  <c r="AH63" i="26"/>
  <c r="AI63" i="26"/>
  <c r="AJ63" i="26"/>
  <c r="AK63" i="26"/>
  <c r="AN63" i="26"/>
  <c r="A64" i="26"/>
  <c r="X64" i="26"/>
  <c r="Z64" i="26"/>
  <c r="AA64" i="26"/>
  <c r="AB64" i="26"/>
  <c r="AC64" i="26"/>
  <c r="AD64" i="26"/>
  <c r="AE64" i="26"/>
  <c r="AF64" i="26"/>
  <c r="AG64" i="26"/>
  <c r="AH64" i="26"/>
  <c r="AI64" i="26"/>
  <c r="AJ64" i="26"/>
  <c r="AK64" i="26"/>
  <c r="A65" i="26"/>
  <c r="X65" i="26"/>
  <c r="Z65" i="26"/>
  <c r="AA65" i="26"/>
  <c r="AB65" i="26"/>
  <c r="AC65" i="26"/>
  <c r="AD65" i="26"/>
  <c r="AE65" i="26"/>
  <c r="AF65" i="26"/>
  <c r="AG65" i="26"/>
  <c r="AN65" i="26" s="1"/>
  <c r="AH65" i="26"/>
  <c r="AI65" i="26"/>
  <c r="AJ65" i="26"/>
  <c r="AK65" i="26"/>
  <c r="A66" i="26"/>
  <c r="X66" i="26"/>
  <c r="Z66" i="26"/>
  <c r="AA66" i="26"/>
  <c r="AB66" i="26"/>
  <c r="AC66" i="26"/>
  <c r="AD66" i="26"/>
  <c r="AE66" i="26"/>
  <c r="AF66" i="26"/>
  <c r="AG66" i="26"/>
  <c r="AH66" i="26"/>
  <c r="AI66" i="26"/>
  <c r="AJ66" i="26"/>
  <c r="AK66" i="26"/>
  <c r="K68" i="26"/>
  <c r="L68" i="26"/>
  <c r="M68" i="26"/>
  <c r="N68" i="26"/>
  <c r="O68" i="26"/>
  <c r="O87" i="26" s="1"/>
  <c r="P68" i="26"/>
  <c r="Q68" i="26"/>
  <c r="R68" i="26"/>
  <c r="S68" i="26"/>
  <c r="T68" i="26"/>
  <c r="U68" i="26"/>
  <c r="V68" i="26"/>
  <c r="A72" i="26"/>
  <c r="X72" i="26"/>
  <c r="Z72" i="26"/>
  <c r="AA72" i="26"/>
  <c r="AA76" i="26" s="1"/>
  <c r="AB72" i="26"/>
  <c r="AB76" i="26" s="1"/>
  <c r="AC72" i="26"/>
  <c r="AD72" i="26"/>
  <c r="AE72" i="26"/>
  <c r="AF72" i="26"/>
  <c r="AF76" i="26" s="1"/>
  <c r="AG72" i="26"/>
  <c r="AH72" i="26"/>
  <c r="AI72" i="26"/>
  <c r="AI76" i="26" s="1"/>
  <c r="AJ72" i="26"/>
  <c r="AJ76" i="26" s="1"/>
  <c r="AK72" i="26"/>
  <c r="A73" i="26"/>
  <c r="X73" i="26"/>
  <c r="Z73" i="26"/>
  <c r="AA73" i="26"/>
  <c r="AB73" i="26"/>
  <c r="AC73" i="26"/>
  <c r="AD73" i="26"/>
  <c r="AE73" i="26"/>
  <c r="AF73" i="26"/>
  <c r="AG73" i="26"/>
  <c r="AH73" i="26"/>
  <c r="AI73" i="26"/>
  <c r="AJ73" i="26"/>
  <c r="AK73" i="26"/>
  <c r="A74" i="26"/>
  <c r="X74" i="26"/>
  <c r="Z74" i="26"/>
  <c r="AA74" i="26"/>
  <c r="AB74" i="26"/>
  <c r="AC74" i="26"/>
  <c r="AD74" i="26"/>
  <c r="AE74" i="26"/>
  <c r="AF74" i="26"/>
  <c r="AG74" i="26"/>
  <c r="AH74" i="26"/>
  <c r="AI74" i="26"/>
  <c r="AJ74" i="26"/>
  <c r="AK74" i="26"/>
  <c r="K76" i="26"/>
  <c r="L76" i="26"/>
  <c r="M76" i="26"/>
  <c r="N76" i="26"/>
  <c r="O76" i="26"/>
  <c r="P76" i="26"/>
  <c r="Q76" i="26"/>
  <c r="R76" i="26"/>
  <c r="S76" i="26"/>
  <c r="T76" i="26"/>
  <c r="U76" i="26"/>
  <c r="V76" i="26"/>
  <c r="X76" i="26"/>
  <c r="Z76" i="26"/>
  <c r="AE76" i="26"/>
  <c r="AG76" i="26"/>
  <c r="AH76" i="26"/>
  <c r="A78" i="26"/>
  <c r="X78" i="26"/>
  <c r="Z78" i="26"/>
  <c r="AA78" i="26"/>
  <c r="AB78" i="26"/>
  <c r="AC78" i="26"/>
  <c r="AD78" i="26"/>
  <c r="AE78" i="26"/>
  <c r="AF78" i="26"/>
  <c r="AG78" i="26"/>
  <c r="AH78" i="26"/>
  <c r="AI78" i="26"/>
  <c r="AJ78" i="26"/>
  <c r="AK78" i="26"/>
  <c r="A81" i="26"/>
  <c r="X81" i="26"/>
  <c r="Z81" i="26"/>
  <c r="AA81" i="26"/>
  <c r="AA85" i="26" s="1"/>
  <c r="AB81" i="26"/>
  <c r="AB85" i="26" s="1"/>
  <c r="AC81" i="26"/>
  <c r="AD81" i="26"/>
  <c r="AD85" i="26" s="1"/>
  <c r="AE81" i="26"/>
  <c r="AF81" i="26"/>
  <c r="AF85" i="26" s="1"/>
  <c r="AG81" i="26"/>
  <c r="AH81" i="26"/>
  <c r="AI81" i="26"/>
  <c r="AI85" i="26" s="1"/>
  <c r="AJ81" i="26"/>
  <c r="AK81" i="26"/>
  <c r="X82" i="26"/>
  <c r="Z82" i="26"/>
  <c r="AA82" i="26"/>
  <c r="AB82" i="26"/>
  <c r="AC82" i="26"/>
  <c r="AC85" i="26" s="1"/>
  <c r="AD82" i="26"/>
  <c r="AE82" i="26"/>
  <c r="AF82" i="26"/>
  <c r="AN82" i="26" s="1"/>
  <c r="AG82" i="26"/>
  <c r="AH82" i="26"/>
  <c r="AI82" i="26"/>
  <c r="AJ82" i="26"/>
  <c r="AK82" i="26"/>
  <c r="AK85" i="26" s="1"/>
  <c r="A83" i="26"/>
  <c r="X83" i="26"/>
  <c r="A84" i="26"/>
  <c r="X84" i="26"/>
  <c r="K85" i="26"/>
  <c r="L85" i="26"/>
  <c r="M85" i="26"/>
  <c r="N85" i="26"/>
  <c r="O85" i="26"/>
  <c r="P85" i="26"/>
  <c r="Q85" i="26"/>
  <c r="R85" i="26"/>
  <c r="S85" i="26"/>
  <c r="S87" i="26" s="1"/>
  <c r="T85" i="26"/>
  <c r="U85" i="26"/>
  <c r="V85" i="26"/>
  <c r="K87" i="26"/>
  <c r="Q87" i="26"/>
  <c r="A93" i="26"/>
  <c r="X93" i="26"/>
  <c r="Z93" i="26"/>
  <c r="AA93" i="26"/>
  <c r="AB93" i="26"/>
  <c r="AC93" i="26"/>
  <c r="AD93" i="26"/>
  <c r="AE93" i="26"/>
  <c r="AF93" i="26"/>
  <c r="AG93" i="26"/>
  <c r="AH93" i="26"/>
  <c r="AI93" i="26"/>
  <c r="AJ93" i="26"/>
  <c r="AK93" i="26"/>
  <c r="AO93" i="26"/>
  <c r="A94" i="26"/>
  <c r="X94" i="26"/>
  <c r="Z94" i="26"/>
  <c r="AA94" i="26"/>
  <c r="AB94" i="26"/>
  <c r="AC94" i="26"/>
  <c r="AD94" i="26"/>
  <c r="AE94" i="26"/>
  <c r="AF94" i="26"/>
  <c r="AG94" i="26"/>
  <c r="AH94" i="26"/>
  <c r="AI94" i="26"/>
  <c r="AJ94" i="26"/>
  <c r="AK94" i="26"/>
  <c r="AO94" i="26"/>
  <c r="A95" i="26"/>
  <c r="X95" i="26"/>
  <c r="Z95" i="26"/>
  <c r="AA95" i="26"/>
  <c r="AB95" i="26"/>
  <c r="AC95" i="26"/>
  <c r="AD95" i="26"/>
  <c r="AE95" i="26"/>
  <c r="AF95" i="26"/>
  <c r="AG95" i="26"/>
  <c r="AH95" i="26"/>
  <c r="AI95" i="26"/>
  <c r="AJ95" i="26"/>
  <c r="AK95" i="26"/>
  <c r="AO95" i="26"/>
  <c r="A96" i="26"/>
  <c r="X96" i="26"/>
  <c r="X206" i="26" s="1"/>
  <c r="Z96" i="26"/>
  <c r="AA96" i="26"/>
  <c r="AB96" i="26"/>
  <c r="AC96" i="26"/>
  <c r="AD96" i="26"/>
  <c r="AE96" i="26"/>
  <c r="AF96" i="26"/>
  <c r="AG96" i="26"/>
  <c r="AH96" i="26"/>
  <c r="AI96" i="26"/>
  <c r="AJ96" i="26"/>
  <c r="AK96" i="26"/>
  <c r="AO96" i="26"/>
  <c r="A97" i="26"/>
  <c r="X97" i="26"/>
  <c r="Z97" i="26"/>
  <c r="AA97" i="26"/>
  <c r="AB97" i="26"/>
  <c r="AC97" i="26"/>
  <c r="AD97" i="26"/>
  <c r="AE97" i="26"/>
  <c r="AF97" i="26"/>
  <c r="AG97" i="26"/>
  <c r="AH97" i="26"/>
  <c r="AI97" i="26"/>
  <c r="AJ97" i="26"/>
  <c r="AK97" i="26"/>
  <c r="AO97" i="26"/>
  <c r="A98" i="26"/>
  <c r="X98" i="26"/>
  <c r="Z98" i="26"/>
  <c r="AA98" i="26"/>
  <c r="AB98" i="26"/>
  <c r="AC98" i="26"/>
  <c r="AD98" i="26"/>
  <c r="AE98" i="26"/>
  <c r="AF98" i="26"/>
  <c r="AG98" i="26"/>
  <c r="AH98" i="26"/>
  <c r="AI98" i="26"/>
  <c r="AJ98" i="26"/>
  <c r="AK98" i="26"/>
  <c r="AO98" i="26"/>
  <c r="A99" i="26"/>
  <c r="X99" i="26"/>
  <c r="Z99" i="26"/>
  <c r="AA99" i="26"/>
  <c r="AB99" i="26"/>
  <c r="AC99" i="26"/>
  <c r="AD99" i="26"/>
  <c r="AE99" i="26"/>
  <c r="AF99" i="26"/>
  <c r="AG99" i="26"/>
  <c r="AH99" i="26"/>
  <c r="AI99" i="26"/>
  <c r="AJ99" i="26"/>
  <c r="AK99" i="26"/>
  <c r="AO99" i="26"/>
  <c r="A100" i="26"/>
  <c r="X100" i="26"/>
  <c r="Z100" i="26"/>
  <c r="AA100" i="26"/>
  <c r="AB100" i="26"/>
  <c r="AC100" i="26"/>
  <c r="AC206" i="26" s="1"/>
  <c r="AD100" i="26"/>
  <c r="AE100" i="26"/>
  <c r="AF100" i="26"/>
  <c r="AG100" i="26"/>
  <c r="AH100" i="26"/>
  <c r="AI100" i="26"/>
  <c r="AJ100" i="26"/>
  <c r="AK100" i="26"/>
  <c r="AO100" i="26"/>
  <c r="A101" i="26"/>
  <c r="X101" i="26"/>
  <c r="Z101" i="26"/>
  <c r="AA101" i="26"/>
  <c r="AB101" i="26"/>
  <c r="AC101" i="26"/>
  <c r="AD101" i="26"/>
  <c r="AD206" i="26" s="1"/>
  <c r="AE101" i="26"/>
  <c r="AF101" i="26"/>
  <c r="AG101" i="26"/>
  <c r="AH101" i="26"/>
  <c r="AI101" i="26"/>
  <c r="AJ101" i="26"/>
  <c r="AK101" i="26"/>
  <c r="AN101" i="26"/>
  <c r="AO101" i="26"/>
  <c r="A102" i="26"/>
  <c r="X102" i="26"/>
  <c r="Z102" i="26"/>
  <c r="AA102" i="26"/>
  <c r="AB102" i="26"/>
  <c r="AC102" i="26"/>
  <c r="AD102" i="26"/>
  <c r="AE102" i="26"/>
  <c r="AF102" i="26"/>
  <c r="AG102" i="26"/>
  <c r="AH102" i="26"/>
  <c r="AI102" i="26"/>
  <c r="AJ102" i="26"/>
  <c r="AK102" i="26"/>
  <c r="AO102" i="26"/>
  <c r="A103" i="26"/>
  <c r="X103" i="26"/>
  <c r="Z103" i="26"/>
  <c r="AA103" i="26"/>
  <c r="AB103" i="26"/>
  <c r="AC103" i="26"/>
  <c r="AD103" i="26"/>
  <c r="AE103" i="26"/>
  <c r="AF103" i="26"/>
  <c r="AG103" i="26"/>
  <c r="AH103" i="26"/>
  <c r="AI103" i="26"/>
  <c r="AJ103" i="26"/>
  <c r="AK103" i="26"/>
  <c r="AO103" i="26"/>
  <c r="A104" i="26"/>
  <c r="X104" i="26"/>
  <c r="Z104" i="26"/>
  <c r="AA104" i="26"/>
  <c r="AB104" i="26"/>
  <c r="AC104" i="26"/>
  <c r="AD104" i="26"/>
  <c r="AE104" i="26"/>
  <c r="AF104" i="26"/>
  <c r="AN104" i="26" s="1"/>
  <c r="AG104" i="26"/>
  <c r="AH104" i="26"/>
  <c r="AI104" i="26"/>
  <c r="AJ104" i="26"/>
  <c r="AK104" i="26"/>
  <c r="AO104" i="26"/>
  <c r="A105" i="26"/>
  <c r="X105" i="26"/>
  <c r="Z105" i="26"/>
  <c r="AA105" i="26"/>
  <c r="AB105" i="26"/>
  <c r="AC105" i="26"/>
  <c r="AD105" i="26"/>
  <c r="AE105" i="26"/>
  <c r="AF105" i="26"/>
  <c r="AG105" i="26"/>
  <c r="AH105" i="26"/>
  <c r="AI105" i="26"/>
  <c r="AJ105" i="26"/>
  <c r="AK105" i="26"/>
  <c r="AO105" i="26"/>
  <c r="A106" i="26"/>
  <c r="X106" i="26"/>
  <c r="Z106" i="26"/>
  <c r="AA106" i="26"/>
  <c r="AB106" i="26"/>
  <c r="AC106" i="26"/>
  <c r="AD106" i="26"/>
  <c r="AE106" i="26"/>
  <c r="AF106" i="26"/>
  <c r="AG106" i="26"/>
  <c r="AH106" i="26"/>
  <c r="AI106" i="26"/>
  <c r="AJ106" i="26"/>
  <c r="AK106" i="26"/>
  <c r="AO106" i="26"/>
  <c r="A107" i="26"/>
  <c r="X107" i="26"/>
  <c r="Z107" i="26"/>
  <c r="AA107" i="26"/>
  <c r="AB107" i="26"/>
  <c r="AC107" i="26"/>
  <c r="AD107" i="26"/>
  <c r="AE107" i="26"/>
  <c r="AF107" i="26"/>
  <c r="AG107" i="26"/>
  <c r="AH107" i="26"/>
  <c r="AI107" i="26"/>
  <c r="AJ107" i="26"/>
  <c r="AK107" i="26"/>
  <c r="AO107" i="26"/>
  <c r="A108" i="26"/>
  <c r="X108" i="26"/>
  <c r="Z108" i="26"/>
  <c r="AA108" i="26"/>
  <c r="AB108" i="26"/>
  <c r="AC108" i="26"/>
  <c r="AD108" i="26"/>
  <c r="AE108" i="26"/>
  <c r="AF108" i="26"/>
  <c r="AG108" i="26"/>
  <c r="AH108" i="26"/>
  <c r="AI108" i="26"/>
  <c r="AJ108" i="26"/>
  <c r="AK108" i="26"/>
  <c r="AO108" i="26"/>
  <c r="A109" i="26"/>
  <c r="X109" i="26"/>
  <c r="Z109" i="26"/>
  <c r="AA109" i="26"/>
  <c r="AB109" i="26"/>
  <c r="AC109" i="26"/>
  <c r="AD109" i="26"/>
  <c r="AE109" i="26"/>
  <c r="AF109" i="26"/>
  <c r="AN109" i="26" s="1"/>
  <c r="AG109" i="26"/>
  <c r="AH109" i="26"/>
  <c r="AI109" i="26"/>
  <c r="AJ109" i="26"/>
  <c r="AK109" i="26"/>
  <c r="AO109" i="26"/>
  <c r="A110" i="26"/>
  <c r="X110" i="26"/>
  <c r="Z110" i="26"/>
  <c r="AL110" i="26" s="1"/>
  <c r="AA110" i="26"/>
  <c r="AB110" i="26"/>
  <c r="AC110" i="26"/>
  <c r="AD110" i="26"/>
  <c r="AE110" i="26"/>
  <c r="AF110" i="26"/>
  <c r="AG110" i="26"/>
  <c r="AH110" i="26"/>
  <c r="AI110" i="26"/>
  <c r="AJ110" i="26"/>
  <c r="AK110" i="26"/>
  <c r="AO110" i="26"/>
  <c r="A111" i="26"/>
  <c r="X111" i="26"/>
  <c r="Z111" i="26"/>
  <c r="AA111" i="26"/>
  <c r="AB111" i="26"/>
  <c r="AC111" i="26"/>
  <c r="AD111" i="26"/>
  <c r="AE111" i="26"/>
  <c r="AF111" i="26"/>
  <c r="AG111" i="26"/>
  <c r="AH111" i="26"/>
  <c r="AI111" i="26"/>
  <c r="AJ111" i="26"/>
  <c r="AK111" i="26"/>
  <c r="AO111" i="26"/>
  <c r="A112" i="26"/>
  <c r="X112" i="26"/>
  <c r="Z112" i="26"/>
  <c r="AA112" i="26"/>
  <c r="AB112" i="26"/>
  <c r="AC112" i="26"/>
  <c r="AD112" i="26"/>
  <c r="AE112" i="26"/>
  <c r="AF112" i="26"/>
  <c r="AG112" i="26"/>
  <c r="AH112" i="26"/>
  <c r="AI112" i="26"/>
  <c r="AJ112" i="26"/>
  <c r="AK112" i="26"/>
  <c r="AO112" i="26"/>
  <c r="A113" i="26"/>
  <c r="X113" i="26"/>
  <c r="Z113" i="26"/>
  <c r="AA113" i="26"/>
  <c r="AB113" i="26"/>
  <c r="AC113" i="26"/>
  <c r="AD113" i="26"/>
  <c r="AE113" i="26"/>
  <c r="AF113" i="26"/>
  <c r="AG113" i="26"/>
  <c r="AH113" i="26"/>
  <c r="AI113" i="26"/>
  <c r="AJ113" i="26"/>
  <c r="AK113" i="26"/>
  <c r="AO113" i="26"/>
  <c r="A114" i="26"/>
  <c r="X114" i="26"/>
  <c r="Z114" i="26"/>
  <c r="AA114" i="26"/>
  <c r="AB114" i="26"/>
  <c r="AC114" i="26"/>
  <c r="AD114" i="26"/>
  <c r="AE114" i="26"/>
  <c r="AF114" i="26"/>
  <c r="AG114" i="26"/>
  <c r="AH114" i="26"/>
  <c r="AI114" i="26"/>
  <c r="AJ114" i="26"/>
  <c r="AK114" i="26"/>
  <c r="AO114" i="26"/>
  <c r="A115" i="26"/>
  <c r="X115" i="26"/>
  <c r="Z115" i="26"/>
  <c r="AA115" i="26"/>
  <c r="AB115" i="26"/>
  <c r="AC115" i="26"/>
  <c r="AD115" i="26"/>
  <c r="AE115" i="26"/>
  <c r="AF115" i="26"/>
  <c r="AG115" i="26"/>
  <c r="AH115" i="26"/>
  <c r="AI115" i="26"/>
  <c r="AJ115" i="26"/>
  <c r="AK115" i="26"/>
  <c r="AO115" i="26"/>
  <c r="A116" i="26"/>
  <c r="X116" i="26"/>
  <c r="Z116" i="26"/>
  <c r="AA116" i="26"/>
  <c r="AB116" i="26"/>
  <c r="AC116" i="26"/>
  <c r="AD116" i="26"/>
  <c r="AE116" i="26"/>
  <c r="AF116" i="26"/>
  <c r="AG116" i="26"/>
  <c r="AH116" i="26"/>
  <c r="AI116" i="26"/>
  <c r="AJ116" i="26"/>
  <c r="AK116" i="26"/>
  <c r="AO116" i="26"/>
  <c r="A117" i="26"/>
  <c r="X117" i="26"/>
  <c r="Z117" i="26"/>
  <c r="AA117" i="26"/>
  <c r="AB117" i="26"/>
  <c r="AC117" i="26"/>
  <c r="AD117" i="26"/>
  <c r="AE117" i="26"/>
  <c r="AF117" i="26"/>
  <c r="AN117" i="26" s="1"/>
  <c r="AG117" i="26"/>
  <c r="AH117" i="26"/>
  <c r="AI117" i="26"/>
  <c r="AJ117" i="26"/>
  <c r="AK117" i="26"/>
  <c r="AO117" i="26"/>
  <c r="A118" i="26"/>
  <c r="X118" i="26"/>
  <c r="Z118" i="26"/>
  <c r="AA118" i="26"/>
  <c r="AL118" i="26" s="1"/>
  <c r="AB118" i="26"/>
  <c r="AC118" i="26"/>
  <c r="AD118" i="26"/>
  <c r="AE118" i="26"/>
  <c r="AF118" i="26"/>
  <c r="AG118" i="26"/>
  <c r="AH118" i="26"/>
  <c r="AI118" i="26"/>
  <c r="AJ118" i="26"/>
  <c r="AK118" i="26"/>
  <c r="AO118" i="26"/>
  <c r="A119" i="26"/>
  <c r="X119" i="26"/>
  <c r="Z119" i="26"/>
  <c r="AA119" i="26"/>
  <c r="AB119" i="26"/>
  <c r="AC119" i="26"/>
  <c r="AD119" i="26"/>
  <c r="AE119" i="26"/>
  <c r="AF119" i="26"/>
  <c r="AG119" i="26"/>
  <c r="AH119" i="26"/>
  <c r="AI119" i="26"/>
  <c r="AJ119" i="26"/>
  <c r="AK119" i="26"/>
  <c r="AO119" i="26"/>
  <c r="A120" i="26"/>
  <c r="X120" i="26"/>
  <c r="Z120" i="26"/>
  <c r="AA120" i="26"/>
  <c r="AB120" i="26"/>
  <c r="AC120" i="26"/>
  <c r="AD120" i="26"/>
  <c r="AE120" i="26"/>
  <c r="AF120" i="26"/>
  <c r="AG120" i="26"/>
  <c r="AH120" i="26"/>
  <c r="AI120" i="26"/>
  <c r="AJ120" i="26"/>
  <c r="AK120" i="26"/>
  <c r="AO120" i="26"/>
  <c r="A121" i="26"/>
  <c r="X121" i="26"/>
  <c r="Z121" i="26"/>
  <c r="AA121" i="26"/>
  <c r="AB121" i="26"/>
  <c r="AC121" i="26"/>
  <c r="AD121" i="26"/>
  <c r="AE121" i="26"/>
  <c r="AF121" i="26"/>
  <c r="AG121" i="26"/>
  <c r="AH121" i="26"/>
  <c r="AI121" i="26"/>
  <c r="AJ121" i="26"/>
  <c r="AK121" i="26"/>
  <c r="AO121" i="26"/>
  <c r="A122" i="26"/>
  <c r="X122" i="26"/>
  <c r="Z122" i="26"/>
  <c r="AA122" i="26"/>
  <c r="AB122" i="26"/>
  <c r="AC122" i="26"/>
  <c r="AD122" i="26"/>
  <c r="AE122" i="26"/>
  <c r="AF122" i="26"/>
  <c r="AG122" i="26"/>
  <c r="AH122" i="26"/>
  <c r="AI122" i="26"/>
  <c r="AJ122" i="26"/>
  <c r="AK122" i="26"/>
  <c r="AO122" i="26"/>
  <c r="A123" i="26"/>
  <c r="X123" i="26"/>
  <c r="Z123" i="26"/>
  <c r="AA123" i="26"/>
  <c r="AB123" i="26"/>
  <c r="AC123" i="26"/>
  <c r="AD123" i="26"/>
  <c r="AE123" i="26"/>
  <c r="AF123" i="26"/>
  <c r="AG123" i="26"/>
  <c r="AH123" i="26"/>
  <c r="AI123" i="26"/>
  <c r="AJ123" i="26"/>
  <c r="AK123" i="26"/>
  <c r="AO123" i="26"/>
  <c r="A124" i="26"/>
  <c r="X124" i="26"/>
  <c r="Z124" i="26"/>
  <c r="AA124" i="26"/>
  <c r="AB124" i="26"/>
  <c r="AC124" i="26"/>
  <c r="AD124" i="26"/>
  <c r="AE124" i="26"/>
  <c r="AF124" i="26"/>
  <c r="AN124" i="26" s="1"/>
  <c r="AG124" i="26"/>
  <c r="AH124" i="26"/>
  <c r="AI124" i="26"/>
  <c r="AJ124" i="26"/>
  <c r="AK124" i="26"/>
  <c r="AO124" i="26"/>
  <c r="A125" i="26"/>
  <c r="X125" i="26"/>
  <c r="Z125" i="26"/>
  <c r="AA125" i="26"/>
  <c r="AB125" i="26"/>
  <c r="AC125" i="26"/>
  <c r="AD125" i="26"/>
  <c r="AE125" i="26"/>
  <c r="AF125" i="26"/>
  <c r="AG125" i="26"/>
  <c r="AN125" i="26" s="1"/>
  <c r="AH125" i="26"/>
  <c r="AI125" i="26"/>
  <c r="AJ125" i="26"/>
  <c r="AK125" i="26"/>
  <c r="AO125" i="26"/>
  <c r="A126" i="26"/>
  <c r="X126" i="26"/>
  <c r="Z126" i="26"/>
  <c r="AA126" i="26"/>
  <c r="AB126" i="26"/>
  <c r="AC126" i="26"/>
  <c r="AD126" i="26"/>
  <c r="AE126" i="26"/>
  <c r="AF126" i="26"/>
  <c r="AG126" i="26"/>
  <c r="AH126" i="26"/>
  <c r="AN126" i="26" s="1"/>
  <c r="AI126" i="26"/>
  <c r="AJ126" i="26"/>
  <c r="AK126" i="26"/>
  <c r="AO126" i="26"/>
  <c r="A127" i="26"/>
  <c r="X127" i="26"/>
  <c r="Z127" i="26"/>
  <c r="AA127" i="26"/>
  <c r="AB127" i="26"/>
  <c r="AC127" i="26"/>
  <c r="AD127" i="26"/>
  <c r="AE127" i="26"/>
  <c r="AF127" i="26"/>
  <c r="AG127" i="26"/>
  <c r="AH127" i="26"/>
  <c r="AI127" i="26"/>
  <c r="AJ127" i="26"/>
  <c r="AK127" i="26"/>
  <c r="AO127" i="26"/>
  <c r="A128" i="26"/>
  <c r="X128" i="26"/>
  <c r="Z128" i="26"/>
  <c r="AA128" i="26"/>
  <c r="AB128" i="26"/>
  <c r="AC128" i="26"/>
  <c r="AD128" i="26"/>
  <c r="AE128" i="26"/>
  <c r="AF128" i="26"/>
  <c r="AG128" i="26"/>
  <c r="AH128" i="26"/>
  <c r="AI128" i="26"/>
  <c r="AJ128" i="26"/>
  <c r="AK128" i="26"/>
  <c r="AO128" i="26"/>
  <c r="A129" i="26"/>
  <c r="X129" i="26"/>
  <c r="Z129" i="26"/>
  <c r="AA129" i="26"/>
  <c r="AB129" i="26"/>
  <c r="AC129" i="26"/>
  <c r="AD129" i="26"/>
  <c r="AE129" i="26"/>
  <c r="AF129" i="26"/>
  <c r="AG129" i="26"/>
  <c r="AH129" i="26"/>
  <c r="AI129" i="26"/>
  <c r="AJ129" i="26"/>
  <c r="AK129" i="26"/>
  <c r="AO129" i="26"/>
  <c r="A130" i="26"/>
  <c r="X130" i="26"/>
  <c r="Z130" i="26"/>
  <c r="AA130" i="26"/>
  <c r="AB130" i="26"/>
  <c r="AC130" i="26"/>
  <c r="AD130" i="26"/>
  <c r="AE130" i="26"/>
  <c r="AF130" i="26"/>
  <c r="AG130" i="26"/>
  <c r="AH130" i="26"/>
  <c r="AI130" i="26"/>
  <c r="AJ130" i="26"/>
  <c r="AK130" i="26"/>
  <c r="AO130" i="26"/>
  <c r="A131" i="26"/>
  <c r="X131" i="26"/>
  <c r="Z131" i="26"/>
  <c r="AA131" i="26"/>
  <c r="AB131" i="26"/>
  <c r="AC131" i="26"/>
  <c r="AD131" i="26"/>
  <c r="AE131" i="26"/>
  <c r="AF131" i="26"/>
  <c r="AG131" i="26"/>
  <c r="AH131" i="26"/>
  <c r="AI131" i="26"/>
  <c r="AJ131" i="26"/>
  <c r="AK131" i="26"/>
  <c r="AO131" i="26"/>
  <c r="A132" i="26"/>
  <c r="X132" i="26"/>
  <c r="Z132" i="26"/>
  <c r="AA132" i="26"/>
  <c r="AB132" i="26"/>
  <c r="AC132" i="26"/>
  <c r="AD132" i="26"/>
  <c r="AE132" i="26"/>
  <c r="AF132" i="26"/>
  <c r="AG132" i="26"/>
  <c r="AH132" i="26"/>
  <c r="AI132" i="26"/>
  <c r="AJ132" i="26"/>
  <c r="AK132" i="26"/>
  <c r="AO132" i="26"/>
  <c r="A133" i="26"/>
  <c r="X133" i="26"/>
  <c r="Z133" i="26"/>
  <c r="AA133" i="26"/>
  <c r="AB133" i="26"/>
  <c r="AC133" i="26"/>
  <c r="AD133" i="26"/>
  <c r="AE133" i="26"/>
  <c r="AF133" i="26"/>
  <c r="AG133" i="26"/>
  <c r="AN133" i="26" s="1"/>
  <c r="AH133" i="26"/>
  <c r="AI133" i="26"/>
  <c r="AJ133" i="26"/>
  <c r="AK133" i="26"/>
  <c r="AO133" i="26"/>
  <c r="A134" i="26"/>
  <c r="X134" i="26"/>
  <c r="Z134" i="26"/>
  <c r="AA134" i="26"/>
  <c r="AB134" i="26"/>
  <c r="AC134" i="26"/>
  <c r="AD134" i="26"/>
  <c r="AE134" i="26"/>
  <c r="AF134" i="26"/>
  <c r="AG134" i="26"/>
  <c r="AH134" i="26"/>
  <c r="AI134" i="26"/>
  <c r="AJ134" i="26"/>
  <c r="AK134" i="26"/>
  <c r="AO134" i="26"/>
  <c r="A135" i="26"/>
  <c r="X135" i="26"/>
  <c r="Z135" i="26"/>
  <c r="AA135" i="26"/>
  <c r="AB135" i="26"/>
  <c r="AC135" i="26"/>
  <c r="AD135" i="26"/>
  <c r="AE135" i="26"/>
  <c r="AF135" i="26"/>
  <c r="AG135" i="26"/>
  <c r="AH135" i="26"/>
  <c r="AI135" i="26"/>
  <c r="AJ135" i="26"/>
  <c r="AK135" i="26"/>
  <c r="AO135" i="26"/>
  <c r="A136" i="26"/>
  <c r="X136" i="26"/>
  <c r="Z136" i="26"/>
  <c r="AA136" i="26"/>
  <c r="AB136" i="26"/>
  <c r="AC136" i="26"/>
  <c r="AD136" i="26"/>
  <c r="AE136" i="26"/>
  <c r="AF136" i="26"/>
  <c r="AG136" i="26"/>
  <c r="AH136" i="26"/>
  <c r="AI136" i="26"/>
  <c r="AJ136" i="26"/>
  <c r="AK136" i="26"/>
  <c r="AO136" i="26"/>
  <c r="A137" i="26"/>
  <c r="X137" i="26"/>
  <c r="Z137" i="26"/>
  <c r="AA137" i="26"/>
  <c r="AB137" i="26"/>
  <c r="AC137" i="26"/>
  <c r="AD137" i="26"/>
  <c r="AE137" i="26"/>
  <c r="AF137" i="26"/>
  <c r="AG137" i="26"/>
  <c r="AH137" i="26"/>
  <c r="AI137" i="26"/>
  <c r="AJ137" i="26"/>
  <c r="AK137" i="26"/>
  <c r="AO137" i="26"/>
  <c r="A138" i="26"/>
  <c r="X138" i="26"/>
  <c r="Z138" i="26"/>
  <c r="AA138" i="26"/>
  <c r="AB138" i="26"/>
  <c r="AC138" i="26"/>
  <c r="AD138" i="26"/>
  <c r="AE138" i="26"/>
  <c r="AF138" i="26"/>
  <c r="AG138" i="26"/>
  <c r="AH138" i="26"/>
  <c r="AI138" i="26"/>
  <c r="AJ138" i="26"/>
  <c r="AK138" i="26"/>
  <c r="AO138" i="26"/>
  <c r="A139" i="26"/>
  <c r="X139" i="26"/>
  <c r="Z139" i="26"/>
  <c r="AA139" i="26"/>
  <c r="AB139" i="26"/>
  <c r="AC139" i="26"/>
  <c r="AD139" i="26"/>
  <c r="AE139" i="26"/>
  <c r="AF139" i="26"/>
  <c r="AG139" i="26"/>
  <c r="AH139" i="26"/>
  <c r="AI139" i="26"/>
  <c r="AJ139" i="26"/>
  <c r="AK139" i="26"/>
  <c r="AO139" i="26"/>
  <c r="A140" i="26"/>
  <c r="X140" i="26"/>
  <c r="Z140" i="26"/>
  <c r="AA140" i="26"/>
  <c r="AB140" i="26"/>
  <c r="AC140" i="26"/>
  <c r="AD140" i="26"/>
  <c r="AE140" i="26"/>
  <c r="AL140" i="26" s="1"/>
  <c r="AF140" i="26"/>
  <c r="AG140" i="26"/>
  <c r="AH140" i="26"/>
  <c r="AN140" i="26" s="1"/>
  <c r="AI140" i="26"/>
  <c r="AJ140" i="26"/>
  <c r="AK140" i="26"/>
  <c r="AO140" i="26"/>
  <c r="A141" i="26"/>
  <c r="X141" i="26"/>
  <c r="Z141" i="26"/>
  <c r="AL141" i="26" s="1"/>
  <c r="AA141" i="26"/>
  <c r="AB141" i="26"/>
  <c r="AC141" i="26"/>
  <c r="AD141" i="26"/>
  <c r="AE141" i="26"/>
  <c r="AF141" i="26"/>
  <c r="AG141" i="26"/>
  <c r="AH141" i="26"/>
  <c r="AI141" i="26"/>
  <c r="AJ141" i="26"/>
  <c r="AK141" i="26"/>
  <c r="AO141" i="26"/>
  <c r="A142" i="26"/>
  <c r="X142" i="26"/>
  <c r="Z142" i="26"/>
  <c r="AA142" i="26"/>
  <c r="AB142" i="26"/>
  <c r="AC142" i="26"/>
  <c r="AD142" i="26"/>
  <c r="AE142" i="26"/>
  <c r="AF142" i="26"/>
  <c r="AG142" i="26"/>
  <c r="AH142" i="26"/>
  <c r="AI142" i="26"/>
  <c r="AJ142" i="26"/>
  <c r="AK142" i="26"/>
  <c r="AO142" i="26"/>
  <c r="A143" i="26"/>
  <c r="X143" i="26"/>
  <c r="Z143" i="26"/>
  <c r="AA143" i="26"/>
  <c r="AB143" i="26"/>
  <c r="AC143" i="26"/>
  <c r="AD143" i="26"/>
  <c r="AE143" i="26"/>
  <c r="AF143" i="26"/>
  <c r="AG143" i="26"/>
  <c r="AH143" i="26"/>
  <c r="AI143" i="26"/>
  <c r="AJ143" i="26"/>
  <c r="AK143" i="26"/>
  <c r="AO143" i="26"/>
  <c r="A144" i="26"/>
  <c r="X144" i="26"/>
  <c r="Z144" i="26"/>
  <c r="AA144" i="26"/>
  <c r="AB144" i="26"/>
  <c r="AC144" i="26"/>
  <c r="AD144" i="26"/>
  <c r="AE144" i="26"/>
  <c r="AF144" i="26"/>
  <c r="AG144" i="26"/>
  <c r="AH144" i="26"/>
  <c r="AI144" i="26"/>
  <c r="AJ144" i="26"/>
  <c r="AK144" i="26"/>
  <c r="AO144" i="26"/>
  <c r="A145" i="26"/>
  <c r="X145" i="26"/>
  <c r="Z145" i="26"/>
  <c r="AA145" i="26"/>
  <c r="AB145" i="26"/>
  <c r="AC145" i="26"/>
  <c r="AD145" i="26"/>
  <c r="AE145" i="26"/>
  <c r="AF145" i="26"/>
  <c r="AG145" i="26"/>
  <c r="AH145" i="26"/>
  <c r="AI145" i="26"/>
  <c r="AJ145" i="26"/>
  <c r="AK145" i="26"/>
  <c r="AO145" i="26"/>
  <c r="A146" i="26"/>
  <c r="X146" i="26"/>
  <c r="Z146" i="26"/>
  <c r="AA146" i="26"/>
  <c r="AB146" i="26"/>
  <c r="AC146" i="26"/>
  <c r="AD146" i="26"/>
  <c r="AE146" i="26"/>
  <c r="AF146" i="26"/>
  <c r="AG146" i="26"/>
  <c r="AH146" i="26"/>
  <c r="AI146" i="26"/>
  <c r="AJ146" i="26"/>
  <c r="AK146" i="26"/>
  <c r="AO146" i="26"/>
  <c r="A147" i="26"/>
  <c r="X147" i="26"/>
  <c r="Z147" i="26"/>
  <c r="AA147" i="26"/>
  <c r="AB147" i="26"/>
  <c r="AC147" i="26"/>
  <c r="AD147" i="26"/>
  <c r="AE147" i="26"/>
  <c r="AF147" i="26"/>
  <c r="AG147" i="26"/>
  <c r="AH147" i="26"/>
  <c r="AI147" i="26"/>
  <c r="AJ147" i="26"/>
  <c r="AK147" i="26"/>
  <c r="AO147" i="26"/>
  <c r="A148" i="26"/>
  <c r="X148" i="26"/>
  <c r="Z148" i="26"/>
  <c r="AA148" i="26"/>
  <c r="AB148" i="26"/>
  <c r="AC148" i="26"/>
  <c r="AD148" i="26"/>
  <c r="AE148" i="26"/>
  <c r="AF148" i="26"/>
  <c r="AG148" i="26"/>
  <c r="AH148" i="26"/>
  <c r="AI148" i="26"/>
  <c r="AJ148" i="26"/>
  <c r="AK148" i="26"/>
  <c r="AO148" i="26"/>
  <c r="A149" i="26"/>
  <c r="X149" i="26"/>
  <c r="Z149" i="26"/>
  <c r="AA149" i="26"/>
  <c r="AB149" i="26"/>
  <c r="AC149" i="26"/>
  <c r="AD149" i="26"/>
  <c r="AE149" i="26"/>
  <c r="AF149" i="26"/>
  <c r="AG149" i="26"/>
  <c r="AH149" i="26"/>
  <c r="AI149" i="26"/>
  <c r="AJ149" i="26"/>
  <c r="AK149" i="26"/>
  <c r="AL149" i="26"/>
  <c r="AM149" i="26" s="1"/>
  <c r="AO149" i="26"/>
  <c r="A150" i="26"/>
  <c r="X150" i="26"/>
  <c r="Z150" i="26"/>
  <c r="AA150" i="26"/>
  <c r="AB150" i="26"/>
  <c r="AC150" i="26"/>
  <c r="AD150" i="26"/>
  <c r="AE150" i="26"/>
  <c r="AF150" i="26"/>
  <c r="AG150" i="26"/>
  <c r="AH150" i="26"/>
  <c r="AI150" i="26"/>
  <c r="AJ150" i="26"/>
  <c r="AK150" i="26"/>
  <c r="AN150" i="26"/>
  <c r="AO150" i="26"/>
  <c r="A151" i="26"/>
  <c r="X151" i="26"/>
  <c r="Z151" i="26"/>
  <c r="AA151" i="26"/>
  <c r="AB151" i="26"/>
  <c r="AC151" i="26"/>
  <c r="AD151" i="26"/>
  <c r="AE151" i="26"/>
  <c r="AF151" i="26"/>
  <c r="AG151" i="26"/>
  <c r="AH151" i="26"/>
  <c r="AI151" i="26"/>
  <c r="AJ151" i="26"/>
  <c r="AK151" i="26"/>
  <c r="AN151" i="26"/>
  <c r="AO151" i="26"/>
  <c r="A152" i="26"/>
  <c r="X152" i="26"/>
  <c r="Z152" i="26"/>
  <c r="AA152" i="26"/>
  <c r="AB152" i="26"/>
  <c r="AC152" i="26"/>
  <c r="AD152" i="26"/>
  <c r="AE152" i="26"/>
  <c r="AF152" i="26"/>
  <c r="AG152" i="26"/>
  <c r="AH152" i="26"/>
  <c r="AI152" i="26"/>
  <c r="AJ152" i="26"/>
  <c r="AK152" i="26"/>
  <c r="AO152" i="26"/>
  <c r="A153" i="26"/>
  <c r="X153" i="26"/>
  <c r="Z153" i="26"/>
  <c r="AA153" i="26"/>
  <c r="AB153" i="26"/>
  <c r="AC153" i="26"/>
  <c r="AD153" i="26"/>
  <c r="AE153" i="26"/>
  <c r="AF153" i="26"/>
  <c r="AG153" i="26"/>
  <c r="AH153" i="26"/>
  <c r="AI153" i="26"/>
  <c r="AJ153" i="26"/>
  <c r="AK153" i="26"/>
  <c r="AO153" i="26"/>
  <c r="A154" i="26"/>
  <c r="X154" i="26"/>
  <c r="Z154" i="26"/>
  <c r="AA154" i="26"/>
  <c r="AB154" i="26"/>
  <c r="AC154" i="26"/>
  <c r="AD154" i="26"/>
  <c r="AE154" i="26"/>
  <c r="AF154" i="26"/>
  <c r="AG154" i="26"/>
  <c r="AH154" i="26"/>
  <c r="AI154" i="26"/>
  <c r="AJ154" i="26"/>
  <c r="AK154" i="26"/>
  <c r="AO154" i="26"/>
  <c r="A155" i="26"/>
  <c r="X155" i="26"/>
  <c r="Z155" i="26"/>
  <c r="AA155" i="26"/>
  <c r="AB155" i="26"/>
  <c r="AC155" i="26"/>
  <c r="AD155" i="26"/>
  <c r="AE155" i="26"/>
  <c r="AF155" i="26"/>
  <c r="AG155" i="26"/>
  <c r="AH155" i="26"/>
  <c r="AI155" i="26"/>
  <c r="AJ155" i="26"/>
  <c r="AK155" i="26"/>
  <c r="AO155" i="26"/>
  <c r="A156" i="26"/>
  <c r="X156" i="26"/>
  <c r="Z156" i="26"/>
  <c r="AA156" i="26"/>
  <c r="AB156" i="26"/>
  <c r="AC156" i="26"/>
  <c r="AD156" i="26"/>
  <c r="AE156" i="26"/>
  <c r="AF156" i="26"/>
  <c r="AN156" i="26" s="1"/>
  <c r="AG156" i="26"/>
  <c r="AH156" i="26"/>
  <c r="AI156" i="26"/>
  <c r="AJ156" i="26"/>
  <c r="AK156" i="26"/>
  <c r="AO156" i="26"/>
  <c r="A157" i="26"/>
  <c r="X157" i="26"/>
  <c r="Z157" i="26"/>
  <c r="AA157" i="26"/>
  <c r="AB157" i="26"/>
  <c r="AC157" i="26"/>
  <c r="AD157" i="26"/>
  <c r="AE157" i="26"/>
  <c r="AF157" i="26"/>
  <c r="AN157" i="26" s="1"/>
  <c r="AG157" i="26"/>
  <c r="AH157" i="26"/>
  <c r="AI157" i="26"/>
  <c r="AJ157" i="26"/>
  <c r="AK157" i="26"/>
  <c r="AO157" i="26"/>
  <c r="A158" i="26"/>
  <c r="X158" i="26"/>
  <c r="Z158" i="26"/>
  <c r="AL158" i="26" s="1"/>
  <c r="AA158" i="26"/>
  <c r="AB158" i="26"/>
  <c r="AC158" i="26"/>
  <c r="AD158" i="26"/>
  <c r="AE158" i="26"/>
  <c r="AF158" i="26"/>
  <c r="AG158" i="26"/>
  <c r="AH158" i="26"/>
  <c r="AI158" i="26"/>
  <c r="AJ158" i="26"/>
  <c r="AK158" i="26"/>
  <c r="AO158" i="26"/>
  <c r="A159" i="26"/>
  <c r="X159" i="26"/>
  <c r="Z159" i="26"/>
  <c r="AA159" i="26"/>
  <c r="AB159" i="26"/>
  <c r="AC159" i="26"/>
  <c r="AD159" i="26"/>
  <c r="AE159" i="26"/>
  <c r="AF159" i="26"/>
  <c r="AG159" i="26"/>
  <c r="AH159" i="26"/>
  <c r="AI159" i="26"/>
  <c r="AJ159" i="26"/>
  <c r="AK159" i="26"/>
  <c r="AO159" i="26"/>
  <c r="A160" i="26"/>
  <c r="X160" i="26"/>
  <c r="Z160" i="26"/>
  <c r="AA160" i="26"/>
  <c r="AB160" i="26"/>
  <c r="AC160" i="26"/>
  <c r="AD160" i="26"/>
  <c r="AE160" i="26"/>
  <c r="AF160" i="26"/>
  <c r="AG160" i="26"/>
  <c r="AH160" i="26"/>
  <c r="AI160" i="26"/>
  <c r="AJ160" i="26"/>
  <c r="AK160" i="26"/>
  <c r="AO160" i="26"/>
  <c r="A161" i="26"/>
  <c r="X161" i="26"/>
  <c r="Z161" i="26"/>
  <c r="AA161" i="26"/>
  <c r="AB161" i="26"/>
  <c r="AC161" i="26"/>
  <c r="AD161" i="26"/>
  <c r="AE161" i="26"/>
  <c r="AF161" i="26"/>
  <c r="AG161" i="26"/>
  <c r="AH161" i="26"/>
  <c r="AI161" i="26"/>
  <c r="AJ161" i="26"/>
  <c r="AK161" i="26"/>
  <c r="AO161" i="26"/>
  <c r="A162" i="26"/>
  <c r="X162" i="26"/>
  <c r="Z162" i="26"/>
  <c r="AA162" i="26"/>
  <c r="AB162" i="26"/>
  <c r="AC162" i="26"/>
  <c r="AD162" i="26"/>
  <c r="AE162" i="26"/>
  <c r="AF162" i="26"/>
  <c r="AG162" i="26"/>
  <c r="AH162" i="26"/>
  <c r="AI162" i="26"/>
  <c r="AJ162" i="26"/>
  <c r="AK162" i="26"/>
  <c r="AO162" i="26"/>
  <c r="A163" i="26"/>
  <c r="X163" i="26"/>
  <c r="Z163" i="26"/>
  <c r="AA163" i="26"/>
  <c r="AB163" i="26"/>
  <c r="AC163" i="26"/>
  <c r="AD163" i="26"/>
  <c r="AE163" i="26"/>
  <c r="AF163" i="26"/>
  <c r="AG163" i="26"/>
  <c r="AH163" i="26"/>
  <c r="AI163" i="26"/>
  <c r="AJ163" i="26"/>
  <c r="AK163" i="26"/>
  <c r="AO163" i="26"/>
  <c r="A164" i="26"/>
  <c r="X164" i="26"/>
  <c r="Z164" i="26"/>
  <c r="AA164" i="26"/>
  <c r="AB164" i="26"/>
  <c r="AC164" i="26"/>
  <c r="AD164" i="26"/>
  <c r="AE164" i="26"/>
  <c r="AF164" i="26"/>
  <c r="AG164" i="26"/>
  <c r="AH164" i="26"/>
  <c r="AI164" i="26"/>
  <c r="AJ164" i="26"/>
  <c r="AK164" i="26"/>
  <c r="AO164" i="26"/>
  <c r="A165" i="26"/>
  <c r="X165" i="26"/>
  <c r="Z165" i="26"/>
  <c r="AA165" i="26"/>
  <c r="AB165" i="26"/>
  <c r="AC165" i="26"/>
  <c r="AL165" i="26" s="1"/>
  <c r="AD165" i="26"/>
  <c r="AE165" i="26"/>
  <c r="AF165" i="26"/>
  <c r="AN165" i="26" s="1"/>
  <c r="AG165" i="26"/>
  <c r="AH165" i="26"/>
  <c r="AI165" i="26"/>
  <c r="AJ165" i="26"/>
  <c r="AK165" i="26"/>
  <c r="AO165" i="26"/>
  <c r="A166" i="26"/>
  <c r="X166" i="26"/>
  <c r="Z166" i="26"/>
  <c r="AA166" i="26"/>
  <c r="AB166" i="26"/>
  <c r="AC166" i="26"/>
  <c r="AD166" i="26"/>
  <c r="AE166" i="26"/>
  <c r="AF166" i="26"/>
  <c r="AG166" i="26"/>
  <c r="AH166" i="26"/>
  <c r="AI166" i="26"/>
  <c r="AJ166" i="26"/>
  <c r="AK166" i="26"/>
  <c r="AO166" i="26"/>
  <c r="A167" i="26"/>
  <c r="X167" i="26"/>
  <c r="Z167" i="26"/>
  <c r="AA167" i="26"/>
  <c r="AB167" i="26"/>
  <c r="AC167" i="26"/>
  <c r="AD167" i="26"/>
  <c r="AE167" i="26"/>
  <c r="AF167" i="26"/>
  <c r="AG167" i="26"/>
  <c r="AH167" i="26"/>
  <c r="AI167" i="26"/>
  <c r="AJ167" i="26"/>
  <c r="AK167" i="26"/>
  <c r="AO167" i="26"/>
  <c r="A168" i="26"/>
  <c r="X168" i="26"/>
  <c r="Z168" i="26"/>
  <c r="AA168" i="26"/>
  <c r="AB168" i="26"/>
  <c r="AC168" i="26"/>
  <c r="AD168" i="26"/>
  <c r="AE168" i="26"/>
  <c r="AF168" i="26"/>
  <c r="AG168" i="26"/>
  <c r="AH168" i="26"/>
  <c r="AI168" i="26"/>
  <c r="AJ168" i="26"/>
  <c r="AK168" i="26"/>
  <c r="AO168" i="26"/>
  <c r="A169" i="26"/>
  <c r="X169" i="26"/>
  <c r="Z169" i="26"/>
  <c r="AA169" i="26"/>
  <c r="AB169" i="26"/>
  <c r="AC169" i="26"/>
  <c r="AD169" i="26"/>
  <c r="AE169" i="26"/>
  <c r="AF169" i="26"/>
  <c r="AG169" i="26"/>
  <c r="AH169" i="26"/>
  <c r="AI169" i="26"/>
  <c r="AJ169" i="26"/>
  <c r="AK169" i="26"/>
  <c r="AO169" i="26"/>
  <c r="A170" i="26"/>
  <c r="X170" i="26"/>
  <c r="Z170" i="26"/>
  <c r="AA170" i="26"/>
  <c r="AB170" i="26"/>
  <c r="AC170" i="26"/>
  <c r="AD170" i="26"/>
  <c r="AE170" i="26"/>
  <c r="AF170" i="26"/>
  <c r="AG170" i="26"/>
  <c r="AH170" i="26"/>
  <c r="AI170" i="26"/>
  <c r="AJ170" i="26"/>
  <c r="AK170" i="26"/>
  <c r="AO170" i="26"/>
  <c r="A171" i="26"/>
  <c r="X171" i="26"/>
  <c r="Z171" i="26"/>
  <c r="AA171" i="26"/>
  <c r="AB171" i="26"/>
  <c r="AC171" i="26"/>
  <c r="AD171" i="26"/>
  <c r="AE171" i="26"/>
  <c r="AF171" i="26"/>
  <c r="AG171" i="26"/>
  <c r="AH171" i="26"/>
  <c r="AI171" i="26"/>
  <c r="AJ171" i="26"/>
  <c r="AK171" i="26"/>
  <c r="AO171" i="26"/>
  <c r="A172" i="26"/>
  <c r="X172" i="26"/>
  <c r="Z172" i="26"/>
  <c r="AA172" i="26"/>
  <c r="AB172" i="26"/>
  <c r="AC172" i="26"/>
  <c r="AD172" i="26"/>
  <c r="AE172" i="26"/>
  <c r="AF172" i="26"/>
  <c r="AN172" i="26" s="1"/>
  <c r="AG172" i="26"/>
  <c r="AH172" i="26"/>
  <c r="AI172" i="26"/>
  <c r="AJ172" i="26"/>
  <c r="AK172" i="26"/>
  <c r="AO172" i="26"/>
  <c r="A173" i="26"/>
  <c r="X173" i="26"/>
  <c r="Z173" i="26"/>
  <c r="AA173" i="26"/>
  <c r="AB173" i="26"/>
  <c r="AC173" i="26"/>
  <c r="AD173" i="26"/>
  <c r="AE173" i="26"/>
  <c r="AF173" i="26"/>
  <c r="AN173" i="26" s="1"/>
  <c r="AG173" i="26"/>
  <c r="AH173" i="26"/>
  <c r="AI173" i="26"/>
  <c r="AJ173" i="26"/>
  <c r="AK173" i="26"/>
  <c r="AO173" i="26"/>
  <c r="A174" i="26"/>
  <c r="X174" i="26"/>
  <c r="Z174" i="26"/>
  <c r="AL174" i="26" s="1"/>
  <c r="AA174" i="26"/>
  <c r="AB174" i="26"/>
  <c r="AC174" i="26"/>
  <c r="AD174" i="26"/>
  <c r="AE174" i="26"/>
  <c r="AF174" i="26"/>
  <c r="AG174" i="26"/>
  <c r="AH174" i="26"/>
  <c r="AI174" i="26"/>
  <c r="AJ174" i="26"/>
  <c r="AK174" i="26"/>
  <c r="AO174" i="26"/>
  <c r="A175" i="26"/>
  <c r="X175" i="26"/>
  <c r="Z175" i="26"/>
  <c r="AA175" i="26"/>
  <c r="AB175" i="26"/>
  <c r="AC175" i="26"/>
  <c r="AD175" i="26"/>
  <c r="AE175" i="26"/>
  <c r="AF175" i="26"/>
  <c r="AG175" i="26"/>
  <c r="AH175" i="26"/>
  <c r="AI175" i="26"/>
  <c r="AJ175" i="26"/>
  <c r="AK175" i="26"/>
  <c r="AO175" i="26"/>
  <c r="A176" i="26"/>
  <c r="X176" i="26"/>
  <c r="Z176" i="26"/>
  <c r="AA176" i="26"/>
  <c r="AB176" i="26"/>
  <c r="AC176" i="26"/>
  <c r="AD176" i="26"/>
  <c r="AE176" i="26"/>
  <c r="AF176" i="26"/>
  <c r="AG176" i="26"/>
  <c r="AH176" i="26"/>
  <c r="AI176" i="26"/>
  <c r="AJ176" i="26"/>
  <c r="AK176" i="26"/>
  <c r="AO176" i="26"/>
  <c r="A177" i="26"/>
  <c r="X177" i="26"/>
  <c r="Z177" i="26"/>
  <c r="AA177" i="26"/>
  <c r="AB177" i="26"/>
  <c r="AC177" i="26"/>
  <c r="AD177" i="26"/>
  <c r="AE177" i="26"/>
  <c r="AF177" i="26"/>
  <c r="AG177" i="26"/>
  <c r="AH177" i="26"/>
  <c r="AI177" i="26"/>
  <c r="AJ177" i="26"/>
  <c r="AK177" i="26"/>
  <c r="AO177" i="26"/>
  <c r="A178" i="26"/>
  <c r="X178" i="26"/>
  <c r="Z178" i="26"/>
  <c r="AA178" i="26"/>
  <c r="AB178" i="26"/>
  <c r="AC178" i="26"/>
  <c r="AD178" i="26"/>
  <c r="AE178" i="26"/>
  <c r="AF178" i="26"/>
  <c r="AG178" i="26"/>
  <c r="AH178" i="26"/>
  <c r="AI178" i="26"/>
  <c r="AJ178" i="26"/>
  <c r="AK178" i="26"/>
  <c r="AO178" i="26"/>
  <c r="A179" i="26"/>
  <c r="X179" i="26"/>
  <c r="Z179" i="26"/>
  <c r="AA179" i="26"/>
  <c r="AB179" i="26"/>
  <c r="AC179" i="26"/>
  <c r="AD179" i="26"/>
  <c r="AE179" i="26"/>
  <c r="AF179" i="26"/>
  <c r="AG179" i="26"/>
  <c r="AH179" i="26"/>
  <c r="AI179" i="26"/>
  <c r="AJ179" i="26"/>
  <c r="AK179" i="26"/>
  <c r="AO179" i="26"/>
  <c r="A180" i="26"/>
  <c r="X180" i="26"/>
  <c r="Z180" i="26"/>
  <c r="AA180" i="26"/>
  <c r="AB180" i="26"/>
  <c r="AC180" i="26"/>
  <c r="AD180" i="26"/>
  <c r="AE180" i="26"/>
  <c r="AF180" i="26"/>
  <c r="AG180" i="26"/>
  <c r="AH180" i="26"/>
  <c r="AI180" i="26"/>
  <c r="AJ180" i="26"/>
  <c r="AK180" i="26"/>
  <c r="AO180" i="26"/>
  <c r="A181" i="26"/>
  <c r="X181" i="26"/>
  <c r="Z181" i="26"/>
  <c r="AA181" i="26"/>
  <c r="AL181" i="26" s="1"/>
  <c r="AB181" i="26"/>
  <c r="AC181" i="26"/>
  <c r="AD181" i="26"/>
  <c r="AE181" i="26"/>
  <c r="AF181" i="26"/>
  <c r="AN181" i="26" s="1"/>
  <c r="AG181" i="26"/>
  <c r="AH181" i="26"/>
  <c r="AI181" i="26"/>
  <c r="AJ181" i="26"/>
  <c r="AK181" i="26"/>
  <c r="AO181" i="26"/>
  <c r="A182" i="26"/>
  <c r="X182" i="26"/>
  <c r="Z182" i="26"/>
  <c r="AA182" i="26"/>
  <c r="AB182" i="26"/>
  <c r="AC182" i="26"/>
  <c r="AD182" i="26"/>
  <c r="AE182" i="26"/>
  <c r="AF182" i="26"/>
  <c r="AG182" i="26"/>
  <c r="AH182" i="26"/>
  <c r="AI182" i="26"/>
  <c r="AJ182" i="26"/>
  <c r="AK182" i="26"/>
  <c r="AO182" i="26"/>
  <c r="A183" i="26"/>
  <c r="X183" i="26"/>
  <c r="Z183" i="26"/>
  <c r="AA183" i="26"/>
  <c r="AB183" i="26"/>
  <c r="AC183" i="26"/>
  <c r="AD183" i="26"/>
  <c r="AE183" i="26"/>
  <c r="AF183" i="26"/>
  <c r="AG183" i="26"/>
  <c r="AH183" i="26"/>
  <c r="AI183" i="26"/>
  <c r="AJ183" i="26"/>
  <c r="AK183" i="26"/>
  <c r="AO183" i="26"/>
  <c r="A184" i="26"/>
  <c r="X184" i="26"/>
  <c r="Z184" i="26"/>
  <c r="AA184" i="26"/>
  <c r="AB184" i="26"/>
  <c r="AC184" i="26"/>
  <c r="AD184" i="26"/>
  <c r="AE184" i="26"/>
  <c r="AF184" i="26"/>
  <c r="AG184" i="26"/>
  <c r="AH184" i="26"/>
  <c r="AI184" i="26"/>
  <c r="AJ184" i="26"/>
  <c r="AK184" i="26"/>
  <c r="AO184" i="26"/>
  <c r="A185" i="26"/>
  <c r="X185" i="26"/>
  <c r="Z185" i="26"/>
  <c r="AA185" i="26"/>
  <c r="AB185" i="26"/>
  <c r="AC185" i="26"/>
  <c r="AD185" i="26"/>
  <c r="AE185" i="26"/>
  <c r="AF185" i="26"/>
  <c r="AG185" i="26"/>
  <c r="AH185" i="26"/>
  <c r="AI185" i="26"/>
  <c r="AJ185" i="26"/>
  <c r="AK185" i="26"/>
  <c r="AO185" i="26"/>
  <c r="A186" i="26"/>
  <c r="X186" i="26"/>
  <c r="Z186" i="26"/>
  <c r="AA186" i="26"/>
  <c r="AB186" i="26"/>
  <c r="AC186" i="26"/>
  <c r="AD186" i="26"/>
  <c r="AE186" i="26"/>
  <c r="AF186" i="26"/>
  <c r="AG186" i="26"/>
  <c r="AH186" i="26"/>
  <c r="AI186" i="26"/>
  <c r="AJ186" i="26"/>
  <c r="AK186" i="26"/>
  <c r="AO186" i="26"/>
  <c r="A187" i="26"/>
  <c r="X187" i="26"/>
  <c r="Z187" i="26"/>
  <c r="AA187" i="26"/>
  <c r="AB187" i="26"/>
  <c r="AC187" i="26"/>
  <c r="AD187" i="26"/>
  <c r="AE187" i="26"/>
  <c r="AF187" i="26"/>
  <c r="AG187" i="26"/>
  <c r="AH187" i="26"/>
  <c r="AI187" i="26"/>
  <c r="AJ187" i="26"/>
  <c r="AK187" i="26"/>
  <c r="AO187" i="26"/>
  <c r="A188" i="26"/>
  <c r="X188" i="26"/>
  <c r="Z188" i="26"/>
  <c r="AA188" i="26"/>
  <c r="AB188" i="26"/>
  <c r="AC188" i="26"/>
  <c r="AD188" i="26"/>
  <c r="AE188" i="26"/>
  <c r="AF188" i="26"/>
  <c r="AN188" i="26" s="1"/>
  <c r="AG188" i="26"/>
  <c r="AH188" i="26"/>
  <c r="AI188" i="26"/>
  <c r="AJ188" i="26"/>
  <c r="AK188" i="26"/>
  <c r="AO188" i="26"/>
  <c r="A189" i="26"/>
  <c r="X189" i="26"/>
  <c r="Z189" i="26"/>
  <c r="AA189" i="26"/>
  <c r="AB189" i="26"/>
  <c r="AC189" i="26"/>
  <c r="AD189" i="26"/>
  <c r="AE189" i="26"/>
  <c r="AF189" i="26"/>
  <c r="AN189" i="26" s="1"/>
  <c r="AG189" i="26"/>
  <c r="AH189" i="26"/>
  <c r="AI189" i="26"/>
  <c r="AJ189" i="26"/>
  <c r="AK189" i="26"/>
  <c r="AO189" i="26"/>
  <c r="A190" i="26"/>
  <c r="X190" i="26"/>
  <c r="Z190" i="26"/>
  <c r="AA190" i="26"/>
  <c r="AB190" i="26"/>
  <c r="AC190" i="26"/>
  <c r="AL190" i="26" s="1"/>
  <c r="AD190" i="26"/>
  <c r="AE190" i="26"/>
  <c r="AF190" i="26"/>
  <c r="AG190" i="26"/>
  <c r="AH190" i="26"/>
  <c r="AI190" i="26"/>
  <c r="AJ190" i="26"/>
  <c r="AK190" i="26"/>
  <c r="AO190" i="26"/>
  <c r="A191" i="26"/>
  <c r="X191" i="26"/>
  <c r="Z191" i="26"/>
  <c r="AA191" i="26"/>
  <c r="AB191" i="26"/>
  <c r="AC191" i="26"/>
  <c r="AD191" i="26"/>
  <c r="AE191" i="26"/>
  <c r="AF191" i="26"/>
  <c r="AG191" i="26"/>
  <c r="AH191" i="26"/>
  <c r="AI191" i="26"/>
  <c r="AJ191" i="26"/>
  <c r="AK191" i="26"/>
  <c r="AO191" i="26"/>
  <c r="A192" i="26"/>
  <c r="X192" i="26"/>
  <c r="Z192" i="26"/>
  <c r="AA192" i="26"/>
  <c r="AB192" i="26"/>
  <c r="AC192" i="26"/>
  <c r="AD192" i="26"/>
  <c r="AE192" i="26"/>
  <c r="AF192" i="26"/>
  <c r="AG192" i="26"/>
  <c r="AH192" i="26"/>
  <c r="AI192" i="26"/>
  <c r="AJ192" i="26"/>
  <c r="AK192" i="26"/>
  <c r="AO192" i="26"/>
  <c r="A193" i="26"/>
  <c r="X193" i="26"/>
  <c r="Z193" i="26"/>
  <c r="AA193" i="26"/>
  <c r="AB193" i="26"/>
  <c r="AC193" i="26"/>
  <c r="AD193" i="26"/>
  <c r="AE193" i="26"/>
  <c r="AF193" i="26"/>
  <c r="AG193" i="26"/>
  <c r="AH193" i="26"/>
  <c r="AI193" i="26"/>
  <c r="AJ193" i="26"/>
  <c r="AK193" i="26"/>
  <c r="AO193" i="26"/>
  <c r="A194" i="26"/>
  <c r="X194" i="26"/>
  <c r="Z194" i="26"/>
  <c r="AA194" i="26"/>
  <c r="AB194" i="26"/>
  <c r="AC194" i="26"/>
  <c r="AD194" i="26"/>
  <c r="AE194" i="26"/>
  <c r="AF194" i="26"/>
  <c r="AG194" i="26"/>
  <c r="AH194" i="26"/>
  <c r="AI194" i="26"/>
  <c r="AJ194" i="26"/>
  <c r="AK194" i="26"/>
  <c r="AO194" i="26"/>
  <c r="A195" i="26"/>
  <c r="X195" i="26"/>
  <c r="Z195" i="26"/>
  <c r="AA195" i="26"/>
  <c r="AB195" i="26"/>
  <c r="AC195" i="26"/>
  <c r="AD195" i="26"/>
  <c r="AE195" i="26"/>
  <c r="AF195" i="26"/>
  <c r="AG195" i="26"/>
  <c r="AH195" i="26"/>
  <c r="AI195" i="26"/>
  <c r="AJ195" i="26"/>
  <c r="AK195" i="26"/>
  <c r="AO195" i="26"/>
  <c r="A196" i="26"/>
  <c r="X196" i="26"/>
  <c r="Z196" i="26"/>
  <c r="AA196" i="26"/>
  <c r="AB196" i="26"/>
  <c r="AC196" i="26"/>
  <c r="AD196" i="26"/>
  <c r="AE196" i="26"/>
  <c r="AF196" i="26"/>
  <c r="AN196" i="26" s="1"/>
  <c r="AG196" i="26"/>
  <c r="AH196" i="26"/>
  <c r="AI196" i="26"/>
  <c r="AJ196" i="26"/>
  <c r="AK196" i="26"/>
  <c r="AO196" i="26"/>
  <c r="A197" i="26"/>
  <c r="X197" i="26"/>
  <c r="Z197" i="26"/>
  <c r="AL197" i="26" s="1"/>
  <c r="AA197" i="26"/>
  <c r="AB197" i="26"/>
  <c r="AC197" i="26"/>
  <c r="AD197" i="26"/>
  <c r="AE197" i="26"/>
  <c r="AF197" i="26"/>
  <c r="AN197" i="26" s="1"/>
  <c r="AG197" i="26"/>
  <c r="AH197" i="26"/>
  <c r="AI197" i="26"/>
  <c r="AJ197" i="26"/>
  <c r="AK197" i="26"/>
  <c r="AO197" i="26"/>
  <c r="A198" i="26"/>
  <c r="X198" i="26"/>
  <c r="Z198" i="26"/>
  <c r="AA198" i="26"/>
  <c r="AB198" i="26"/>
  <c r="AC198" i="26"/>
  <c r="AD198" i="26"/>
  <c r="AE198" i="26"/>
  <c r="AF198" i="26"/>
  <c r="AG198" i="26"/>
  <c r="AH198" i="26"/>
  <c r="AI198" i="26"/>
  <c r="AJ198" i="26"/>
  <c r="AK198" i="26"/>
  <c r="AO198" i="26"/>
  <c r="A199" i="26"/>
  <c r="X199" i="26"/>
  <c r="Z199" i="26"/>
  <c r="AA199" i="26"/>
  <c r="AB199" i="26"/>
  <c r="AC199" i="26"/>
  <c r="AD199" i="26"/>
  <c r="AE199" i="26"/>
  <c r="AF199" i="26"/>
  <c r="AG199" i="26"/>
  <c r="AH199" i="26"/>
  <c r="AI199" i="26"/>
  <c r="AJ199" i="26"/>
  <c r="AK199" i="26"/>
  <c r="AO199" i="26"/>
  <c r="A200" i="26"/>
  <c r="X200" i="26"/>
  <c r="Z200" i="26"/>
  <c r="AA200" i="26"/>
  <c r="AB200" i="26"/>
  <c r="AC200" i="26"/>
  <c r="AD200" i="26"/>
  <c r="AE200" i="26"/>
  <c r="AF200" i="26"/>
  <c r="AG200" i="26"/>
  <c r="AH200" i="26"/>
  <c r="AI200" i="26"/>
  <c r="AN200" i="26" s="1"/>
  <c r="AJ200" i="26"/>
  <c r="AK200" i="26"/>
  <c r="AO200" i="26"/>
  <c r="A201" i="26"/>
  <c r="X201" i="26"/>
  <c r="Z201" i="26"/>
  <c r="AA201" i="26"/>
  <c r="AB201" i="26"/>
  <c r="AC201" i="26"/>
  <c r="AD201" i="26"/>
  <c r="AE201" i="26"/>
  <c r="AF201" i="26"/>
  <c r="AG201" i="26"/>
  <c r="AH201" i="26"/>
  <c r="AI201" i="26"/>
  <c r="AJ201" i="26"/>
  <c r="AK201" i="26"/>
  <c r="AO201" i="26"/>
  <c r="A202" i="26"/>
  <c r="X202" i="26"/>
  <c r="Z202" i="26"/>
  <c r="AA202" i="26"/>
  <c r="AB202" i="26"/>
  <c r="AC202" i="26"/>
  <c r="AD202" i="26"/>
  <c r="AE202" i="26"/>
  <c r="AF202" i="26"/>
  <c r="AG202" i="26"/>
  <c r="AH202" i="26"/>
  <c r="AI202" i="26"/>
  <c r="AJ202" i="26"/>
  <c r="AK202" i="26"/>
  <c r="AO202" i="26"/>
  <c r="A203" i="26"/>
  <c r="X203" i="26"/>
  <c r="Z203" i="26"/>
  <c r="AA203" i="26"/>
  <c r="AB203" i="26"/>
  <c r="AC203" i="26"/>
  <c r="AD203" i="26"/>
  <c r="AE203" i="26"/>
  <c r="AF203" i="26"/>
  <c r="AG203" i="26"/>
  <c r="AH203" i="26"/>
  <c r="AI203" i="26"/>
  <c r="AJ203" i="26"/>
  <c r="AK203" i="26"/>
  <c r="AO203" i="26"/>
  <c r="A204" i="26"/>
  <c r="X204" i="26"/>
  <c r="Z204" i="26"/>
  <c r="AA204" i="26"/>
  <c r="AB204" i="26"/>
  <c r="AC204" i="26"/>
  <c r="AD204" i="26"/>
  <c r="AE204" i="26"/>
  <c r="AF204" i="26"/>
  <c r="AG204" i="26"/>
  <c r="AH204" i="26"/>
  <c r="AI204" i="26"/>
  <c r="AJ204" i="26"/>
  <c r="AK204" i="26"/>
  <c r="AO204" i="26"/>
  <c r="K206" i="26"/>
  <c r="L206" i="26"/>
  <c r="L217" i="26" s="1"/>
  <c r="M206" i="26"/>
  <c r="N206" i="26"/>
  <c r="O206" i="26"/>
  <c r="O217" i="26" s="1"/>
  <c r="P206" i="26"/>
  <c r="Q206" i="26"/>
  <c r="Q217" i="26" s="1"/>
  <c r="R206" i="26"/>
  <c r="S206" i="26"/>
  <c r="T206" i="26"/>
  <c r="T217" i="26" s="1"/>
  <c r="U206" i="26"/>
  <c r="U217" i="26" s="1"/>
  <c r="V206" i="26"/>
  <c r="V217" i="26" s="1"/>
  <c r="A209" i="26"/>
  <c r="X209" i="26"/>
  <c r="Z209" i="26"/>
  <c r="AA209" i="26"/>
  <c r="AB209" i="26"/>
  <c r="AB212" i="26" s="1"/>
  <c r="AC209" i="26"/>
  <c r="AD209" i="26"/>
  <c r="AE209" i="26"/>
  <c r="AE212" i="26" s="1"/>
  <c r="AF209" i="26"/>
  <c r="AF212" i="26" s="1"/>
  <c r="AG209" i="26"/>
  <c r="AH209" i="26"/>
  <c r="AH212" i="26" s="1"/>
  <c r="AI209" i="26"/>
  <c r="AJ209" i="26"/>
  <c r="AK209" i="26"/>
  <c r="A210" i="26"/>
  <c r="X210" i="26"/>
  <c r="Z210" i="26"/>
  <c r="AA210" i="26"/>
  <c r="AB210" i="26"/>
  <c r="AC210" i="26"/>
  <c r="AD210" i="26"/>
  <c r="AD212" i="26" s="1"/>
  <c r="AE210" i="26"/>
  <c r="AF210" i="26"/>
  <c r="AG210" i="26"/>
  <c r="AH210" i="26"/>
  <c r="AI210" i="26"/>
  <c r="AJ210" i="26"/>
  <c r="AK210" i="26"/>
  <c r="AK212" i="26" s="1"/>
  <c r="K212" i="26"/>
  <c r="L212" i="26"/>
  <c r="M212" i="26"/>
  <c r="N212" i="26"/>
  <c r="O212" i="26"/>
  <c r="P212" i="26"/>
  <c r="Q212" i="26"/>
  <c r="R212" i="26"/>
  <c r="S212" i="26"/>
  <c r="S217" i="26" s="1"/>
  <c r="T212" i="26"/>
  <c r="U212" i="26"/>
  <c r="V212" i="26"/>
  <c r="AC212" i="26"/>
  <c r="AJ212" i="26"/>
  <c r="Z214" i="26"/>
  <c r="AA214" i="26"/>
  <c r="AB214" i="26"/>
  <c r="AC214" i="26"/>
  <c r="AD214" i="26"/>
  <c r="AE214" i="26"/>
  <c r="AF214" i="26"/>
  <c r="AG214" i="26"/>
  <c r="AH214" i="26"/>
  <c r="AI214" i="26"/>
  <c r="AJ214" i="26"/>
  <c r="AK214" i="26"/>
  <c r="M217" i="26"/>
  <c r="A223" i="26"/>
  <c r="X223" i="26"/>
  <c r="Z223" i="26"/>
  <c r="AA223" i="26"/>
  <c r="AB223" i="26"/>
  <c r="AC223" i="26"/>
  <c r="AD223" i="26"/>
  <c r="AE223" i="26"/>
  <c r="AF223" i="26"/>
  <c r="AG223" i="26"/>
  <c r="AH223" i="26"/>
  <c r="AI223" i="26"/>
  <c r="AJ223" i="26"/>
  <c r="AK223" i="26"/>
  <c r="A224" i="26"/>
  <c r="X224" i="26"/>
  <c r="Z224" i="26"/>
  <c r="AA224" i="26"/>
  <c r="AB224" i="26"/>
  <c r="AC224" i="26"/>
  <c r="AD224" i="26"/>
  <c r="AE224" i="26"/>
  <c r="AF224" i="26"/>
  <c r="AG224" i="26"/>
  <c r="AH224" i="26"/>
  <c r="AI224" i="26"/>
  <c r="AJ224" i="26"/>
  <c r="AK224" i="26"/>
  <c r="A225" i="26"/>
  <c r="X225" i="26"/>
  <c r="Z225" i="26"/>
  <c r="AA225" i="26"/>
  <c r="AB225" i="26"/>
  <c r="AC225" i="26"/>
  <c r="AD225" i="26"/>
  <c r="AE225" i="26"/>
  <c r="AF225" i="26"/>
  <c r="AG225" i="26"/>
  <c r="AH225" i="26"/>
  <c r="AI225" i="26"/>
  <c r="AJ225" i="26"/>
  <c r="AK225" i="26"/>
  <c r="A226" i="26"/>
  <c r="X226" i="26"/>
  <c r="Z226" i="26"/>
  <c r="AA226" i="26"/>
  <c r="AB226" i="26"/>
  <c r="AC226" i="26"/>
  <c r="AD226" i="26"/>
  <c r="AE226" i="26"/>
  <c r="AF226" i="26"/>
  <c r="AG226" i="26"/>
  <c r="AH226" i="26"/>
  <c r="AI226" i="26"/>
  <c r="AJ226" i="26"/>
  <c r="AK226" i="26"/>
  <c r="A227" i="26"/>
  <c r="X227" i="26"/>
  <c r="Z227" i="26"/>
  <c r="AA227" i="26"/>
  <c r="AB227" i="26"/>
  <c r="AC227" i="26"/>
  <c r="AD227" i="26"/>
  <c r="AE227" i="26"/>
  <c r="AF227" i="26"/>
  <c r="AG227" i="26"/>
  <c r="AH227" i="26"/>
  <c r="AI227" i="26"/>
  <c r="AJ227" i="26"/>
  <c r="AK227" i="26"/>
  <c r="A228" i="26"/>
  <c r="X228" i="26"/>
  <c r="Z228" i="26"/>
  <c r="AA228" i="26"/>
  <c r="AB228" i="26"/>
  <c r="AC228" i="26"/>
  <c r="AD228" i="26"/>
  <c r="AE228" i="26"/>
  <c r="AF228" i="26"/>
  <c r="AG228" i="26"/>
  <c r="AH228" i="26"/>
  <c r="AI228" i="26"/>
  <c r="AJ228" i="26"/>
  <c r="AK228" i="26"/>
  <c r="A229" i="26"/>
  <c r="X229" i="26"/>
  <c r="Z229" i="26"/>
  <c r="AA229" i="26"/>
  <c r="AB229" i="26"/>
  <c r="AC229" i="26"/>
  <c r="AD229" i="26"/>
  <c r="AE229" i="26"/>
  <c r="AF229" i="26"/>
  <c r="AG229" i="26"/>
  <c r="AH229" i="26"/>
  <c r="AI229" i="26"/>
  <c r="AJ229" i="26"/>
  <c r="AK229" i="26"/>
  <c r="A230" i="26"/>
  <c r="X230" i="26"/>
  <c r="Z230" i="26"/>
  <c r="AA230" i="26"/>
  <c r="AL230" i="26" s="1"/>
  <c r="AB230" i="26"/>
  <c r="AC230" i="26"/>
  <c r="AD230" i="26"/>
  <c r="AE230" i="26"/>
  <c r="AF230" i="26"/>
  <c r="AG230" i="26"/>
  <c r="AH230" i="26"/>
  <c r="AI230" i="26"/>
  <c r="AJ230" i="26"/>
  <c r="AK230" i="26"/>
  <c r="A231" i="26"/>
  <c r="X231" i="26"/>
  <c r="Z231" i="26"/>
  <c r="AL231" i="26" s="1"/>
  <c r="AA231" i="26"/>
  <c r="AB231" i="26"/>
  <c r="AC231" i="26"/>
  <c r="AD231" i="26"/>
  <c r="AE231" i="26"/>
  <c r="AF231" i="26"/>
  <c r="AG231" i="26"/>
  <c r="AH231" i="26"/>
  <c r="AI231" i="26"/>
  <c r="AJ231" i="26"/>
  <c r="AK231" i="26"/>
  <c r="A232" i="26"/>
  <c r="X232" i="26"/>
  <c r="Z232" i="26"/>
  <c r="AA232" i="26"/>
  <c r="AB232" i="26"/>
  <c r="AC232" i="26"/>
  <c r="AD232" i="26"/>
  <c r="AE232" i="26"/>
  <c r="AF232" i="26"/>
  <c r="AG232" i="26"/>
  <c r="AH232" i="26"/>
  <c r="AI232" i="26"/>
  <c r="AJ232" i="26"/>
  <c r="AK232" i="26"/>
  <c r="A233" i="26"/>
  <c r="X233" i="26"/>
  <c r="Z233" i="26"/>
  <c r="AA233" i="26"/>
  <c r="AB233" i="26"/>
  <c r="AC233" i="26"/>
  <c r="AD233" i="26"/>
  <c r="AE233" i="26"/>
  <c r="AF233" i="26"/>
  <c r="AG233" i="26"/>
  <c r="AH233" i="26"/>
  <c r="AI233" i="26"/>
  <c r="AJ233" i="26"/>
  <c r="AK233" i="26"/>
  <c r="A234" i="26"/>
  <c r="X234" i="26"/>
  <c r="Z234" i="26"/>
  <c r="AA234" i="26"/>
  <c r="AB234" i="26"/>
  <c r="AC234" i="26"/>
  <c r="AD234" i="26"/>
  <c r="AE234" i="26"/>
  <c r="AF234" i="26"/>
  <c r="AG234" i="26"/>
  <c r="AH234" i="26"/>
  <c r="AI234" i="26"/>
  <c r="AJ234" i="26"/>
  <c r="AK234" i="26"/>
  <c r="A235" i="26"/>
  <c r="X235" i="26"/>
  <c r="Z235" i="26"/>
  <c r="AA235" i="26"/>
  <c r="AL235" i="26" s="1"/>
  <c r="AB235" i="26"/>
  <c r="AC235" i="26"/>
  <c r="AD235" i="26"/>
  <c r="AE235" i="26"/>
  <c r="AF235" i="26"/>
  <c r="AG235" i="26"/>
  <c r="AH235" i="26"/>
  <c r="AI235" i="26"/>
  <c r="AJ235" i="26"/>
  <c r="AK235" i="26"/>
  <c r="A236" i="26"/>
  <c r="X236" i="26"/>
  <c r="Z236" i="26"/>
  <c r="AA236" i="26"/>
  <c r="AB236" i="26"/>
  <c r="AC236" i="26"/>
  <c r="AD236" i="26"/>
  <c r="AE236" i="26"/>
  <c r="AF236" i="26"/>
  <c r="AG236" i="26"/>
  <c r="AH236" i="26"/>
  <c r="AI236" i="26"/>
  <c r="AJ236" i="26"/>
  <c r="AK236" i="26"/>
  <c r="A237" i="26"/>
  <c r="X237" i="26"/>
  <c r="Z237" i="26"/>
  <c r="AA237" i="26"/>
  <c r="AB237" i="26"/>
  <c r="AC237" i="26"/>
  <c r="AD237" i="26"/>
  <c r="AE237" i="26"/>
  <c r="AF237" i="26"/>
  <c r="AG237" i="26"/>
  <c r="AH237" i="26"/>
  <c r="AI237" i="26"/>
  <c r="AJ237" i="26"/>
  <c r="AK237" i="26"/>
  <c r="A238" i="26"/>
  <c r="X238" i="26"/>
  <c r="Z238" i="26"/>
  <c r="AA238" i="26"/>
  <c r="AB238" i="26"/>
  <c r="AC238" i="26"/>
  <c r="AD238" i="26"/>
  <c r="AE238" i="26"/>
  <c r="AF238" i="26"/>
  <c r="AG238" i="26"/>
  <c r="AL238" i="26" s="1"/>
  <c r="AH238" i="26"/>
  <c r="AI238" i="26"/>
  <c r="AJ238" i="26"/>
  <c r="AK238" i="26"/>
  <c r="A239" i="26"/>
  <c r="X239" i="26"/>
  <c r="Z239" i="26"/>
  <c r="AL239" i="26" s="1"/>
  <c r="AA239" i="26"/>
  <c r="AB239" i="26"/>
  <c r="AC239" i="26"/>
  <c r="AD239" i="26"/>
  <c r="AE239" i="26"/>
  <c r="AF239" i="26"/>
  <c r="AG239" i="26"/>
  <c r="AH239" i="26"/>
  <c r="AI239" i="26"/>
  <c r="AJ239" i="26"/>
  <c r="AK239" i="26"/>
  <c r="A240" i="26"/>
  <c r="X240" i="26"/>
  <c r="Z240" i="26"/>
  <c r="AA240" i="26"/>
  <c r="AB240" i="26"/>
  <c r="AC240" i="26"/>
  <c r="AD240" i="26"/>
  <c r="AE240" i="26"/>
  <c r="AF240" i="26"/>
  <c r="AG240" i="26"/>
  <c r="AH240" i="26"/>
  <c r="AI240" i="26"/>
  <c r="AJ240" i="26"/>
  <c r="AK240" i="26"/>
  <c r="A241" i="26"/>
  <c r="X241" i="26"/>
  <c r="Z241" i="26"/>
  <c r="AA241" i="26"/>
  <c r="AB241" i="26"/>
  <c r="AC241" i="26"/>
  <c r="AD241" i="26"/>
  <c r="AE241" i="26"/>
  <c r="AF241" i="26"/>
  <c r="AG241" i="26"/>
  <c r="AH241" i="26"/>
  <c r="AI241" i="26"/>
  <c r="AJ241" i="26"/>
  <c r="AK241" i="26"/>
  <c r="A242" i="26"/>
  <c r="X242" i="26"/>
  <c r="Z242" i="26"/>
  <c r="AA242" i="26"/>
  <c r="AB242" i="26"/>
  <c r="AC242" i="26"/>
  <c r="AD242" i="26"/>
  <c r="AE242" i="26"/>
  <c r="AF242" i="26"/>
  <c r="AG242" i="26"/>
  <c r="AH242" i="26"/>
  <c r="AI242" i="26"/>
  <c r="AJ242" i="26"/>
  <c r="AK242" i="26"/>
  <c r="A243" i="26"/>
  <c r="X243" i="26"/>
  <c r="Z243" i="26"/>
  <c r="AA243" i="26"/>
  <c r="AB243" i="26"/>
  <c r="AC243" i="26"/>
  <c r="AD243" i="26"/>
  <c r="AE243" i="26"/>
  <c r="AF243" i="26"/>
  <c r="AG243" i="26"/>
  <c r="AH243" i="26"/>
  <c r="AI243" i="26"/>
  <c r="AJ243" i="26"/>
  <c r="AK243" i="26"/>
  <c r="A244" i="26"/>
  <c r="X244" i="26"/>
  <c r="Z244" i="26"/>
  <c r="AA244" i="26"/>
  <c r="AL244" i="26" s="1"/>
  <c r="AB244" i="26"/>
  <c r="AC244" i="26"/>
  <c r="AD244" i="26"/>
  <c r="AE244" i="26"/>
  <c r="AF244" i="26"/>
  <c r="AG244" i="26"/>
  <c r="AH244" i="26"/>
  <c r="AI244" i="26"/>
  <c r="AJ244" i="26"/>
  <c r="AK244" i="26"/>
  <c r="A245" i="26"/>
  <c r="X245" i="26"/>
  <c r="Z245" i="26"/>
  <c r="AA245" i="26"/>
  <c r="AB245" i="26"/>
  <c r="AC245" i="26"/>
  <c r="AD245" i="26"/>
  <c r="AE245" i="26"/>
  <c r="AF245" i="26"/>
  <c r="AG245" i="26"/>
  <c r="AH245" i="26"/>
  <c r="AI245" i="26"/>
  <c r="AJ245" i="26"/>
  <c r="AK245" i="26"/>
  <c r="A246" i="26"/>
  <c r="X246" i="26"/>
  <c r="Z246" i="26"/>
  <c r="AL246" i="26" s="1"/>
  <c r="AA246" i="26"/>
  <c r="AB246" i="26"/>
  <c r="AC246" i="26"/>
  <c r="AD246" i="26"/>
  <c r="AE246" i="26"/>
  <c r="AF246" i="26"/>
  <c r="AG246" i="26"/>
  <c r="AH246" i="26"/>
  <c r="AI246" i="26"/>
  <c r="AJ246" i="26"/>
  <c r="AJ269" i="26" s="1"/>
  <c r="AK246" i="26"/>
  <c r="A247" i="26"/>
  <c r="X247" i="26"/>
  <c r="Z247" i="26"/>
  <c r="AA247" i="26"/>
  <c r="AB247" i="26"/>
  <c r="AC247" i="26"/>
  <c r="AL247" i="26" s="1"/>
  <c r="AD247" i="26"/>
  <c r="AE247" i="26"/>
  <c r="AF247" i="26"/>
  <c r="AG247" i="26"/>
  <c r="AH247" i="26"/>
  <c r="AI247" i="26"/>
  <c r="AJ247" i="26"/>
  <c r="AK247" i="26"/>
  <c r="A248" i="26"/>
  <c r="X248" i="26"/>
  <c r="Z248" i="26"/>
  <c r="AA248" i="26"/>
  <c r="AB248" i="26"/>
  <c r="AC248" i="26"/>
  <c r="AD248" i="26"/>
  <c r="AE248" i="26"/>
  <c r="AF248" i="26"/>
  <c r="AG248" i="26"/>
  <c r="AH248" i="26"/>
  <c r="AI248" i="26"/>
  <c r="AJ248" i="26"/>
  <c r="AK248" i="26"/>
  <c r="A249" i="26"/>
  <c r="X249" i="26"/>
  <c r="Z249" i="26"/>
  <c r="AA249" i="26"/>
  <c r="AB249" i="26"/>
  <c r="AC249" i="26"/>
  <c r="AD249" i="26"/>
  <c r="AE249" i="26"/>
  <c r="AF249" i="26"/>
  <c r="AG249" i="26"/>
  <c r="AH249" i="26"/>
  <c r="AI249" i="26"/>
  <c r="AJ249" i="26"/>
  <c r="AK249" i="26"/>
  <c r="A250" i="26"/>
  <c r="X250" i="26"/>
  <c r="Z250" i="26"/>
  <c r="AA250" i="26"/>
  <c r="AB250" i="26"/>
  <c r="AC250" i="26"/>
  <c r="AD250" i="26"/>
  <c r="AE250" i="26"/>
  <c r="AF250" i="26"/>
  <c r="AG250" i="26"/>
  <c r="AH250" i="26"/>
  <c r="AI250" i="26"/>
  <c r="AJ250" i="26"/>
  <c r="AK250" i="26"/>
  <c r="A251" i="26"/>
  <c r="X251" i="26"/>
  <c r="Z251" i="26"/>
  <c r="AA251" i="26"/>
  <c r="AB251" i="26"/>
  <c r="AC251" i="26"/>
  <c r="AD251" i="26"/>
  <c r="AE251" i="26"/>
  <c r="AF251" i="26"/>
  <c r="AG251" i="26"/>
  <c r="AH251" i="26"/>
  <c r="AI251" i="26"/>
  <c r="AJ251" i="26"/>
  <c r="AK251" i="26"/>
  <c r="A252" i="26"/>
  <c r="X252" i="26"/>
  <c r="Z252" i="26"/>
  <c r="AA252" i="26"/>
  <c r="AB252" i="26"/>
  <c r="AC252" i="26"/>
  <c r="AD252" i="26"/>
  <c r="AE252" i="26"/>
  <c r="AF252" i="26"/>
  <c r="AG252" i="26"/>
  <c r="AH252" i="26"/>
  <c r="AI252" i="26"/>
  <c r="AJ252" i="26"/>
  <c r="AK252" i="26"/>
  <c r="A253" i="26"/>
  <c r="X253" i="26"/>
  <c r="Z253" i="26"/>
  <c r="AA253" i="26"/>
  <c r="AB253" i="26"/>
  <c r="AC253" i="26"/>
  <c r="AD253" i="26"/>
  <c r="AE253" i="26"/>
  <c r="AF253" i="26"/>
  <c r="AG253" i="26"/>
  <c r="AH253" i="26"/>
  <c r="AI253" i="26"/>
  <c r="AJ253" i="26"/>
  <c r="AK253" i="26"/>
  <c r="A254" i="26"/>
  <c r="X254" i="26"/>
  <c r="Z254" i="26"/>
  <c r="AA254" i="26"/>
  <c r="AB254" i="26"/>
  <c r="AC254" i="26"/>
  <c r="AD254" i="26"/>
  <c r="AE254" i="26"/>
  <c r="AF254" i="26"/>
  <c r="AG254" i="26"/>
  <c r="AH254" i="26"/>
  <c r="AI254" i="26"/>
  <c r="AJ254" i="26"/>
  <c r="AK254" i="26"/>
  <c r="A255" i="26"/>
  <c r="X255" i="26"/>
  <c r="Z255" i="26"/>
  <c r="AA255" i="26"/>
  <c r="AB255" i="26"/>
  <c r="AC255" i="26"/>
  <c r="AD255" i="26"/>
  <c r="AE255" i="26"/>
  <c r="AF255" i="26"/>
  <c r="AG255" i="26"/>
  <c r="AH255" i="26"/>
  <c r="AN255" i="26" s="1"/>
  <c r="AI255" i="26"/>
  <c r="AJ255" i="26"/>
  <c r="AK255" i="26"/>
  <c r="A256" i="26"/>
  <c r="X256" i="26"/>
  <c r="Z256" i="26"/>
  <c r="AA256" i="26"/>
  <c r="AB256" i="26"/>
  <c r="AC256" i="26"/>
  <c r="AD256" i="26"/>
  <c r="AE256" i="26"/>
  <c r="AF256" i="26"/>
  <c r="AN256" i="26" s="1"/>
  <c r="AG256" i="26"/>
  <c r="AH256" i="26"/>
  <c r="AI256" i="26"/>
  <c r="AJ256" i="26"/>
  <c r="AK256" i="26"/>
  <c r="A257" i="26"/>
  <c r="X257" i="26"/>
  <c r="Z257" i="26"/>
  <c r="AA257" i="26"/>
  <c r="AB257" i="26"/>
  <c r="AC257" i="26"/>
  <c r="AD257" i="26"/>
  <c r="AE257" i="26"/>
  <c r="AF257" i="26"/>
  <c r="AG257" i="26"/>
  <c r="AN257" i="26" s="1"/>
  <c r="AH257" i="26"/>
  <c r="AI257" i="26"/>
  <c r="AJ257" i="26"/>
  <c r="AK257" i="26"/>
  <c r="A258" i="26"/>
  <c r="X258" i="26"/>
  <c r="Z258" i="26"/>
  <c r="AA258" i="26"/>
  <c r="AB258" i="26"/>
  <c r="AC258" i="26"/>
  <c r="AD258" i="26"/>
  <c r="AE258" i="26"/>
  <c r="AF258" i="26"/>
  <c r="AG258" i="26"/>
  <c r="AH258" i="26"/>
  <c r="AI258" i="26"/>
  <c r="AJ258" i="26"/>
  <c r="AK258" i="26"/>
  <c r="A259" i="26"/>
  <c r="X259" i="26"/>
  <c r="Z259" i="26"/>
  <c r="AA259" i="26"/>
  <c r="AB259" i="26"/>
  <c r="AC259" i="26"/>
  <c r="AD259" i="26"/>
  <c r="AE259" i="26"/>
  <c r="AF259" i="26"/>
  <c r="AG259" i="26"/>
  <c r="AH259" i="26"/>
  <c r="AI259" i="26"/>
  <c r="AJ259" i="26"/>
  <c r="AK259" i="26"/>
  <c r="A260" i="26"/>
  <c r="X260" i="26"/>
  <c r="Z260" i="26"/>
  <c r="AA260" i="26"/>
  <c r="AB260" i="26"/>
  <c r="AC260" i="26"/>
  <c r="AD260" i="26"/>
  <c r="AE260" i="26"/>
  <c r="AF260" i="26"/>
  <c r="AG260" i="26"/>
  <c r="AH260" i="26"/>
  <c r="AI260" i="26"/>
  <c r="AJ260" i="26"/>
  <c r="AK260" i="26"/>
  <c r="A261" i="26"/>
  <c r="X261" i="26"/>
  <c r="Z261" i="26"/>
  <c r="AA261" i="26"/>
  <c r="AB261" i="26"/>
  <c r="AC261" i="26"/>
  <c r="AD261" i="26"/>
  <c r="AE261" i="26"/>
  <c r="AF261" i="26"/>
  <c r="AG261" i="26"/>
  <c r="AH261" i="26"/>
  <c r="AI261" i="26"/>
  <c r="AJ261" i="26"/>
  <c r="AK261" i="26"/>
  <c r="A262" i="26"/>
  <c r="X262" i="26"/>
  <c r="Z262" i="26"/>
  <c r="AA262" i="26"/>
  <c r="AB262" i="26"/>
  <c r="AC262" i="26"/>
  <c r="AD262" i="26"/>
  <c r="AE262" i="26"/>
  <c r="AF262" i="26"/>
  <c r="AG262" i="26"/>
  <c r="AH262" i="26"/>
  <c r="AI262" i="26"/>
  <c r="AJ262" i="26"/>
  <c r="AK262" i="26"/>
  <c r="A263" i="26"/>
  <c r="X263" i="26"/>
  <c r="Z263" i="26"/>
  <c r="AA263" i="26"/>
  <c r="AB263" i="26"/>
  <c r="AC263" i="26"/>
  <c r="AD263" i="26"/>
  <c r="AE263" i="26"/>
  <c r="AF263" i="26"/>
  <c r="AN263" i="26" s="1"/>
  <c r="AG263" i="26"/>
  <c r="AH263" i="26"/>
  <c r="AI263" i="26"/>
  <c r="AJ263" i="26"/>
  <c r="AK263" i="26"/>
  <c r="A264" i="26"/>
  <c r="X264" i="26"/>
  <c r="Z264" i="26"/>
  <c r="AA264" i="26"/>
  <c r="AB264" i="26"/>
  <c r="AC264" i="26"/>
  <c r="AD264" i="26"/>
  <c r="AE264" i="26"/>
  <c r="AF264" i="26"/>
  <c r="AN264" i="26" s="1"/>
  <c r="AG264" i="26"/>
  <c r="AH264" i="26"/>
  <c r="AI264" i="26"/>
  <c r="AJ264" i="26"/>
  <c r="AK264" i="26"/>
  <c r="A265" i="26"/>
  <c r="X265" i="26"/>
  <c r="Z265" i="26"/>
  <c r="AA265" i="26"/>
  <c r="AB265" i="26"/>
  <c r="AC265" i="26"/>
  <c r="AD265" i="26"/>
  <c r="AE265" i="26"/>
  <c r="AF265" i="26"/>
  <c r="AG265" i="26"/>
  <c r="AH265" i="26"/>
  <c r="AI265" i="26"/>
  <c r="AJ265" i="26"/>
  <c r="AK265" i="26"/>
  <c r="AN265" i="26"/>
  <c r="A266" i="26"/>
  <c r="X266" i="26"/>
  <c r="Z266" i="26"/>
  <c r="AA266" i="26"/>
  <c r="AB266" i="26"/>
  <c r="AC266" i="26"/>
  <c r="AD266" i="26"/>
  <c r="AE266" i="26"/>
  <c r="AF266" i="26"/>
  <c r="AG266" i="26"/>
  <c r="AH266" i="26"/>
  <c r="AI266" i="26"/>
  <c r="AJ266" i="26"/>
  <c r="AK266" i="26"/>
  <c r="A267" i="26"/>
  <c r="X267" i="26"/>
  <c r="Z267" i="26"/>
  <c r="AA267" i="26"/>
  <c r="AB267" i="26"/>
  <c r="AC267" i="26"/>
  <c r="AD267" i="26"/>
  <c r="AE267" i="26"/>
  <c r="AF267" i="26"/>
  <c r="AG267" i="26"/>
  <c r="AN267" i="26" s="1"/>
  <c r="AH267" i="26"/>
  <c r="AI267" i="26"/>
  <c r="AJ267" i="26"/>
  <c r="AK267" i="26"/>
  <c r="K269" i="26"/>
  <c r="L269" i="26"/>
  <c r="M269" i="26"/>
  <c r="N269" i="26"/>
  <c r="O269" i="26"/>
  <c r="P269" i="26"/>
  <c r="Q269" i="26"/>
  <c r="R269" i="26"/>
  <c r="S269" i="26"/>
  <c r="S278" i="26" s="1"/>
  <c r="T269" i="26"/>
  <c r="T278" i="26" s="1"/>
  <c r="U269" i="26"/>
  <c r="U278" i="26" s="1"/>
  <c r="V269" i="26"/>
  <c r="V278" i="26" s="1"/>
  <c r="A272" i="26"/>
  <c r="X272" i="26"/>
  <c r="X275" i="26" s="1"/>
  <c r="Z272" i="26"/>
  <c r="AA272" i="26"/>
  <c r="AB272" i="26"/>
  <c r="AC272" i="26"/>
  <c r="AD272" i="26"/>
  <c r="AL272" i="26" s="1"/>
  <c r="AE272" i="26"/>
  <c r="AF272" i="26"/>
  <c r="AG272" i="26"/>
  <c r="AH272" i="26"/>
  <c r="AI272" i="26"/>
  <c r="AJ272" i="26"/>
  <c r="AK272" i="26"/>
  <c r="AN272" i="26"/>
  <c r="A273" i="26"/>
  <c r="X273" i="26"/>
  <c r="Z273" i="26"/>
  <c r="AA273" i="26"/>
  <c r="AB273" i="26"/>
  <c r="AC273" i="26"/>
  <c r="AD273" i="26"/>
  <c r="AE273" i="26"/>
  <c r="AF273" i="26"/>
  <c r="AG273" i="26"/>
  <c r="AH273" i="26"/>
  <c r="AN273" i="26" s="1"/>
  <c r="AI273" i="26"/>
  <c r="AJ273" i="26"/>
  <c r="AK273" i="26"/>
  <c r="K275" i="26"/>
  <c r="K278" i="26" s="1"/>
  <c r="L275" i="26"/>
  <c r="M275" i="26"/>
  <c r="N275" i="26"/>
  <c r="O275" i="26"/>
  <c r="P275" i="26"/>
  <c r="P278" i="26" s="1"/>
  <c r="Q275" i="26"/>
  <c r="Q278" i="26" s="1"/>
  <c r="R275" i="26"/>
  <c r="S275" i="26"/>
  <c r="T275" i="26"/>
  <c r="U275" i="26"/>
  <c r="V275" i="26"/>
  <c r="L278" i="26"/>
  <c r="M278" i="26"/>
  <c r="N278" i="26"/>
  <c r="A282" i="26"/>
  <c r="X282" i="26"/>
  <c r="Z282" i="26"/>
  <c r="AA282" i="26"/>
  <c r="AB282" i="26"/>
  <c r="AC282" i="26"/>
  <c r="AD282" i="26"/>
  <c r="AE282" i="26"/>
  <c r="AF282" i="26"/>
  <c r="AG282" i="26"/>
  <c r="AH282" i="26"/>
  <c r="AI282" i="26"/>
  <c r="AJ282" i="26"/>
  <c r="AK282" i="26"/>
  <c r="A283" i="26"/>
  <c r="X283" i="26"/>
  <c r="Z283" i="26"/>
  <c r="AA283" i="26"/>
  <c r="AB283" i="26"/>
  <c r="AC283" i="26"/>
  <c r="AD283" i="26"/>
  <c r="AE283" i="26"/>
  <c r="AF283" i="26"/>
  <c r="AG283" i="26"/>
  <c r="AH283" i="26"/>
  <c r="AI283" i="26"/>
  <c r="AJ283" i="26"/>
  <c r="AK283" i="26"/>
  <c r="K285" i="26"/>
  <c r="L285" i="26"/>
  <c r="M285" i="26"/>
  <c r="N285" i="26"/>
  <c r="O285" i="26"/>
  <c r="P285" i="26"/>
  <c r="Q285" i="26"/>
  <c r="R285" i="26"/>
  <c r="S285" i="26"/>
  <c r="T285" i="26"/>
  <c r="U285" i="26"/>
  <c r="V285" i="26"/>
  <c r="X285" i="26"/>
  <c r="N9" i="29"/>
  <c r="C10" i="29"/>
  <c r="F10" i="29"/>
  <c r="G10" i="29"/>
  <c r="B11" i="29"/>
  <c r="E11" i="29"/>
  <c r="N14" i="29"/>
  <c r="B15" i="29"/>
  <c r="B16" i="29" s="1"/>
  <c r="E15" i="29"/>
  <c r="E16" i="29" s="1"/>
  <c r="N19" i="29"/>
  <c r="B20" i="29"/>
  <c r="B21" i="29" s="1"/>
  <c r="C20" i="29"/>
  <c r="C21" i="29" s="1"/>
  <c r="E20" i="29"/>
  <c r="E21" i="29" s="1"/>
  <c r="B26" i="29"/>
  <c r="C26" i="29"/>
  <c r="D26" i="29"/>
  <c r="E26" i="29"/>
  <c r="F26" i="29"/>
  <c r="G26" i="29"/>
  <c r="H26" i="29"/>
  <c r="I26" i="29"/>
  <c r="J26" i="29"/>
  <c r="K26" i="29"/>
  <c r="L26" i="29"/>
  <c r="M26" i="29"/>
  <c r="N27" i="29"/>
  <c r="C28" i="29"/>
  <c r="F28" i="29"/>
  <c r="F29" i="29" s="1"/>
  <c r="B29" i="29"/>
  <c r="E29" i="29"/>
  <c r="N32" i="29"/>
  <c r="B33" i="29"/>
  <c r="B34" i="29" s="1"/>
  <c r="E33" i="29"/>
  <c r="F33" i="29"/>
  <c r="F38" i="29" s="1"/>
  <c r="B37" i="29"/>
  <c r="C37" i="29"/>
  <c r="D37" i="29"/>
  <c r="E37" i="29"/>
  <c r="F37" i="29"/>
  <c r="F39" i="29" s="1"/>
  <c r="G37" i="29"/>
  <c r="H37" i="29"/>
  <c r="I37" i="29"/>
  <c r="J37" i="29"/>
  <c r="K37" i="29"/>
  <c r="L37" i="29"/>
  <c r="M37" i="29"/>
  <c r="B38" i="29"/>
  <c r="B44" i="29"/>
  <c r="C44" i="29"/>
  <c r="D44" i="29"/>
  <c r="E44" i="29"/>
  <c r="F44" i="29"/>
  <c r="G44" i="29"/>
  <c r="H44" i="29"/>
  <c r="I44" i="29"/>
  <c r="J44" i="29"/>
  <c r="K44" i="29"/>
  <c r="L44" i="29"/>
  <c r="M44" i="29"/>
  <c r="N45" i="29"/>
  <c r="B46" i="29"/>
  <c r="B47" i="29" s="1"/>
  <c r="E46" i="29"/>
  <c r="E51" i="29" s="1"/>
  <c r="E52" i="29" s="1"/>
  <c r="E47" i="29"/>
  <c r="N50" i="29"/>
  <c r="N55" i="29"/>
  <c r="B56" i="29"/>
  <c r="B57" i="29" s="1"/>
  <c r="E56" i="29"/>
  <c r="E57" i="29" s="1"/>
  <c r="N62" i="29"/>
  <c r="B63" i="29"/>
  <c r="B64" i="29" s="1"/>
  <c r="C63" i="29"/>
  <c r="C64" i="29" s="1"/>
  <c r="N68" i="29"/>
  <c r="C69" i="29"/>
  <c r="C70" i="29" s="1"/>
  <c r="B70" i="29"/>
  <c r="D70" i="29"/>
  <c r="E70" i="29"/>
  <c r="F70" i="29"/>
  <c r="G70" i="29"/>
  <c r="H70" i="29"/>
  <c r="I70" i="29"/>
  <c r="J70" i="29"/>
  <c r="K70" i="29"/>
  <c r="L70" i="29"/>
  <c r="M70" i="29"/>
  <c r="S290" i="26" l="1"/>
  <c r="AK60" i="27"/>
  <c r="AK70" i="26"/>
  <c r="N70" i="29"/>
  <c r="AL248" i="26"/>
  <c r="AN226" i="26"/>
  <c r="AL225" i="26"/>
  <c r="D63" i="29"/>
  <c r="B51" i="29"/>
  <c r="B52" i="29" s="1"/>
  <c r="B59" i="29" s="1"/>
  <c r="AN266" i="26"/>
  <c r="AN251" i="26"/>
  <c r="X269" i="26"/>
  <c r="X278" i="26" s="1"/>
  <c r="AE269" i="26"/>
  <c r="AL243" i="26"/>
  <c r="AL229" i="26"/>
  <c r="P217" i="26"/>
  <c r="AL178" i="26"/>
  <c r="AL173" i="26"/>
  <c r="AN164" i="26"/>
  <c r="AN163" i="26"/>
  <c r="AL159" i="26"/>
  <c r="AN55" i="26"/>
  <c r="AN46" i="26"/>
  <c r="AN43" i="26"/>
  <c r="AN28" i="26"/>
  <c r="AL27" i="26"/>
  <c r="AN231" i="27"/>
  <c r="AN218" i="27"/>
  <c r="AN138" i="27"/>
  <c r="AI196" i="27"/>
  <c r="AN116" i="27"/>
  <c r="AN110" i="27"/>
  <c r="AN97" i="27"/>
  <c r="AM42" i="27"/>
  <c r="AN31" i="27"/>
  <c r="AL59" i="27"/>
  <c r="AN18" i="27"/>
  <c r="AD92" i="28"/>
  <c r="S86" i="28"/>
  <c r="K86" i="28"/>
  <c r="L99" i="28"/>
  <c r="AG30" i="28"/>
  <c r="Y30" i="28"/>
  <c r="P99" i="28"/>
  <c r="K217" i="26"/>
  <c r="AN260" i="26"/>
  <c r="F34" i="29"/>
  <c r="F41" i="29" s="1"/>
  <c r="F77" i="29" s="1"/>
  <c r="G28" i="29"/>
  <c r="G33" i="29" s="1"/>
  <c r="AN283" i="26"/>
  <c r="O278" i="26"/>
  <c r="O290" i="26" s="1"/>
  <c r="AL267" i="26"/>
  <c r="AN261" i="26"/>
  <c r="AN242" i="26"/>
  <c r="AL241" i="26"/>
  <c r="AN233" i="26"/>
  <c r="AN224" i="26"/>
  <c r="AL223" i="26"/>
  <c r="AL203" i="26"/>
  <c r="AN202" i="26"/>
  <c r="AN190" i="26"/>
  <c r="AL151" i="26"/>
  <c r="AM151" i="26" s="1"/>
  <c r="AN141" i="26"/>
  <c r="AN134" i="26"/>
  <c r="AN131" i="26"/>
  <c r="AN114" i="26"/>
  <c r="AN95" i="26"/>
  <c r="AJ85" i="26"/>
  <c r="P87" i="26"/>
  <c r="AN38" i="26"/>
  <c r="V268" i="27"/>
  <c r="N268" i="27"/>
  <c r="R268" i="27"/>
  <c r="AN254" i="27"/>
  <c r="AK259" i="27"/>
  <c r="AL202" i="27"/>
  <c r="AH202" i="27"/>
  <c r="P207" i="27"/>
  <c r="P280" i="27" s="1"/>
  <c r="AN189" i="27"/>
  <c r="AN169" i="27"/>
  <c r="AM165" i="27"/>
  <c r="AN161" i="27"/>
  <c r="AN136" i="27"/>
  <c r="AN46" i="27"/>
  <c r="AK59" i="27"/>
  <c r="AN19" i="27"/>
  <c r="AA92" i="28"/>
  <c r="AE259" i="27"/>
  <c r="AN190" i="27"/>
  <c r="AN181" i="27"/>
  <c r="AN137" i="27"/>
  <c r="AN130" i="27"/>
  <c r="AN122" i="27"/>
  <c r="AM106" i="27"/>
  <c r="AN72" i="27"/>
  <c r="AL75" i="27"/>
  <c r="AM47" i="27"/>
  <c r="AN38" i="27"/>
  <c r="AM26" i="27"/>
  <c r="AM18" i="27"/>
  <c r="R99" i="28"/>
  <c r="AN48" i="28"/>
  <c r="N99" i="28"/>
  <c r="AI11" i="28"/>
  <c r="K290" i="26"/>
  <c r="AL273" i="26"/>
  <c r="AN262" i="26"/>
  <c r="AN258" i="26"/>
  <c r="AN252" i="26"/>
  <c r="AB269" i="26"/>
  <c r="AN248" i="26"/>
  <c r="AD269" i="26"/>
  <c r="AN234" i="26"/>
  <c r="AL233" i="26"/>
  <c r="AN225" i="26"/>
  <c r="AL189" i="26"/>
  <c r="AN180" i="26"/>
  <c r="AN179" i="26"/>
  <c r="AN158" i="26"/>
  <c r="AN129" i="26"/>
  <c r="AN121" i="26"/>
  <c r="AN118" i="26"/>
  <c r="T87" i="26"/>
  <c r="T290" i="26" s="1"/>
  <c r="L87" i="26"/>
  <c r="L290" i="26" s="1"/>
  <c r="AH85" i="26"/>
  <c r="Z85" i="26"/>
  <c r="AN62" i="26"/>
  <c r="AN39" i="26"/>
  <c r="AG259" i="27"/>
  <c r="Q280" i="27"/>
  <c r="AN175" i="27"/>
  <c r="AM154" i="27"/>
  <c r="AN120" i="27"/>
  <c r="AN49" i="27"/>
  <c r="AM40" i="27"/>
  <c r="AM39" i="27"/>
  <c r="AI59" i="27"/>
  <c r="AI60" i="27" s="1"/>
  <c r="AG78" i="28"/>
  <c r="Y78" i="28"/>
  <c r="AF78" i="28"/>
  <c r="AI70" i="28"/>
  <c r="AN70" i="28" s="1"/>
  <c r="AR70" i="28" s="1"/>
  <c r="N61" i="28"/>
  <c r="AE30" i="28"/>
  <c r="M40" i="28"/>
  <c r="Q290" i="26"/>
  <c r="AN253" i="26"/>
  <c r="AK269" i="26"/>
  <c r="AC269" i="26"/>
  <c r="AL245" i="26"/>
  <c r="AL236" i="26"/>
  <c r="AL227" i="26"/>
  <c r="AL209" i="26"/>
  <c r="AN145" i="26"/>
  <c r="AN137" i="26"/>
  <c r="AL137" i="26"/>
  <c r="AM137" i="26" s="1"/>
  <c r="AN127" i="26"/>
  <c r="AN119" i="26"/>
  <c r="AL109" i="26"/>
  <c r="AE206" i="26"/>
  <c r="AK206" i="26"/>
  <c r="AL103" i="26"/>
  <c r="U87" i="26"/>
  <c r="U290" i="26" s="1"/>
  <c r="M87" i="26"/>
  <c r="AL62" i="26"/>
  <c r="AN44" i="26"/>
  <c r="AN21" i="26"/>
  <c r="AN14" i="26"/>
  <c r="AK69" i="26"/>
  <c r="AC69" i="26"/>
  <c r="AC70" i="26" s="1"/>
  <c r="AM273" i="27"/>
  <c r="AN256" i="27"/>
  <c r="AN244" i="27"/>
  <c r="AN241" i="27"/>
  <c r="AN235" i="27"/>
  <c r="AN234" i="27"/>
  <c r="AN233" i="27"/>
  <c r="AM188" i="27"/>
  <c r="AN182" i="27"/>
  <c r="AM170" i="27"/>
  <c r="AN166" i="27"/>
  <c r="AM149" i="27"/>
  <c r="AM141" i="27"/>
  <c r="AN121" i="27"/>
  <c r="AM112" i="27"/>
  <c r="AM105" i="27"/>
  <c r="AM85" i="27"/>
  <c r="X66" i="27"/>
  <c r="AN14" i="27"/>
  <c r="P61" i="28"/>
  <c r="H61" i="28"/>
  <c r="H99" i="28" s="1"/>
  <c r="AJ13" i="28"/>
  <c r="AN259" i="26"/>
  <c r="AN249" i="26"/>
  <c r="AL157" i="26"/>
  <c r="AL139" i="26"/>
  <c r="AM139" i="26" s="1"/>
  <c r="AL138" i="26"/>
  <c r="AM138" i="26" s="1"/>
  <c r="AN136" i="26"/>
  <c r="AN110" i="26"/>
  <c r="AL82" i="26"/>
  <c r="AL73" i="26"/>
  <c r="AN41" i="26"/>
  <c r="AL18" i="26"/>
  <c r="AH69" i="26"/>
  <c r="AJ69" i="26"/>
  <c r="AJ70" i="26" s="1"/>
  <c r="AM190" i="27"/>
  <c r="AN159" i="27"/>
  <c r="O61" i="28"/>
  <c r="Z23" i="28"/>
  <c r="AN240" i="26"/>
  <c r="R278" i="26"/>
  <c r="AN254" i="26"/>
  <c r="AI269" i="26"/>
  <c r="AA269" i="26"/>
  <c r="AL237" i="26"/>
  <c r="AL228" i="26"/>
  <c r="R217" i="26"/>
  <c r="AN195" i="26"/>
  <c r="AN174" i="26"/>
  <c r="AN142" i="26"/>
  <c r="AN128" i="26"/>
  <c r="AL102" i="26"/>
  <c r="AG206" i="26"/>
  <c r="AN99" i="26"/>
  <c r="AN50" i="26"/>
  <c r="AN22" i="26"/>
  <c r="AD69" i="26"/>
  <c r="U268" i="27"/>
  <c r="M268" i="27"/>
  <c r="AM234" i="27"/>
  <c r="AM225" i="27"/>
  <c r="AN223" i="27"/>
  <c r="AN219" i="27"/>
  <c r="AN215" i="27"/>
  <c r="S207" i="27"/>
  <c r="AM193" i="27"/>
  <c r="AM125" i="27"/>
  <c r="AM122" i="27"/>
  <c r="AM103" i="27"/>
  <c r="AM97" i="27"/>
  <c r="AN96" i="27"/>
  <c r="AH66" i="27"/>
  <c r="AN51" i="27"/>
  <c r="AN42" i="27"/>
  <c r="AN41" i="27"/>
  <c r="AI58" i="27"/>
  <c r="AN17" i="27"/>
  <c r="AG92" i="28"/>
  <c r="AC78" i="28"/>
  <c r="AJ70" i="28"/>
  <c r="S40" i="28"/>
  <c r="S99" i="28" s="1"/>
  <c r="K40" i="28"/>
  <c r="AA30" i="28"/>
  <c r="AI16" i="28"/>
  <c r="AN16" i="28" s="1"/>
  <c r="AR16" i="28" s="1"/>
  <c r="AL249" i="26"/>
  <c r="AM249" i="26" s="1"/>
  <c r="AN241" i="26"/>
  <c r="AN232" i="26"/>
  <c r="N217" i="26"/>
  <c r="AL153" i="26"/>
  <c r="AL148" i="26"/>
  <c r="AM148" i="26" s="1"/>
  <c r="AL143" i="26"/>
  <c r="AN122" i="26"/>
  <c r="AL113" i="26"/>
  <c r="AN93" i="26"/>
  <c r="AL81" i="26"/>
  <c r="AL85" i="26" s="1"/>
  <c r="AN74" i="26"/>
  <c r="AN66" i="26"/>
  <c r="AN51" i="26"/>
  <c r="AL45" i="26"/>
  <c r="AN32" i="26"/>
  <c r="AL31" i="26"/>
  <c r="AN251" i="27"/>
  <c r="AN228" i="27"/>
  <c r="AF202" i="27"/>
  <c r="AM181" i="27"/>
  <c r="AN154" i="27"/>
  <c r="AM152" i="27"/>
  <c r="AM144" i="27"/>
  <c r="AN124" i="27"/>
  <c r="AM117" i="27"/>
  <c r="AM114" i="27"/>
  <c r="AM104" i="27"/>
  <c r="AM100" i="27"/>
  <c r="AG75" i="27"/>
  <c r="T77" i="27"/>
  <c r="L77" i="27"/>
  <c r="AM54" i="27"/>
  <c r="AM50" i="27"/>
  <c r="AN37" i="27"/>
  <c r="AM30" i="27"/>
  <c r="AF92" i="28"/>
  <c r="AI18" i="28"/>
  <c r="AN18" i="28" s="1"/>
  <c r="AR18" i="28" s="1"/>
  <c r="AN11" i="28"/>
  <c r="AR11" i="28" s="1"/>
  <c r="G34" i="29"/>
  <c r="G38" i="29"/>
  <c r="AD76" i="26"/>
  <c r="AD70" i="26"/>
  <c r="G11" i="29"/>
  <c r="G20" i="29"/>
  <c r="G21" i="29" s="1"/>
  <c r="H10" i="29"/>
  <c r="AN227" i="26"/>
  <c r="AN23" i="26"/>
  <c r="AM226" i="27"/>
  <c r="AN226" i="27"/>
  <c r="AL251" i="26"/>
  <c r="AM251" i="26" s="1"/>
  <c r="AN244" i="26"/>
  <c r="AL234" i="26"/>
  <c r="AN228" i="26"/>
  <c r="AL226" i="26"/>
  <c r="AN204" i="26"/>
  <c r="AL175" i="26"/>
  <c r="AL135" i="26"/>
  <c r="AL123" i="26"/>
  <c r="AH206" i="26"/>
  <c r="Z206" i="26"/>
  <c r="AL94" i="26"/>
  <c r="AJ68" i="26"/>
  <c r="AL51" i="26"/>
  <c r="AN33" i="26"/>
  <c r="AI69" i="26"/>
  <c r="AI70" i="26" s="1"/>
  <c r="AB78" i="28"/>
  <c r="AJ72" i="28"/>
  <c r="AI68" i="28"/>
  <c r="AN68" i="28" s="1"/>
  <c r="AR68" i="28" s="1"/>
  <c r="AJ68" i="28"/>
  <c r="AI49" i="28"/>
  <c r="AN49" i="28" s="1"/>
  <c r="AR49" i="28" s="1"/>
  <c r="AJ49" i="28"/>
  <c r="AI19" i="28"/>
  <c r="AN19" i="28" s="1"/>
  <c r="AR19" i="28" s="1"/>
  <c r="AJ19" i="28"/>
  <c r="AL259" i="26"/>
  <c r="AL260" i="26"/>
  <c r="AL198" i="26"/>
  <c r="AN168" i="26"/>
  <c r="AL147" i="26"/>
  <c r="AM147" i="26" s="1"/>
  <c r="AL72" i="26"/>
  <c r="AL76" i="26" s="1"/>
  <c r="AL16" i="26"/>
  <c r="Z68" i="26"/>
  <c r="AB68" i="26"/>
  <c r="AL12" i="26"/>
  <c r="D28" i="29"/>
  <c r="C33" i="29"/>
  <c r="AL283" i="26"/>
  <c r="AL262" i="26"/>
  <c r="AN235" i="26"/>
  <c r="AN199" i="26"/>
  <c r="AL194" i="26"/>
  <c r="AN147" i="26"/>
  <c r="G46" i="29"/>
  <c r="AN236" i="26"/>
  <c r="AN223" i="26"/>
  <c r="AN229" i="26"/>
  <c r="M290" i="26"/>
  <c r="AL200" i="26"/>
  <c r="AN185" i="26"/>
  <c r="AL185" i="26"/>
  <c r="AL166" i="26"/>
  <c r="AN102" i="26"/>
  <c r="AJ206" i="26"/>
  <c r="AB206" i="26"/>
  <c r="AL56" i="26"/>
  <c r="AL43" i="26"/>
  <c r="AN273" i="27"/>
  <c r="AH259" i="27"/>
  <c r="AM216" i="27"/>
  <c r="AN216" i="27"/>
  <c r="AM128" i="27"/>
  <c r="AN128" i="27"/>
  <c r="AM34" i="27"/>
  <c r="AN34" i="27"/>
  <c r="G39" i="29"/>
  <c r="H28" i="29"/>
  <c r="G29" i="29"/>
  <c r="AA68" i="26"/>
  <c r="AN221" i="27"/>
  <c r="AM221" i="27"/>
  <c r="AL252" i="26"/>
  <c r="AM252" i="26" s="1"/>
  <c r="AL168" i="26"/>
  <c r="AN15" i="26"/>
  <c r="AF68" i="26"/>
  <c r="AL11" i="26"/>
  <c r="E38" i="29"/>
  <c r="E39" i="29" s="1"/>
  <c r="E34" i="29"/>
  <c r="AL224" i="26"/>
  <c r="AG269" i="26"/>
  <c r="AN243" i="26"/>
  <c r="AN184" i="26"/>
  <c r="AL169" i="26"/>
  <c r="AL130" i="26"/>
  <c r="AB69" i="26"/>
  <c r="AM232" i="27"/>
  <c r="AN232" i="27"/>
  <c r="F11" i="29"/>
  <c r="F20" i="29"/>
  <c r="F21" i="29" s="1"/>
  <c r="F15" i="29"/>
  <c r="F16" i="29" s="1"/>
  <c r="AL255" i="26"/>
  <c r="AL242" i="26"/>
  <c r="F46" i="29"/>
  <c r="B39" i="29"/>
  <c r="B23" i="29"/>
  <c r="G15" i="29"/>
  <c r="G16" i="29" s="1"/>
  <c r="C46" i="29"/>
  <c r="D10" i="29"/>
  <c r="C15" i="29"/>
  <c r="C16" i="29" s="1"/>
  <c r="AN282" i="26"/>
  <c r="AL264" i="26"/>
  <c r="AL256" i="26"/>
  <c r="AN245" i="26"/>
  <c r="AN237" i="26"/>
  <c r="E23" i="29"/>
  <c r="E72" i="29" s="1"/>
  <c r="E74" i="29" s="1"/>
  <c r="AL265" i="26"/>
  <c r="AL257" i="26"/>
  <c r="AN246" i="26"/>
  <c r="AF269" i="26"/>
  <c r="AN238" i="26"/>
  <c r="AN230" i="26"/>
  <c r="AL191" i="26"/>
  <c r="AL152" i="26"/>
  <c r="AM152" i="26" s="1"/>
  <c r="AN148" i="26"/>
  <c r="AL134" i="26"/>
  <c r="AN123" i="26"/>
  <c r="AL115" i="26"/>
  <c r="AL105" i="26"/>
  <c r="AN97" i="26"/>
  <c r="AN58" i="26"/>
  <c r="AM250" i="27"/>
  <c r="AN250" i="27"/>
  <c r="X259" i="27"/>
  <c r="X268" i="27" s="1"/>
  <c r="R280" i="27"/>
  <c r="AM22" i="27"/>
  <c r="AN22" i="27"/>
  <c r="AI68" i="26"/>
  <c r="AI202" i="27"/>
  <c r="AN200" i="27"/>
  <c r="N37" i="29"/>
  <c r="AE69" i="26"/>
  <c r="AE70" i="26" s="1"/>
  <c r="AE68" i="26"/>
  <c r="AL261" i="26"/>
  <c r="AL253" i="26"/>
  <c r="AL240" i="26"/>
  <c r="AL232" i="26"/>
  <c r="AL22" i="26"/>
  <c r="AG69" i="26"/>
  <c r="AG70" i="26" s="1"/>
  <c r="AG68" i="26"/>
  <c r="AN253" i="27"/>
  <c r="AN222" i="27"/>
  <c r="AJ11" i="28"/>
  <c r="C29" i="29"/>
  <c r="AL254" i="26"/>
  <c r="Z212" i="26"/>
  <c r="AL210" i="26"/>
  <c r="AL212" i="26" s="1"/>
  <c r="AN209" i="26"/>
  <c r="AN212" i="26" s="1"/>
  <c r="AL184" i="26"/>
  <c r="AN169" i="26"/>
  <c r="P290" i="26"/>
  <c r="AL263" i="26"/>
  <c r="D64" i="29"/>
  <c r="E63" i="29"/>
  <c r="E59" i="29"/>
  <c r="C11" i="29"/>
  <c r="AL266" i="26"/>
  <c r="AL258" i="26"/>
  <c r="AN250" i="26"/>
  <c r="AH269" i="26"/>
  <c r="Z269" i="26"/>
  <c r="AL250" i="26"/>
  <c r="AM250" i="26" s="1"/>
  <c r="AN247" i="26"/>
  <c r="AN239" i="26"/>
  <c r="AN231" i="26"/>
  <c r="AN201" i="26"/>
  <c r="AL201" i="26"/>
  <c r="AL182" i="26"/>
  <c r="AL162" i="26"/>
  <c r="AL126" i="26"/>
  <c r="AL120" i="26"/>
  <c r="AL117" i="26"/>
  <c r="AL116" i="26"/>
  <c r="AL111" i="26"/>
  <c r="AL106" i="26"/>
  <c r="AL39" i="26"/>
  <c r="AM192" i="27"/>
  <c r="AN192" i="27"/>
  <c r="AN186" i="27"/>
  <c r="AM186" i="27"/>
  <c r="AM167" i="27"/>
  <c r="AN163" i="27"/>
  <c r="AN135" i="27"/>
  <c r="AM135" i="27"/>
  <c r="AI28" i="28"/>
  <c r="AN28" i="28" s="1"/>
  <c r="AR28" i="28" s="1"/>
  <c r="AJ28" i="28"/>
  <c r="W30" i="28"/>
  <c r="U23" i="28"/>
  <c r="AG212" i="26"/>
  <c r="X212" i="26"/>
  <c r="X217" i="26" s="1"/>
  <c r="AL199" i="26"/>
  <c r="AN193" i="26"/>
  <c r="AL193" i="26"/>
  <c r="AN187" i="26"/>
  <c r="AL183" i="26"/>
  <c r="AN177" i="26"/>
  <c r="AL177" i="26"/>
  <c r="AN171" i="26"/>
  <c r="AL167" i="26"/>
  <c r="AN161" i="26"/>
  <c r="AL161" i="26"/>
  <c r="AN155" i="26"/>
  <c r="AN146" i="26"/>
  <c r="AN135" i="26"/>
  <c r="AN132" i="26"/>
  <c r="AL128" i="26"/>
  <c r="AL125" i="26"/>
  <c r="AL124" i="26"/>
  <c r="AL119" i="26"/>
  <c r="AL114" i="26"/>
  <c r="AN112" i="26"/>
  <c r="AN105" i="26"/>
  <c r="AN103" i="26"/>
  <c r="AN100" i="26"/>
  <c r="AL96" i="26"/>
  <c r="AL93" i="26"/>
  <c r="AN72" i="26"/>
  <c r="AN56" i="26"/>
  <c r="AL55" i="26"/>
  <c r="AN45" i="26"/>
  <c r="AL38" i="26"/>
  <c r="AL32" i="26"/>
  <c r="AL21" i="26"/>
  <c r="AD68" i="26"/>
  <c r="AN255" i="27"/>
  <c r="AM248" i="27"/>
  <c r="AN248" i="27"/>
  <c r="AM246" i="27"/>
  <c r="AM200" i="27"/>
  <c r="AM172" i="27"/>
  <c r="AN172" i="27"/>
  <c r="AM164" i="27"/>
  <c r="AN164" i="27"/>
  <c r="AM162" i="27"/>
  <c r="AN127" i="27"/>
  <c r="AM127" i="27"/>
  <c r="AM33" i="27"/>
  <c r="AN33" i="27"/>
  <c r="AN210" i="26"/>
  <c r="AL202" i="26"/>
  <c r="AN198" i="26"/>
  <c r="AN182" i="26"/>
  <c r="AN166" i="26"/>
  <c r="AN138" i="26"/>
  <c r="AL129" i="26"/>
  <c r="AN115" i="26"/>
  <c r="AL107" i="26"/>
  <c r="AN106" i="26"/>
  <c r="AL97" i="26"/>
  <c r="AN94" i="26"/>
  <c r="AK76" i="26"/>
  <c r="AC76" i="26"/>
  <c r="R87" i="26"/>
  <c r="R290" i="26" s="1"/>
  <c r="AN64" i="26"/>
  <c r="AL63" i="26"/>
  <c r="AN53" i="26"/>
  <c r="AL46" i="26"/>
  <c r="AL40" i="26"/>
  <c r="AL29" i="26"/>
  <c r="AL17" i="26"/>
  <c r="AN16" i="26"/>
  <c r="AM254" i="27"/>
  <c r="AN247" i="27"/>
  <c r="AM217" i="27"/>
  <c r="AN217" i="27"/>
  <c r="O280" i="27"/>
  <c r="AM28" i="27"/>
  <c r="AN28" i="27"/>
  <c r="U83" i="28"/>
  <c r="AR82" i="28"/>
  <c r="AL112" i="26"/>
  <c r="AL108" i="26"/>
  <c r="AL53" i="26"/>
  <c r="AL35" i="26"/>
  <c r="AN24" i="26"/>
  <c r="AL23" i="26"/>
  <c r="AM249" i="27"/>
  <c r="AN249" i="27"/>
  <c r="AN225" i="27"/>
  <c r="AM224" i="27"/>
  <c r="AM222" i="27"/>
  <c r="AJ66" i="27"/>
  <c r="AM62" i="27"/>
  <c r="AM66" i="27" s="1"/>
  <c r="AL204" i="26"/>
  <c r="AL186" i="26"/>
  <c r="AL170" i="26"/>
  <c r="AL154" i="26"/>
  <c r="AL146" i="26"/>
  <c r="AL145" i="26"/>
  <c r="AN143" i="26"/>
  <c r="AN139" i="26"/>
  <c r="AL131" i="26"/>
  <c r="AN130" i="26"/>
  <c r="AL121" i="26"/>
  <c r="AN107" i="26"/>
  <c r="AL99" i="26"/>
  <c r="AN98" i="26"/>
  <c r="AB70" i="26"/>
  <c r="AL59" i="26"/>
  <c r="AN54" i="26"/>
  <c r="AN48" i="26"/>
  <c r="AL47" i="26"/>
  <c r="AN37" i="26"/>
  <c r="AL30" i="26"/>
  <c r="AL24" i="26"/>
  <c r="AM257" i="27"/>
  <c r="AN257" i="27"/>
  <c r="AM256" i="27"/>
  <c r="AN243" i="27"/>
  <c r="AJ259" i="27"/>
  <c r="AM233" i="27"/>
  <c r="AM179" i="27"/>
  <c r="AN179" i="27"/>
  <c r="AM176" i="27"/>
  <c r="AN176" i="27"/>
  <c r="AN168" i="27"/>
  <c r="AM163" i="27"/>
  <c r="AD196" i="27"/>
  <c r="AN116" i="26"/>
  <c r="AL98" i="26"/>
  <c r="AN96" i="26"/>
  <c r="AF206" i="26"/>
  <c r="AL64" i="26"/>
  <c r="AN30" i="26"/>
  <c r="AI212" i="26"/>
  <c r="AA212" i="26"/>
  <c r="AN203" i="26"/>
  <c r="AN192" i="26"/>
  <c r="AL192" i="26"/>
  <c r="AN176" i="26"/>
  <c r="AL176" i="26"/>
  <c r="AN160" i="26"/>
  <c r="AL160" i="26"/>
  <c r="AN152" i="26"/>
  <c r="AL150" i="26"/>
  <c r="AM150" i="26" s="1"/>
  <c r="AN144" i="26"/>
  <c r="AL136" i="26"/>
  <c r="AL133" i="26"/>
  <c r="AL132" i="26"/>
  <c r="AL127" i="26"/>
  <c r="AL122" i="26"/>
  <c r="AN120" i="26"/>
  <c r="AN113" i="26"/>
  <c r="AN111" i="26"/>
  <c r="AN108" i="26"/>
  <c r="AL104" i="26"/>
  <c r="AI206" i="26"/>
  <c r="AL101" i="26"/>
  <c r="AA206" i="26"/>
  <c r="AL100" i="26"/>
  <c r="AL95" i="26"/>
  <c r="AN61" i="26"/>
  <c r="AL54" i="26"/>
  <c r="AL48" i="26"/>
  <c r="AL37" i="26"/>
  <c r="AL19" i="26"/>
  <c r="AL15" i="26"/>
  <c r="AH68" i="26"/>
  <c r="Z69" i="26"/>
  <c r="Z70" i="26" s="1"/>
  <c r="X68" i="26"/>
  <c r="AN12" i="26"/>
  <c r="AF69" i="26"/>
  <c r="AF70" i="26" s="1"/>
  <c r="AM262" i="27"/>
  <c r="AN262" i="27"/>
  <c r="AM243" i="27"/>
  <c r="AL259" i="27"/>
  <c r="AN239" i="27"/>
  <c r="AM237" i="27"/>
  <c r="AF259" i="27"/>
  <c r="AM236" i="27"/>
  <c r="AC259" i="27"/>
  <c r="AM229" i="27"/>
  <c r="AN229" i="27"/>
  <c r="AM218" i="27"/>
  <c r="AM214" i="27"/>
  <c r="AN214" i="27"/>
  <c r="AM94" i="27"/>
  <c r="AN94" i="27"/>
  <c r="AN149" i="26"/>
  <c r="AL144" i="26"/>
  <c r="AL142" i="26"/>
  <c r="AE85" i="26"/>
  <c r="AN73" i="26"/>
  <c r="AL60" i="26"/>
  <c r="AL52" i="26"/>
  <c r="AL44" i="26"/>
  <c r="AL36" i="26"/>
  <c r="AL28" i="26"/>
  <c r="AL20" i="26"/>
  <c r="AK68" i="26"/>
  <c r="AC68" i="26"/>
  <c r="AM252" i="27"/>
  <c r="AM245" i="27"/>
  <c r="AN245" i="27"/>
  <c r="AM241" i="27"/>
  <c r="AM240" i="27"/>
  <c r="AM238" i="27"/>
  <c r="AM230" i="27"/>
  <c r="AM220" i="27"/>
  <c r="M280" i="27"/>
  <c r="AM183" i="27"/>
  <c r="AN151" i="27"/>
  <c r="AM151" i="27"/>
  <c r="AK196" i="27"/>
  <c r="AM91" i="27"/>
  <c r="AN91" i="27"/>
  <c r="AC196" i="27"/>
  <c r="X196" i="27"/>
  <c r="X207" i="27" s="1"/>
  <c r="AM36" i="27"/>
  <c r="Y36" i="28"/>
  <c r="AI36" i="28" s="1"/>
  <c r="AJ35" i="28"/>
  <c r="AJ36" i="28" s="1"/>
  <c r="AL195" i="26"/>
  <c r="AN194" i="26"/>
  <c r="AL187" i="26"/>
  <c r="AN186" i="26"/>
  <c r="AL179" i="26"/>
  <c r="AN178" i="26"/>
  <c r="AL172" i="26"/>
  <c r="AL171" i="26"/>
  <c r="AN170" i="26"/>
  <c r="AL164" i="26"/>
  <c r="AL163" i="26"/>
  <c r="AL156" i="26"/>
  <c r="AL155" i="26"/>
  <c r="AN153" i="26"/>
  <c r="AA70" i="26"/>
  <c r="AL65" i="26"/>
  <c r="AL57" i="26"/>
  <c r="AL49" i="26"/>
  <c r="AL41" i="26"/>
  <c r="AL33" i="26"/>
  <c r="AL25" i="26"/>
  <c r="AM242" i="27"/>
  <c r="AN242" i="27"/>
  <c r="AN227" i="27"/>
  <c r="U280" i="27"/>
  <c r="AM191" i="27"/>
  <c r="AN178" i="27"/>
  <c r="AM147" i="27"/>
  <c r="AN147" i="27"/>
  <c r="AM139" i="27"/>
  <c r="AN139" i="27"/>
  <c r="AF196" i="27"/>
  <c r="AM88" i="27"/>
  <c r="AM56" i="27"/>
  <c r="AL196" i="26"/>
  <c r="AN191" i="26"/>
  <c r="AL188" i="26"/>
  <c r="AN183" i="26"/>
  <c r="AL180" i="26"/>
  <c r="AN175" i="26"/>
  <c r="AN167" i="26"/>
  <c r="AN162" i="26"/>
  <c r="AN159" i="26"/>
  <c r="AN154" i="26"/>
  <c r="AN81" i="26"/>
  <c r="AN85" i="26" s="1"/>
  <c r="X85" i="26"/>
  <c r="AL74" i="26"/>
  <c r="AH70" i="26"/>
  <c r="V87" i="26"/>
  <c r="V290" i="26" s="1"/>
  <c r="N87" i="26"/>
  <c r="N290" i="26" s="1"/>
  <c r="AL66" i="26"/>
  <c r="AL58" i="26"/>
  <c r="AL50" i="26"/>
  <c r="AL42" i="26"/>
  <c r="AL34" i="26"/>
  <c r="AL26" i="26"/>
  <c r="AN252" i="27"/>
  <c r="AN240" i="27"/>
  <c r="AD259" i="27"/>
  <c r="AI259" i="27"/>
  <c r="AM227" i="27"/>
  <c r="AN220" i="27"/>
  <c r="AM213" i="27"/>
  <c r="AN188" i="27"/>
  <c r="AN185" i="27"/>
  <c r="AN174" i="27"/>
  <c r="AN173" i="27"/>
  <c r="AM173" i="27"/>
  <c r="AM138" i="27"/>
  <c r="AN111" i="27"/>
  <c r="AM111" i="27"/>
  <c r="AG196" i="27"/>
  <c r="AN88" i="27"/>
  <c r="AF59" i="27"/>
  <c r="AF60" i="27" s="1"/>
  <c r="AI71" i="28"/>
  <c r="X78" i="28"/>
  <c r="AJ71" i="28"/>
  <c r="U78" i="28"/>
  <c r="AN13" i="26"/>
  <c r="AM255" i="27"/>
  <c r="AM239" i="27"/>
  <c r="AM223" i="27"/>
  <c r="AM185" i="27"/>
  <c r="AM182" i="27"/>
  <c r="AN148" i="27"/>
  <c r="AM146" i="27"/>
  <c r="AN145" i="27"/>
  <c r="AM123" i="27"/>
  <c r="AM108" i="27"/>
  <c r="AN89" i="27"/>
  <c r="AE196" i="27"/>
  <c r="AM24" i="27"/>
  <c r="AN24" i="27"/>
  <c r="AJ58" i="27"/>
  <c r="X58" i="27"/>
  <c r="X77" i="27" s="1"/>
  <c r="AI72" i="28"/>
  <c r="AN72" i="28" s="1"/>
  <c r="AR72" i="28" s="1"/>
  <c r="O99" i="28"/>
  <c r="AN17" i="26"/>
  <c r="AM263" i="27"/>
  <c r="AM247" i="27"/>
  <c r="AM231" i="27"/>
  <c r="AM215" i="27"/>
  <c r="AM199" i="27"/>
  <c r="AN199" i="27"/>
  <c r="AM175" i="27"/>
  <c r="AM157" i="27"/>
  <c r="AM155" i="27"/>
  <c r="AN146" i="27"/>
  <c r="AN143" i="27"/>
  <c r="AM143" i="27"/>
  <c r="AN129" i="27"/>
  <c r="AM96" i="27"/>
  <c r="AN55" i="27"/>
  <c r="AN36" i="27"/>
  <c r="AM35" i="27"/>
  <c r="AI14" i="28"/>
  <c r="AN14" i="28" s="1"/>
  <c r="AR14" i="28" s="1"/>
  <c r="AJ14" i="28"/>
  <c r="W23" i="28"/>
  <c r="AN18" i="26"/>
  <c r="AM244" i="27"/>
  <c r="AM228" i="27"/>
  <c r="AN194" i="27"/>
  <c r="AM187" i="27"/>
  <c r="AM184" i="27"/>
  <c r="AN184" i="27"/>
  <c r="AN180" i="27"/>
  <c r="AN177" i="27"/>
  <c r="AM171" i="27"/>
  <c r="AN171" i="27"/>
  <c r="AM156" i="27"/>
  <c r="AN156" i="27"/>
  <c r="AN153" i="27"/>
  <c r="AM133" i="27"/>
  <c r="AM131" i="27"/>
  <c r="AN119" i="27"/>
  <c r="AM119" i="27"/>
  <c r="AN98" i="27"/>
  <c r="AH196" i="27"/>
  <c r="AM84" i="27"/>
  <c r="AN84" i="27"/>
  <c r="AM72" i="27"/>
  <c r="AM75" i="27" s="1"/>
  <c r="AM53" i="27"/>
  <c r="AN53" i="27"/>
  <c r="AN30" i="27"/>
  <c r="AM25" i="27"/>
  <c r="AN25" i="27"/>
  <c r="AN23" i="27"/>
  <c r="AH58" i="27"/>
  <c r="M99" i="28"/>
  <c r="AN20" i="28"/>
  <c r="AR20" i="28" s="1"/>
  <c r="AD15" i="28"/>
  <c r="AD23" i="28" s="1"/>
  <c r="AE15" i="28"/>
  <c r="AE23" i="28" s="1"/>
  <c r="AF15" i="28"/>
  <c r="AF23" i="28" s="1"/>
  <c r="AG15" i="28"/>
  <c r="AG23" i="28" s="1"/>
  <c r="AB15" i="28"/>
  <c r="AB23" i="28" s="1"/>
  <c r="AA15" i="28"/>
  <c r="AA23" i="28" s="1"/>
  <c r="AC15" i="28"/>
  <c r="AC23" i="28" s="1"/>
  <c r="AH15" i="28"/>
  <c r="AH23" i="28" s="1"/>
  <c r="AG85" i="26"/>
  <c r="AN11" i="26"/>
  <c r="AM251" i="27"/>
  <c r="AM235" i="27"/>
  <c r="AM219" i="27"/>
  <c r="AM177" i="27"/>
  <c r="AM168" i="27"/>
  <c r="AN162" i="27"/>
  <c r="AM159" i="27"/>
  <c r="AN132" i="27"/>
  <c r="AM130" i="27"/>
  <c r="AN101" i="27"/>
  <c r="AM101" i="27"/>
  <c r="AN90" i="27"/>
  <c r="AN87" i="27"/>
  <c r="AM87" i="27"/>
  <c r="T280" i="27"/>
  <c r="L280" i="27"/>
  <c r="S77" i="27"/>
  <c r="S280" i="27" s="1"/>
  <c r="AC59" i="27"/>
  <c r="AC60" i="27" s="1"/>
  <c r="AM21" i="27"/>
  <c r="AC58" i="27"/>
  <c r="AN21" i="27"/>
  <c r="AN11" i="27"/>
  <c r="AI81" i="28"/>
  <c r="AN81" i="28" s="1"/>
  <c r="AR81" i="28" s="1"/>
  <c r="AJ81" i="28"/>
  <c r="I99" i="28"/>
  <c r="AI27" i="28"/>
  <c r="AN27" i="28" s="1"/>
  <c r="AR27" i="28" s="1"/>
  <c r="Z30" i="28"/>
  <c r="AN167" i="27"/>
  <c r="AM158" i="27"/>
  <c r="AM150" i="27"/>
  <c r="AM142" i="27"/>
  <c r="AM134" i="27"/>
  <c r="AM126" i="27"/>
  <c r="AM118" i="27"/>
  <c r="AM115" i="27"/>
  <c r="AN115" i="27"/>
  <c r="AN108" i="27"/>
  <c r="AN93" i="27"/>
  <c r="AM86" i="27"/>
  <c r="AM83" i="27"/>
  <c r="AN83" i="27"/>
  <c r="AL60" i="27"/>
  <c r="AL66" i="27"/>
  <c r="AD60" i="27"/>
  <c r="AD66" i="27"/>
  <c r="AN63" i="27"/>
  <c r="AM48" i="27"/>
  <c r="AN48" i="27"/>
  <c r="AM45" i="27"/>
  <c r="AN43" i="27"/>
  <c r="AM27" i="27"/>
  <c r="AM16" i="27"/>
  <c r="AN16" i="27"/>
  <c r="AM13" i="27"/>
  <c r="AI82" i="28"/>
  <c r="AN82" i="28" s="1"/>
  <c r="AJ82" i="28"/>
  <c r="AI69" i="28"/>
  <c r="AN69" i="28" s="1"/>
  <c r="AR69" i="28" s="1"/>
  <c r="AJ69" i="28"/>
  <c r="K99" i="28"/>
  <c r="AJ27" i="28"/>
  <c r="AI17" i="28"/>
  <c r="AN17" i="28" s="1"/>
  <c r="AR17" i="28" s="1"/>
  <c r="AJ17" i="28"/>
  <c r="AN191" i="27"/>
  <c r="AN183" i="27"/>
  <c r="AM169" i="27"/>
  <c r="AM148" i="27"/>
  <c r="AM140" i="27"/>
  <c r="AM132" i="27"/>
  <c r="AM124" i="27"/>
  <c r="AM116" i="27"/>
  <c r="AM113" i="27"/>
  <c r="AN106" i="27"/>
  <c r="AN95" i="27"/>
  <c r="AM90" i="27"/>
  <c r="AN71" i="27"/>
  <c r="AN75" i="27" s="1"/>
  <c r="AD75" i="27"/>
  <c r="AN56" i="27"/>
  <c r="AM55" i="27"/>
  <c r="AM41" i="27"/>
  <c r="AN39" i="27"/>
  <c r="AM23" i="27"/>
  <c r="AJ59" i="27"/>
  <c r="AJ60" i="27" s="1"/>
  <c r="AL58" i="27"/>
  <c r="AD58" i="27"/>
  <c r="AN12" i="27"/>
  <c r="AI76" i="28"/>
  <c r="AN76" i="28" s="1"/>
  <c r="AR76" i="28" s="1"/>
  <c r="AI26" i="28"/>
  <c r="AN26" i="28" s="1"/>
  <c r="AR26" i="28" s="1"/>
  <c r="AJ26" i="28"/>
  <c r="AJ20" i="28"/>
  <c r="AM174" i="27"/>
  <c r="AN165" i="27"/>
  <c r="AN109" i="27"/>
  <c r="AM102" i="27"/>
  <c r="AM99" i="27"/>
  <c r="AN99" i="27"/>
  <c r="AM92" i="27"/>
  <c r="AN92" i="27"/>
  <c r="AM64" i="27"/>
  <c r="AE66" i="27"/>
  <c r="AM44" i="27"/>
  <c r="AM43" i="27"/>
  <c r="AM29" i="27"/>
  <c r="AN27" i="27"/>
  <c r="AM12" i="27"/>
  <c r="AM11" i="27"/>
  <c r="AG58" i="27"/>
  <c r="AI74" i="28"/>
  <c r="AN74" i="28" s="1"/>
  <c r="AR74" i="28" s="1"/>
  <c r="AD30" i="28"/>
  <c r="U30" i="28"/>
  <c r="AJ18" i="28"/>
  <c r="AR13" i="28"/>
  <c r="AI12" i="28"/>
  <c r="AN12" i="28" s="1"/>
  <c r="AR12" i="28" s="1"/>
  <c r="AJ12" i="28"/>
  <c r="AN170" i="27"/>
  <c r="AM161" i="27"/>
  <c r="AM153" i="27"/>
  <c r="AM145" i="27"/>
  <c r="AM137" i="27"/>
  <c r="AM129" i="27"/>
  <c r="AM121" i="27"/>
  <c r="AN114" i="27"/>
  <c r="AN103" i="27"/>
  <c r="AM98" i="27"/>
  <c r="AM89" i="27"/>
  <c r="AG60" i="27"/>
  <c r="AM52" i="27"/>
  <c r="AN52" i="27"/>
  <c r="AM49" i="27"/>
  <c r="AN47" i="27"/>
  <c r="AM32" i="27"/>
  <c r="AM31" i="27"/>
  <c r="AM20" i="27"/>
  <c r="AN20" i="27"/>
  <c r="AH59" i="27"/>
  <c r="AH60" i="27" s="1"/>
  <c r="AM17" i="27"/>
  <c r="AN15" i="27"/>
  <c r="AF58" i="27"/>
  <c r="AI75" i="28"/>
  <c r="AN75" i="28" s="1"/>
  <c r="AR75" i="28" s="1"/>
  <c r="AJ75" i="28"/>
  <c r="AR48" i="28"/>
  <c r="AR51" i="28" s="1"/>
  <c r="AR61" i="28" s="1"/>
  <c r="U51" i="28"/>
  <c r="U61" i="28" s="1"/>
  <c r="AC30" i="28"/>
  <c r="AJ16" i="28"/>
  <c r="AM166" i="27"/>
  <c r="AN158" i="27"/>
  <c r="AN157" i="27"/>
  <c r="AN150" i="27"/>
  <c r="AN149" i="27"/>
  <c r="AN142" i="27"/>
  <c r="AN141" i="27"/>
  <c r="AN134" i="27"/>
  <c r="AN133" i="27"/>
  <c r="AN126" i="27"/>
  <c r="AN125" i="27"/>
  <c r="AN118" i="27"/>
  <c r="AN117" i="27"/>
  <c r="AM110" i="27"/>
  <c r="AM107" i="27"/>
  <c r="AN107" i="27"/>
  <c r="AM93" i="27"/>
  <c r="AN86" i="27"/>
  <c r="AN85" i="27"/>
  <c r="AI75" i="27"/>
  <c r="AN62" i="27"/>
  <c r="AC66" i="27"/>
  <c r="V77" i="27"/>
  <c r="V280" i="27" s="1"/>
  <c r="N77" i="27"/>
  <c r="N280" i="27" s="1"/>
  <c r="AM51" i="27"/>
  <c r="AN45" i="27"/>
  <c r="AM37" i="27"/>
  <c r="AN35" i="27"/>
  <c r="AM19" i="27"/>
  <c r="AN13" i="27"/>
  <c r="AE58" i="27"/>
  <c r="AI73" i="28"/>
  <c r="AN73" i="28" s="1"/>
  <c r="AR73" i="28" s="1"/>
  <c r="AJ73" i="28"/>
  <c r="AI21" i="28"/>
  <c r="AN21" i="28" s="1"/>
  <c r="AR21" i="28" s="1"/>
  <c r="AJ21" i="28"/>
  <c r="AH92" i="28"/>
  <c r="Z92" i="28"/>
  <c r="AI35" i="28"/>
  <c r="AN35" i="28" s="1"/>
  <c r="AR35" i="28" s="1"/>
  <c r="AR36" i="28" s="1"/>
  <c r="AE92" i="28"/>
  <c r="Y15" i="28"/>
  <c r="Y23" i="28" s="1"/>
  <c r="X15" i="28"/>
  <c r="X23" i="28" s="1"/>
  <c r="AN100" i="27"/>
  <c r="AN44" i="27"/>
  <c r="AN40" i="27"/>
  <c r="AN32" i="27"/>
  <c r="AC92" i="28"/>
  <c r="N73" i="29"/>
  <c r="AL207" i="26" l="1"/>
  <c r="G23" i="29"/>
  <c r="AN68" i="26"/>
  <c r="AN202" i="27"/>
  <c r="B72" i="29"/>
  <c r="B74" i="29" s="1"/>
  <c r="AN59" i="27"/>
  <c r="AN60" i="27" s="1"/>
  <c r="U40" i="28"/>
  <c r="AN208" i="26"/>
  <c r="AJ78" i="28"/>
  <c r="E41" i="29"/>
  <c r="E77" i="29" s="1"/>
  <c r="AM202" i="27"/>
  <c r="AN259" i="27"/>
  <c r="AR30" i="28"/>
  <c r="AR23" i="28"/>
  <c r="AR40" i="28" s="1"/>
  <c r="AR83" i="28"/>
  <c r="AM259" i="27"/>
  <c r="B41" i="29"/>
  <c r="B77" i="29" s="1"/>
  <c r="C38" i="29"/>
  <c r="C39" i="29" s="1"/>
  <c r="C41" i="29" s="1"/>
  <c r="C34" i="29"/>
  <c r="AO73" i="26"/>
  <c r="G47" i="29"/>
  <c r="G56" i="29"/>
  <c r="G57" i="29" s="1"/>
  <c r="G51" i="29"/>
  <c r="G52" i="29" s="1"/>
  <c r="AM58" i="27"/>
  <c r="AJ30" i="28"/>
  <c r="AN58" i="27"/>
  <c r="AI78" i="28"/>
  <c r="AN71" i="28"/>
  <c r="AR71" i="28" s="1"/>
  <c r="AR78" i="28" s="1"/>
  <c r="AR86" i="28" s="1"/>
  <c r="AN69" i="26"/>
  <c r="AN70" i="26" s="1"/>
  <c r="AN207" i="26"/>
  <c r="AN269" i="26"/>
  <c r="F47" i="29"/>
  <c r="F56" i="29"/>
  <c r="F57" i="29" s="1"/>
  <c r="F51" i="29"/>
  <c r="F52" i="29" s="1"/>
  <c r="D33" i="29"/>
  <c r="D29" i="29"/>
  <c r="X87" i="26"/>
  <c r="X290" i="26" s="1"/>
  <c r="AN206" i="26"/>
  <c r="AL69" i="26"/>
  <c r="AL70" i="26" s="1"/>
  <c r="AN66" i="27"/>
  <c r="X280" i="27"/>
  <c r="AN76" i="26"/>
  <c r="C23" i="29"/>
  <c r="D11" i="29"/>
  <c r="D20" i="29"/>
  <c r="D21" i="29" s="1"/>
  <c r="D15" i="29"/>
  <c r="D16" i="29" s="1"/>
  <c r="D46" i="29"/>
  <c r="AL68" i="26"/>
  <c r="AL269" i="26"/>
  <c r="AJ15" i="28"/>
  <c r="AJ23" i="28" s="1"/>
  <c r="AN196" i="27"/>
  <c r="AN198" i="27"/>
  <c r="AM196" i="27"/>
  <c r="AM198" i="27"/>
  <c r="AI30" i="28"/>
  <c r="C51" i="29"/>
  <c r="C52" i="29" s="1"/>
  <c r="C47" i="29"/>
  <c r="C56" i="29"/>
  <c r="C57" i="29" s="1"/>
  <c r="G41" i="29"/>
  <c r="G77" i="29" s="1"/>
  <c r="H15" i="29"/>
  <c r="H16" i="29" s="1"/>
  <c r="H46" i="29"/>
  <c r="H20" i="29"/>
  <c r="H21" i="29" s="1"/>
  <c r="H11" i="29"/>
  <c r="I10" i="29"/>
  <c r="AI15" i="28"/>
  <c r="AI23" i="28" s="1"/>
  <c r="AM197" i="27"/>
  <c r="AN197" i="27"/>
  <c r="AM59" i="27"/>
  <c r="AM60" i="27" s="1"/>
  <c r="U86" i="28"/>
  <c r="AL208" i="26"/>
  <c r="AL206" i="26"/>
  <c r="E64" i="29"/>
  <c r="F63" i="29"/>
  <c r="F23" i="29"/>
  <c r="I28" i="29"/>
  <c r="H33" i="29"/>
  <c r="H29" i="29"/>
  <c r="N78" i="29"/>
  <c r="B79" i="29"/>
  <c r="E79" i="29"/>
  <c r="F79" i="29"/>
  <c r="G79" i="29"/>
  <c r="B81" i="29"/>
  <c r="C81" i="29"/>
  <c r="D81" i="29"/>
  <c r="U99" i="28" l="1"/>
  <c r="AN99" i="28"/>
  <c r="G59" i="29"/>
  <c r="G72" i="29" s="1"/>
  <c r="G74" i="29" s="1"/>
  <c r="D23" i="29"/>
  <c r="H34" i="29"/>
  <c r="H38" i="29"/>
  <c r="H39" i="29" s="1"/>
  <c r="H41" i="29" s="1"/>
  <c r="H77" i="29" s="1"/>
  <c r="H79" i="29" s="1"/>
  <c r="H51" i="29"/>
  <c r="H52" i="29" s="1"/>
  <c r="H56" i="29"/>
  <c r="H57" i="29" s="1"/>
  <c r="H47" i="29"/>
  <c r="I29" i="29"/>
  <c r="I33" i="29"/>
  <c r="J28" i="29"/>
  <c r="E81" i="29"/>
  <c r="E83" i="29" s="1"/>
  <c r="AR99" i="28"/>
  <c r="D47" i="29"/>
  <c r="D56" i="29"/>
  <c r="D57" i="29" s="1"/>
  <c r="D51" i="29"/>
  <c r="D52" i="29" s="1"/>
  <c r="D38" i="29"/>
  <c r="D39" i="29" s="1"/>
  <c r="D34" i="29"/>
  <c r="C77" i="29"/>
  <c r="C79" i="29" s="1"/>
  <c r="G63" i="29"/>
  <c r="F64" i="29"/>
  <c r="F81" i="29" s="1"/>
  <c r="F83" i="29" s="1"/>
  <c r="C59" i="29"/>
  <c r="C72" i="29" s="1"/>
  <c r="J10" i="29"/>
  <c r="I15" i="29"/>
  <c r="I16" i="29" s="1"/>
  <c r="I11" i="29"/>
  <c r="I20" i="29"/>
  <c r="I21" i="29" s="1"/>
  <c r="I46" i="29"/>
  <c r="H23" i="29"/>
  <c r="F59" i="29"/>
  <c r="F72" i="29" s="1"/>
  <c r="F74" i="29" s="1"/>
  <c r="B83" i="29"/>
  <c r="C83" i="29"/>
  <c r="D83" i="29"/>
  <c r="B85" i="29"/>
  <c r="C85" i="29"/>
  <c r="E85" i="29"/>
  <c r="F85" i="29"/>
  <c r="G85" i="29"/>
  <c r="H85" i="29"/>
  <c r="H63" i="29" l="1"/>
  <c r="G64" i="29"/>
  <c r="G81" i="29" s="1"/>
  <c r="G83" i="29" s="1"/>
  <c r="G89" i="29" s="1"/>
  <c r="J29" i="29"/>
  <c r="K28" i="29"/>
  <c r="J33" i="29"/>
  <c r="J46" i="29"/>
  <c r="K10" i="29"/>
  <c r="J15" i="29"/>
  <c r="J16" i="29" s="1"/>
  <c r="J20" i="29"/>
  <c r="J21" i="29" s="1"/>
  <c r="J11" i="29"/>
  <c r="D41" i="29"/>
  <c r="C74" i="29"/>
  <c r="D59" i="29"/>
  <c r="D72" i="29" s="1"/>
  <c r="I23" i="29"/>
  <c r="I38" i="29"/>
  <c r="I39" i="29" s="1"/>
  <c r="I41" i="29" s="1"/>
  <c r="I77" i="29" s="1"/>
  <c r="I79" i="29" s="1"/>
  <c r="I34" i="29"/>
  <c r="H59" i="29"/>
  <c r="H72" i="29" s="1"/>
  <c r="H74" i="29" s="1"/>
  <c r="I51" i="29"/>
  <c r="I52" i="29" s="1"/>
  <c r="I47" i="29"/>
  <c r="I56" i="29"/>
  <c r="I57" i="29" s="1"/>
  <c r="D85" i="29"/>
  <c r="D87" i="29" s="1"/>
  <c r="B87" i="29"/>
  <c r="C87" i="29"/>
  <c r="E87" i="29"/>
  <c r="F87" i="29"/>
  <c r="G87" i="29"/>
  <c r="H87" i="29"/>
  <c r="B89" i="29"/>
  <c r="E89" i="29"/>
  <c r="F89" i="29"/>
  <c r="B99" i="29"/>
  <c r="C99" i="29"/>
  <c r="D99" i="29"/>
  <c r="E99" i="29"/>
  <c r="F99" i="29"/>
  <c r="G99" i="29"/>
  <c r="G119" i="29" s="1"/>
  <c r="G121" i="29" s="1"/>
  <c r="H99" i="29"/>
  <c r="I99" i="29"/>
  <c r="I119" i="29" s="1"/>
  <c r="I121" i="29" s="1"/>
  <c r="J99" i="29"/>
  <c r="K99" i="29"/>
  <c r="L99" i="29"/>
  <c r="M99" i="29"/>
  <c r="B105" i="29"/>
  <c r="B119" i="29" s="1"/>
  <c r="B121" i="29" s="1"/>
  <c r="C105" i="29"/>
  <c r="D105" i="29"/>
  <c r="E105" i="29"/>
  <c r="F105" i="29"/>
  <c r="G105" i="29"/>
  <c r="H105" i="29"/>
  <c r="I105" i="29"/>
  <c r="J105" i="29"/>
  <c r="J119" i="29" s="1"/>
  <c r="J121" i="29" s="1"/>
  <c r="K105" i="29"/>
  <c r="K119" i="29" s="1"/>
  <c r="K121" i="29" s="1"/>
  <c r="L105" i="29"/>
  <c r="M105" i="29"/>
  <c r="B111" i="29"/>
  <c r="C111" i="29"/>
  <c r="D111" i="29"/>
  <c r="E111" i="29"/>
  <c r="F111" i="29"/>
  <c r="G111" i="29"/>
  <c r="H111" i="29"/>
  <c r="I111" i="29"/>
  <c r="J111" i="29"/>
  <c r="K111" i="29"/>
  <c r="L111" i="29"/>
  <c r="M111" i="29"/>
  <c r="B116" i="29"/>
  <c r="C116" i="29"/>
  <c r="D116" i="29"/>
  <c r="E116" i="29"/>
  <c r="F116" i="29"/>
  <c r="G116" i="29"/>
  <c r="H116" i="29"/>
  <c r="I116" i="29"/>
  <c r="J116" i="29"/>
  <c r="K116" i="29"/>
  <c r="L116" i="29"/>
  <c r="M116" i="29"/>
  <c r="G129" i="29"/>
  <c r="G130" i="29"/>
  <c r="I86" i="7" s="1"/>
  <c r="G131" i="29"/>
  <c r="F144" i="29"/>
  <c r="G132" i="29" s="1"/>
  <c r="D3" i="22"/>
  <c r="D4" i="22"/>
  <c r="E4" i="22" s="1"/>
  <c r="D5" i="22"/>
  <c r="E5" i="22" s="1"/>
  <c r="D6" i="22"/>
  <c r="D8" i="22"/>
  <c r="D9" i="22"/>
  <c r="D10" i="22"/>
  <c r="D11" i="22"/>
  <c r="D12" i="22"/>
  <c r="D13" i="22"/>
  <c r="D14" i="22"/>
  <c r="D15" i="22"/>
  <c r="D16" i="22"/>
  <c r="D17" i="22"/>
  <c r="D18" i="22"/>
  <c r="D19" i="22"/>
  <c r="D20" i="22"/>
  <c r="D21" i="22"/>
  <c r="D22" i="22"/>
  <c r="D23" i="22"/>
  <c r="D24" i="22"/>
  <c r="D25" i="22"/>
  <c r="D26" i="22"/>
  <c r="D29" i="22"/>
  <c r="D30" i="22"/>
  <c r="D50" i="22"/>
  <c r="D51" i="22"/>
  <c r="D54" i="22"/>
  <c r="D55" i="22"/>
  <c r="D62" i="22"/>
  <c r="D63" i="22"/>
  <c r="D65" i="22"/>
  <c r="D66" i="22"/>
  <c r="D67" i="22"/>
  <c r="D68" i="22"/>
  <c r="D69" i="22"/>
  <c r="D70" i="22"/>
  <c r="D71" i="22"/>
  <c r="D72" i="22"/>
  <c r="D73" i="22"/>
  <c r="D74" i="22"/>
  <c r="D75" i="22"/>
  <c r="D76" i="22"/>
  <c r="D77" i="22"/>
  <c r="D79" i="22"/>
  <c r="D80" i="22"/>
  <c r="D81" i="22"/>
  <c r="D82" i="22"/>
  <c r="D83" i="22"/>
  <c r="D84" i="22"/>
  <c r="D85" i="22"/>
  <c r="D86" i="22"/>
  <c r="D87" i="22"/>
  <c r="D88" i="22"/>
  <c r="D91" i="22"/>
  <c r="D94" i="22"/>
  <c r="D95" i="22"/>
  <c r="D96" i="22"/>
  <c r="D97" i="22"/>
  <c r="D98" i="22"/>
  <c r="D99" i="22"/>
  <c r="D100" i="22"/>
  <c r="D101" i="22"/>
  <c r="D102" i="22"/>
  <c r="I2" i="17"/>
  <c r="D7" i="7" s="1"/>
  <c r="K2" i="17"/>
  <c r="M2" i="17"/>
  <c r="N2" i="17" s="1"/>
  <c r="I3" i="17"/>
  <c r="D8" i="7" s="1"/>
  <c r="K3" i="17"/>
  <c r="M3" i="17"/>
  <c r="N3" i="17" s="1"/>
  <c r="E8" i="7" s="1"/>
  <c r="I4" i="17"/>
  <c r="C4" i="22" s="1"/>
  <c r="K4" i="17"/>
  <c r="M4" i="17"/>
  <c r="I5" i="17"/>
  <c r="C5" i="22" s="1"/>
  <c r="K5" i="17"/>
  <c r="M5" i="17"/>
  <c r="I6" i="17"/>
  <c r="K6" i="17"/>
  <c r="M6" i="17"/>
  <c r="I7" i="17"/>
  <c r="C6" i="22" s="1"/>
  <c r="K7" i="17"/>
  <c r="F9" i="7" s="1"/>
  <c r="M7" i="17"/>
  <c r="I8" i="17"/>
  <c r="C8" i="22" s="1"/>
  <c r="K8" i="17"/>
  <c r="F10" i="7" s="1"/>
  <c r="M8" i="17"/>
  <c r="I9" i="17"/>
  <c r="D11" i="7" s="1"/>
  <c r="K9" i="17"/>
  <c r="M9" i="17"/>
  <c r="I10" i="17"/>
  <c r="C10" i="22" s="1"/>
  <c r="K10" i="17"/>
  <c r="M10" i="17"/>
  <c r="I11" i="17"/>
  <c r="C11" i="22" s="1"/>
  <c r="K11" i="17"/>
  <c r="M11" i="17"/>
  <c r="I12" i="17"/>
  <c r="K12" i="17"/>
  <c r="M12" i="17"/>
  <c r="I13" i="17"/>
  <c r="D14" i="7" s="1"/>
  <c r="K13" i="17"/>
  <c r="F14" i="7" s="1"/>
  <c r="M13" i="17"/>
  <c r="I14" i="17"/>
  <c r="C12" i="22" s="1"/>
  <c r="K14" i="17"/>
  <c r="M14" i="17"/>
  <c r="I15" i="17"/>
  <c r="D16" i="7" s="1"/>
  <c r="K15" i="17"/>
  <c r="M15" i="17"/>
  <c r="I16" i="17"/>
  <c r="C16" i="22" s="1"/>
  <c r="K16" i="17"/>
  <c r="M16" i="17"/>
  <c r="I17" i="17"/>
  <c r="C15" i="22" s="1"/>
  <c r="K17" i="17"/>
  <c r="M17" i="17"/>
  <c r="I18" i="17"/>
  <c r="K18" i="17"/>
  <c r="F19" i="7" s="1"/>
  <c r="M18" i="17"/>
  <c r="I19" i="17"/>
  <c r="C19" i="22" s="1"/>
  <c r="K19" i="17"/>
  <c r="F20" i="7" s="1"/>
  <c r="M19" i="17"/>
  <c r="I20" i="17"/>
  <c r="D21" i="7" s="1"/>
  <c r="K20" i="17"/>
  <c r="F21" i="7" s="1"/>
  <c r="M20" i="17"/>
  <c r="I21" i="17"/>
  <c r="C23" i="22" s="1"/>
  <c r="K21" i="17"/>
  <c r="F22" i="7" s="1"/>
  <c r="M21" i="17"/>
  <c r="I22" i="17"/>
  <c r="C30" i="22" s="1"/>
  <c r="K22" i="17"/>
  <c r="M22" i="17"/>
  <c r="I23" i="17"/>
  <c r="K23" i="17"/>
  <c r="M23" i="17"/>
  <c r="I24" i="17"/>
  <c r="K24" i="17"/>
  <c r="M24" i="17"/>
  <c r="I25" i="17"/>
  <c r="C24" i="22" s="1"/>
  <c r="K25" i="17"/>
  <c r="L25" i="17"/>
  <c r="M25" i="17"/>
  <c r="I26" i="17"/>
  <c r="D27" i="7" s="1"/>
  <c r="K26" i="17"/>
  <c r="L26" i="17"/>
  <c r="M26" i="17"/>
  <c r="I27" i="17"/>
  <c r="C26" i="22" s="1"/>
  <c r="K27" i="17"/>
  <c r="F28" i="7" s="1"/>
  <c r="L27" i="17"/>
  <c r="M27" i="17"/>
  <c r="I28" i="17"/>
  <c r="C28" i="22" s="1"/>
  <c r="K28" i="17"/>
  <c r="L28" i="17"/>
  <c r="M28" i="17"/>
  <c r="N28" i="17" s="1"/>
  <c r="E29" i="7" s="1"/>
  <c r="I29" i="17"/>
  <c r="C62" i="22" s="1"/>
  <c r="K29" i="17"/>
  <c r="F30" i="7" s="1"/>
  <c r="L29" i="17"/>
  <c r="M29" i="17"/>
  <c r="I30" i="17"/>
  <c r="C63" i="22" s="1"/>
  <c r="K30" i="17"/>
  <c r="L30" i="17"/>
  <c r="M30" i="17"/>
  <c r="N30" i="17" s="1"/>
  <c r="E39" i="7" s="1"/>
  <c r="K31" i="17"/>
  <c r="M31" i="17"/>
  <c r="K32" i="17"/>
  <c r="M32" i="17"/>
  <c r="K33" i="17"/>
  <c r="M33" i="17"/>
  <c r="K34" i="17"/>
  <c r="M34" i="17"/>
  <c r="I35" i="17"/>
  <c r="C66" i="22" s="1"/>
  <c r="K35" i="17"/>
  <c r="F43" i="7" s="1"/>
  <c r="L35" i="17"/>
  <c r="M35" i="17"/>
  <c r="N35" i="17" s="1"/>
  <c r="E43" i="7" s="1"/>
  <c r="P43" i="7" s="1"/>
  <c r="I36" i="17"/>
  <c r="K36" i="17"/>
  <c r="M36" i="17"/>
  <c r="I37" i="17"/>
  <c r="K37" i="17"/>
  <c r="M37" i="17"/>
  <c r="I38" i="17"/>
  <c r="K38" i="17"/>
  <c r="M38" i="17"/>
  <c r="I39" i="17"/>
  <c r="C70" i="22" s="1"/>
  <c r="K39" i="17"/>
  <c r="L39" i="17"/>
  <c r="N39" i="17" s="1"/>
  <c r="E47" i="7" s="1"/>
  <c r="P47" i="7" s="1"/>
  <c r="M39" i="17"/>
  <c r="I40" i="17"/>
  <c r="K40" i="17"/>
  <c r="M40" i="17"/>
  <c r="I41" i="17"/>
  <c r="K41" i="17"/>
  <c r="M41" i="17"/>
  <c r="I42" i="17"/>
  <c r="K42" i="17"/>
  <c r="M42" i="17"/>
  <c r="I43" i="17"/>
  <c r="C74" i="22" s="1"/>
  <c r="K43" i="17"/>
  <c r="F51" i="7" s="1"/>
  <c r="L43" i="17"/>
  <c r="M43" i="17"/>
  <c r="N43" i="17" s="1"/>
  <c r="E51" i="7" s="1"/>
  <c r="I44" i="17"/>
  <c r="K44" i="17"/>
  <c r="M44" i="17"/>
  <c r="I45" i="17"/>
  <c r="K45" i="17"/>
  <c r="M45" i="17"/>
  <c r="I46" i="17"/>
  <c r="K46" i="17"/>
  <c r="M46" i="17"/>
  <c r="I47" i="17"/>
  <c r="K47" i="17"/>
  <c r="F55" i="7" s="1"/>
  <c r="M47" i="17"/>
  <c r="I48" i="17"/>
  <c r="K48" i="17"/>
  <c r="M48" i="17"/>
  <c r="I49" i="17"/>
  <c r="K49" i="17"/>
  <c r="M49" i="17"/>
  <c r="I50" i="17"/>
  <c r="K50" i="17"/>
  <c r="M50" i="17"/>
  <c r="I51" i="17"/>
  <c r="C82" i="22" s="1"/>
  <c r="K51" i="17"/>
  <c r="L51" i="17"/>
  <c r="M51" i="17"/>
  <c r="N51" i="17" s="1"/>
  <c r="E58" i="7" s="1"/>
  <c r="I52" i="17"/>
  <c r="K52" i="17"/>
  <c r="M52" i="17"/>
  <c r="I53" i="17"/>
  <c r="K53" i="17"/>
  <c r="M53" i="17"/>
  <c r="I54" i="17"/>
  <c r="K54" i="17"/>
  <c r="M54" i="17"/>
  <c r="I55" i="17"/>
  <c r="K55" i="17"/>
  <c r="M55" i="17"/>
  <c r="I56" i="17"/>
  <c r="C86" i="22" s="1"/>
  <c r="K56" i="17"/>
  <c r="L56" i="17"/>
  <c r="M56" i="17"/>
  <c r="I57" i="17"/>
  <c r="D42" i="7" s="1"/>
  <c r="K57" i="17"/>
  <c r="M57" i="17"/>
  <c r="N57" i="17"/>
  <c r="E42" i="7" s="1"/>
  <c r="I58" i="17"/>
  <c r="C71" i="22" s="1"/>
  <c r="K58" i="17"/>
  <c r="M58" i="17"/>
  <c r="N58" i="17" s="1"/>
  <c r="E46" i="7" s="1"/>
  <c r="I59" i="17"/>
  <c r="C75" i="22" s="1"/>
  <c r="K59" i="17"/>
  <c r="M59" i="17"/>
  <c r="N59" i="17"/>
  <c r="E50" i="7" s="1"/>
  <c r="I60" i="17"/>
  <c r="C79" i="22" s="1"/>
  <c r="K60" i="17"/>
  <c r="M60" i="17"/>
  <c r="N60" i="17" s="1"/>
  <c r="E54" i="7" s="1"/>
  <c r="I61" i="17"/>
  <c r="C83" i="22" s="1"/>
  <c r="K61" i="17"/>
  <c r="M61" i="17"/>
  <c r="N61" i="17" s="1"/>
  <c r="E57" i="7" s="1"/>
  <c r="P57" i="7" s="1"/>
  <c r="I62" i="17"/>
  <c r="C87" i="22" s="1"/>
  <c r="K62" i="17"/>
  <c r="M62" i="17"/>
  <c r="N62" i="17" s="1"/>
  <c r="I63" i="17"/>
  <c r="K63" i="17"/>
  <c r="M63" i="17"/>
  <c r="N63" i="17"/>
  <c r="I64" i="17"/>
  <c r="C88" i="22" s="1"/>
  <c r="K64" i="17"/>
  <c r="L64" i="17"/>
  <c r="M64" i="17"/>
  <c r="I65" i="17"/>
  <c r="C95" i="22" s="1"/>
  <c r="K65" i="17"/>
  <c r="F64" i="7" s="1"/>
  <c r="L65" i="17"/>
  <c r="M65" i="17"/>
  <c r="I66" i="17"/>
  <c r="C97" i="22" s="1"/>
  <c r="K66" i="17"/>
  <c r="F65" i="7" s="1"/>
  <c r="L66" i="17"/>
  <c r="M66" i="17"/>
  <c r="I67" i="17"/>
  <c r="C91" i="22" s="1"/>
  <c r="K67" i="17"/>
  <c r="F66" i="7" s="1"/>
  <c r="L67" i="17"/>
  <c r="M67" i="17"/>
  <c r="N67" i="17" s="1"/>
  <c r="E66" i="7" s="1"/>
  <c r="I68" i="17"/>
  <c r="K68" i="17"/>
  <c r="F67" i="7" s="1"/>
  <c r="L68" i="17"/>
  <c r="M68" i="17"/>
  <c r="I69" i="17"/>
  <c r="C96" i="22" s="1"/>
  <c r="K69" i="17"/>
  <c r="M69" i="17"/>
  <c r="I70" i="17"/>
  <c r="K70" i="17"/>
  <c r="M70" i="17"/>
  <c r="I71" i="17"/>
  <c r="K71" i="17"/>
  <c r="M71" i="17"/>
  <c r="I72" i="17"/>
  <c r="K72" i="17"/>
  <c r="M72" i="17"/>
  <c r="I73" i="17"/>
  <c r="C98" i="22" s="1"/>
  <c r="K73" i="17"/>
  <c r="M73" i="17"/>
  <c r="I74" i="17"/>
  <c r="K74" i="17"/>
  <c r="M74" i="17"/>
  <c r="I75" i="17"/>
  <c r="K75" i="17"/>
  <c r="M75" i="17"/>
  <c r="I76" i="17"/>
  <c r="C94" i="22" s="1"/>
  <c r="K76" i="17"/>
  <c r="F69" i="7" s="1"/>
  <c r="L76" i="17"/>
  <c r="M76" i="17"/>
  <c r="I77" i="17"/>
  <c r="D70" i="7" s="1"/>
  <c r="M77" i="17"/>
  <c r="I78" i="17"/>
  <c r="C100" i="22" s="1"/>
  <c r="M78" i="17"/>
  <c r="I79" i="17"/>
  <c r="C101" i="22" s="1"/>
  <c r="M79" i="17"/>
  <c r="I80" i="17"/>
  <c r="M80" i="17"/>
  <c r="I81" i="17"/>
  <c r="C102" i="22" s="1"/>
  <c r="M81" i="17"/>
  <c r="I82" i="17"/>
  <c r="K82" i="17"/>
  <c r="M82" i="17"/>
  <c r="I83" i="17"/>
  <c r="K83" i="17"/>
  <c r="M83" i="17"/>
  <c r="K84" i="17"/>
  <c r="F34" i="7" s="1"/>
  <c r="M84" i="17"/>
  <c r="O84" i="17"/>
  <c r="I85" i="17"/>
  <c r="K85" i="17"/>
  <c r="M85" i="17"/>
  <c r="I86" i="17"/>
  <c r="K86" i="17"/>
  <c r="M86" i="17"/>
  <c r="E7" i="7"/>
  <c r="P7" i="7" s="1"/>
  <c r="F7" i="7"/>
  <c r="F8" i="7"/>
  <c r="D9" i="7"/>
  <c r="D10" i="7"/>
  <c r="F11" i="7"/>
  <c r="D12" i="7"/>
  <c r="F12" i="7"/>
  <c r="D13" i="7"/>
  <c r="F13" i="7"/>
  <c r="D15" i="7"/>
  <c r="F15" i="7"/>
  <c r="F16" i="7"/>
  <c r="F17" i="7"/>
  <c r="D18" i="7"/>
  <c r="F18" i="7"/>
  <c r="D20" i="7"/>
  <c r="D22" i="7"/>
  <c r="D23" i="7"/>
  <c r="F23" i="7"/>
  <c r="F24" i="7"/>
  <c r="F25" i="7"/>
  <c r="D26" i="7"/>
  <c r="F26" i="7"/>
  <c r="F27" i="7"/>
  <c r="D28" i="7"/>
  <c r="D29" i="7"/>
  <c r="F29" i="7"/>
  <c r="D30" i="7"/>
  <c r="F32" i="7"/>
  <c r="F33" i="7"/>
  <c r="D36" i="7"/>
  <c r="F36" i="7"/>
  <c r="D37" i="7"/>
  <c r="F37" i="7"/>
  <c r="D39" i="7"/>
  <c r="F39" i="7"/>
  <c r="F40" i="7"/>
  <c r="F41" i="7"/>
  <c r="F42" i="7"/>
  <c r="F44" i="7"/>
  <c r="F45" i="7"/>
  <c r="D46" i="7"/>
  <c r="F46" i="7"/>
  <c r="F47" i="7"/>
  <c r="F48" i="7"/>
  <c r="F49" i="7"/>
  <c r="D50" i="7"/>
  <c r="F50" i="7"/>
  <c r="D51" i="7"/>
  <c r="F52" i="7"/>
  <c r="F53" i="7"/>
  <c r="F54" i="7"/>
  <c r="F57" i="7"/>
  <c r="D58" i="7"/>
  <c r="F58" i="7"/>
  <c r="F59" i="7"/>
  <c r="F60" i="7"/>
  <c r="D61" i="7"/>
  <c r="F61" i="7"/>
  <c r="D62" i="7"/>
  <c r="F62" i="7"/>
  <c r="D63" i="7"/>
  <c r="F63" i="7"/>
  <c r="D64" i="7"/>
  <c r="D66" i="7"/>
  <c r="D67" i="7"/>
  <c r="D68" i="7"/>
  <c r="F68" i="7"/>
  <c r="D69" i="7"/>
  <c r="D72" i="7"/>
  <c r="D73" i="7"/>
  <c r="I87" i="7"/>
  <c r="C7" i="4"/>
  <c r="E7" i="4" s="1"/>
  <c r="D7" i="4"/>
  <c r="H7" i="4"/>
  <c r="C8" i="4"/>
  <c r="C9" i="4"/>
  <c r="L33" i="17" s="1"/>
  <c r="N33" i="17" s="1"/>
  <c r="E9" i="4"/>
  <c r="H9" i="4"/>
  <c r="C10" i="4"/>
  <c r="L32" i="17" s="1"/>
  <c r="N32" i="17" s="1"/>
  <c r="D10" i="4"/>
  <c r="I10" i="4"/>
  <c r="C11" i="4"/>
  <c r="D11" i="4"/>
  <c r="C12" i="4"/>
  <c r="D12" i="4" s="1"/>
  <c r="C13" i="4"/>
  <c r="H13" i="4" s="1"/>
  <c r="E13" i="4"/>
  <c r="F13" i="4"/>
  <c r="I13" i="4"/>
  <c r="C40" i="4"/>
  <c r="C41" i="4"/>
  <c r="C42" i="4"/>
  <c r="C44" i="4"/>
  <c r="K77" i="17" s="1"/>
  <c r="F70" i="7" s="1"/>
  <c r="C45" i="4"/>
  <c r="K78" i="17" s="1"/>
  <c r="F71" i="7" s="1"/>
  <c r="C46" i="4"/>
  <c r="C47" i="4"/>
  <c r="K81" i="17" s="1"/>
  <c r="F73" i="7" s="1"/>
  <c r="C49" i="4"/>
  <c r="C50" i="4"/>
  <c r="C51" i="4"/>
  <c r="C53" i="4"/>
  <c r="C54" i="4"/>
  <c r="D59" i="4"/>
  <c r="H59" i="4"/>
  <c r="D60" i="4"/>
  <c r="H60" i="4"/>
  <c r="C61" i="4"/>
  <c r="E61" i="4" s="1"/>
  <c r="C66" i="4"/>
  <c r="D81" i="7" s="1"/>
  <c r="D82" i="7" s="1"/>
  <c r="D71" i="4"/>
  <c r="D72" i="4"/>
  <c r="C73" i="4"/>
  <c r="E73" i="4" s="1"/>
  <c r="C78" i="4"/>
  <c r="D85" i="7" s="1"/>
  <c r="D86" i="7" s="1"/>
  <c r="C99" i="22" l="1"/>
  <c r="D57" i="7"/>
  <c r="C25" i="22"/>
  <c r="E119" i="29"/>
  <c r="E121" i="29" s="1"/>
  <c r="D13" i="4"/>
  <c r="D9" i="4"/>
  <c r="D71" i="7"/>
  <c r="F56" i="7"/>
  <c r="D43" i="7"/>
  <c r="N66" i="17"/>
  <c r="E65" i="7" s="1"/>
  <c r="P65" i="7" s="1"/>
  <c r="N64" i="17"/>
  <c r="E63" i="7" s="1"/>
  <c r="E61" i="7"/>
  <c r="P61" i="7" s="1"/>
  <c r="L14" i="17"/>
  <c r="C13" i="22"/>
  <c r="C119" i="29"/>
  <c r="C121" i="29" s="1"/>
  <c r="C67" i="22"/>
  <c r="M119" i="29"/>
  <c r="M121" i="29" s="1"/>
  <c r="I12" i="4"/>
  <c r="D54" i="7"/>
  <c r="C17" i="22"/>
  <c r="H10" i="4"/>
  <c r="H12" i="4"/>
  <c r="E10" i="4"/>
  <c r="I7" i="4"/>
  <c r="F35" i="7"/>
  <c r="N13" i="17"/>
  <c r="E14" i="7" s="1"/>
  <c r="C3" i="22"/>
  <c r="L13" i="17"/>
  <c r="C22" i="22"/>
  <c r="H62" i="4"/>
  <c r="H64" i="4" s="1"/>
  <c r="E12" i="4"/>
  <c r="N56" i="17"/>
  <c r="E62" i="7" s="1"/>
  <c r="P62" i="7" s="1"/>
  <c r="N29" i="17"/>
  <c r="E30" i="7" s="1"/>
  <c r="N27" i="17"/>
  <c r="E28" i="7" s="1"/>
  <c r="G28" i="7" s="1"/>
  <c r="N25" i="17"/>
  <c r="E26" i="7" s="1"/>
  <c r="D73" i="4"/>
  <c r="D74" i="4" s="1"/>
  <c r="D61" i="4"/>
  <c r="G50" i="7"/>
  <c r="G47" i="7"/>
  <c r="G46" i="7"/>
  <c r="G42" i="7"/>
  <c r="P42" i="7"/>
  <c r="G30" i="7"/>
  <c r="N65" i="17"/>
  <c r="E64" i="7" s="1"/>
  <c r="P50" i="7"/>
  <c r="N14" i="17"/>
  <c r="E15" i="7" s="1"/>
  <c r="G15" i="7" s="1"/>
  <c r="N26" i="17"/>
  <c r="E27" i="7" s="1"/>
  <c r="P27" i="7" s="1"/>
  <c r="G61" i="7"/>
  <c r="G66" i="7"/>
  <c r="P66" i="7"/>
  <c r="N12" i="17"/>
  <c r="G65" i="7"/>
  <c r="P54" i="7"/>
  <c r="G54" i="7"/>
  <c r="L12" i="17"/>
  <c r="L6" i="17"/>
  <c r="P46" i="7"/>
  <c r="L15" i="17"/>
  <c r="N15" i="17" s="1"/>
  <c r="E16" i="7" s="1"/>
  <c r="L86" i="17"/>
  <c r="N86" i="17" s="1"/>
  <c r="E37" i="7" s="1"/>
  <c r="L10" i="17"/>
  <c r="N10" i="17" s="1"/>
  <c r="L11" i="17"/>
  <c r="N11" i="17" s="1"/>
  <c r="E13" i="7" s="1"/>
  <c r="L40" i="17"/>
  <c r="N40" i="17" s="1"/>
  <c r="L47" i="17"/>
  <c r="N47" i="17" s="1"/>
  <c r="L82" i="17"/>
  <c r="N82" i="17" s="1"/>
  <c r="L22" i="17"/>
  <c r="N22" i="17" s="1"/>
  <c r="E23" i="7" s="1"/>
  <c r="L31" i="17"/>
  <c r="N31" i="17" s="1"/>
  <c r="L44" i="17"/>
  <c r="N44" i="17" s="1"/>
  <c r="F11" i="4"/>
  <c r="L72" i="17"/>
  <c r="N72" i="17" s="1"/>
  <c r="G11" i="4"/>
  <c r="L21" i="17"/>
  <c r="N21" i="17" s="1"/>
  <c r="E22" i="7" s="1"/>
  <c r="L36" i="17"/>
  <c r="N36" i="17" s="1"/>
  <c r="J11" i="4"/>
  <c r="L73" i="17"/>
  <c r="N73" i="17" s="1"/>
  <c r="L77" i="17"/>
  <c r="N77" i="17" s="1"/>
  <c r="E70" i="7" s="1"/>
  <c r="L79" i="17"/>
  <c r="N79" i="17" s="1"/>
  <c r="G29" i="7"/>
  <c r="C20" i="22"/>
  <c r="D25" i="7"/>
  <c r="L16" i="17"/>
  <c r="N16" i="17" s="1"/>
  <c r="E17" i="7" s="1"/>
  <c r="P26" i="7"/>
  <c r="G26" i="7"/>
  <c r="L5" i="17"/>
  <c r="N5" i="17" s="1"/>
  <c r="L55" i="17"/>
  <c r="N55" i="17" s="1"/>
  <c r="F8" i="4"/>
  <c r="L50" i="17"/>
  <c r="N50" i="17" s="1"/>
  <c r="G8" i="4"/>
  <c r="J8" i="4"/>
  <c r="G58" i="7"/>
  <c r="P58" i="7"/>
  <c r="D74" i="29"/>
  <c r="L23" i="17"/>
  <c r="N23" i="17" s="1"/>
  <c r="E24" i="7" s="1"/>
  <c r="L70" i="17"/>
  <c r="N70" i="17" s="1"/>
  <c r="L9" i="17"/>
  <c r="N9" i="17" s="1"/>
  <c r="E11" i="7" s="1"/>
  <c r="L75" i="17"/>
  <c r="N75" i="17" s="1"/>
  <c r="L8" i="17"/>
  <c r="N8" i="17" s="1"/>
  <c r="E10" i="7" s="1"/>
  <c r="L74" i="17"/>
  <c r="N74" i="17" s="1"/>
  <c r="L18" i="17"/>
  <c r="N18" i="17" s="1"/>
  <c r="E19" i="7" s="1"/>
  <c r="F12" i="4"/>
  <c r="L24" i="17"/>
  <c r="N24" i="17" s="1"/>
  <c r="E25" i="7" s="1"/>
  <c r="G12" i="4"/>
  <c r="L34" i="17"/>
  <c r="N34" i="17" s="1"/>
  <c r="L17" i="17"/>
  <c r="N17" i="17" s="1"/>
  <c r="E18" i="7" s="1"/>
  <c r="L71" i="17"/>
  <c r="N71" i="17" s="1"/>
  <c r="G43" i="7"/>
  <c r="G7" i="7"/>
  <c r="L69" i="17"/>
  <c r="N69" i="17" s="1"/>
  <c r="P15" i="7"/>
  <c r="P39" i="7"/>
  <c r="G39" i="7"/>
  <c r="D19" i="7"/>
  <c r="C14" i="22"/>
  <c r="I59" i="29"/>
  <c r="I85" i="29"/>
  <c r="I87" i="29" s="1"/>
  <c r="K33" i="29"/>
  <c r="K29" i="29"/>
  <c r="L28" i="29"/>
  <c r="D24" i="7"/>
  <c r="C21" i="22"/>
  <c r="H11" i="4"/>
  <c r="L78" i="17"/>
  <c r="N78" i="17" s="1"/>
  <c r="E71" i="7" s="1"/>
  <c r="L48" i="17"/>
  <c r="N48" i="17" s="1"/>
  <c r="L83" i="17"/>
  <c r="N83" i="17" s="1"/>
  <c r="L53" i="17"/>
  <c r="N53" i="17" s="1"/>
  <c r="L84" i="17"/>
  <c r="N84" i="17" s="1"/>
  <c r="F10" i="4"/>
  <c r="L37" i="17"/>
  <c r="L80" i="17"/>
  <c r="N80" i="17" s="1"/>
  <c r="G10" i="4"/>
  <c r="L41" i="17"/>
  <c r="J10" i="4"/>
  <c r="L45" i="17"/>
  <c r="L81" i="17"/>
  <c r="N81" i="17" s="1"/>
  <c r="E73" i="7" s="1"/>
  <c r="E8" i="4"/>
  <c r="J87" i="7"/>
  <c r="D65" i="7"/>
  <c r="P29" i="7"/>
  <c r="C18" i="22"/>
  <c r="G51" i="7"/>
  <c r="P63" i="7"/>
  <c r="N45" i="17"/>
  <c r="C64" i="4"/>
  <c r="C65" i="4" s="1"/>
  <c r="C67" i="4" s="1"/>
  <c r="J86" i="7"/>
  <c r="G8" i="7"/>
  <c r="L85" i="17"/>
  <c r="N85" i="17" s="1"/>
  <c r="E36" i="7" s="1"/>
  <c r="F9" i="4"/>
  <c r="L46" i="17"/>
  <c r="N46" i="17" s="1"/>
  <c r="G9" i="4"/>
  <c r="L54" i="17"/>
  <c r="N54" i="17" s="1"/>
  <c r="J9" i="4"/>
  <c r="L38" i="17"/>
  <c r="N38" i="17" s="1"/>
  <c r="L49" i="17"/>
  <c r="N49" i="17" s="1"/>
  <c r="D47" i="7"/>
  <c r="P14" i="7"/>
  <c r="G14" i="7"/>
  <c r="D119" i="29"/>
  <c r="D121" i="29" s="1"/>
  <c r="H119" i="29"/>
  <c r="H121" i="29" s="1"/>
  <c r="J34" i="29"/>
  <c r="J41" i="29" s="1"/>
  <c r="J38" i="29"/>
  <c r="J39" i="29" s="1"/>
  <c r="I8" i="4"/>
  <c r="G63" i="7"/>
  <c r="L42" i="17"/>
  <c r="N42" i="17" s="1"/>
  <c r="C89" i="29"/>
  <c r="I11" i="4"/>
  <c r="H8" i="4"/>
  <c r="F7" i="4"/>
  <c r="G7" i="4"/>
  <c r="J7" i="4"/>
  <c r="P51" i="7"/>
  <c r="C76" i="4"/>
  <c r="C77" i="4" s="1"/>
  <c r="C79" i="4" s="1"/>
  <c r="D62" i="4"/>
  <c r="E11" i="4"/>
  <c r="I9" i="4"/>
  <c r="D8" i="4"/>
  <c r="P8" i="7"/>
  <c r="L52" i="17"/>
  <c r="N52" i="17" s="1"/>
  <c r="N41" i="17"/>
  <c r="L119" i="29"/>
  <c r="L121" i="29" s="1"/>
  <c r="R10" i="17"/>
  <c r="D77" i="29"/>
  <c r="L4" i="17"/>
  <c r="N4" i="17" s="1"/>
  <c r="L20" i="17"/>
  <c r="N20" i="17" s="1"/>
  <c r="E21" i="7" s="1"/>
  <c r="L19" i="17"/>
  <c r="N19" i="17" s="1"/>
  <c r="E20" i="7" s="1"/>
  <c r="L7" i="17"/>
  <c r="N7" i="17" s="1"/>
  <c r="E9" i="7" s="1"/>
  <c r="R9" i="17"/>
  <c r="C29" i="22"/>
  <c r="C2" i="22"/>
  <c r="I63" i="29"/>
  <c r="H64" i="29"/>
  <c r="H81" i="29" s="1"/>
  <c r="H83" i="29" s="1"/>
  <c r="H89" i="29" s="1"/>
  <c r="N76" i="17"/>
  <c r="E69" i="7" s="1"/>
  <c r="N37" i="17"/>
  <c r="G57" i="7"/>
  <c r="D17" i="7"/>
  <c r="R11" i="17"/>
  <c r="P30" i="7"/>
  <c r="N6" i="17"/>
  <c r="C9" i="22"/>
  <c r="K46" i="29"/>
  <c r="K15" i="29"/>
  <c r="K16" i="29" s="1"/>
  <c r="K20" i="29"/>
  <c r="K21" i="29" s="1"/>
  <c r="K11" i="29"/>
  <c r="L10" i="29"/>
  <c r="K80" i="17"/>
  <c r="K79" i="17"/>
  <c r="F72" i="7" s="1"/>
  <c r="G13" i="4"/>
  <c r="N68" i="17"/>
  <c r="F119" i="29"/>
  <c r="F121" i="29" s="1"/>
  <c r="I72" i="29"/>
  <c r="I74" i="29" s="1"/>
  <c r="J56" i="29"/>
  <c r="J57" i="29" s="1"/>
  <c r="J47" i="29"/>
  <c r="J51" i="29"/>
  <c r="J52" i="29" s="1"/>
  <c r="J23" i="29"/>
  <c r="G62" i="7" l="1"/>
  <c r="P28" i="7"/>
  <c r="E67" i="7"/>
  <c r="P67" i="7" s="1"/>
  <c r="G64" i="7"/>
  <c r="P64" i="7"/>
  <c r="E68" i="7"/>
  <c r="G68" i="7" s="1"/>
  <c r="G27" i="7"/>
  <c r="P18" i="7"/>
  <c r="G18" i="7"/>
  <c r="P22" i="7"/>
  <c r="G22" i="7"/>
  <c r="J77" i="29"/>
  <c r="J79" i="29" s="1"/>
  <c r="G25" i="7"/>
  <c r="P25" i="7"/>
  <c r="G36" i="7"/>
  <c r="P36" i="7"/>
  <c r="P19" i="7"/>
  <c r="G19" i="7"/>
  <c r="K23" i="29"/>
  <c r="G69" i="7"/>
  <c r="P69" i="7"/>
  <c r="T9" i="17"/>
  <c r="S9" i="17"/>
  <c r="E72" i="7"/>
  <c r="E12" i="7"/>
  <c r="N87" i="17"/>
  <c r="M28" i="29"/>
  <c r="L33" i="29"/>
  <c r="L29" i="29"/>
  <c r="G24" i="7"/>
  <c r="P24" i="7"/>
  <c r="E55" i="7"/>
  <c r="E56" i="7" s="1"/>
  <c r="E59" i="7"/>
  <c r="E60" i="7" s="1"/>
  <c r="G71" i="7"/>
  <c r="P71" i="7"/>
  <c r="E48" i="7"/>
  <c r="E49" i="7" s="1"/>
  <c r="M10" i="29"/>
  <c r="L11" i="29"/>
  <c r="L20" i="29"/>
  <c r="L21" i="29" s="1"/>
  <c r="L46" i="29"/>
  <c r="L15" i="29"/>
  <c r="L16" i="29" s="1"/>
  <c r="D79" i="29"/>
  <c r="D89" i="29" s="1"/>
  <c r="K38" i="29"/>
  <c r="K39" i="29" s="1"/>
  <c r="K34" i="29"/>
  <c r="G13" i="7"/>
  <c r="P13" i="7"/>
  <c r="S11" i="17"/>
  <c r="T11" i="17"/>
  <c r="G9" i="7"/>
  <c r="P9" i="7"/>
  <c r="P10" i="7"/>
  <c r="G10" i="7"/>
  <c r="G17" i="7"/>
  <c r="P17" i="7"/>
  <c r="P70" i="7"/>
  <c r="G70" i="7"/>
  <c r="E52" i="7"/>
  <c r="E53" i="7" s="1"/>
  <c r="P37" i="7"/>
  <c r="G37" i="7"/>
  <c r="S10" i="17"/>
  <c r="T10" i="17"/>
  <c r="P73" i="7"/>
  <c r="G73" i="7"/>
  <c r="E34" i="7"/>
  <c r="E40" i="7"/>
  <c r="G16" i="7"/>
  <c r="P16" i="7"/>
  <c r="J59" i="29"/>
  <c r="J72" i="29" s="1"/>
  <c r="J74" i="29" s="1"/>
  <c r="J85" i="29"/>
  <c r="K51" i="29"/>
  <c r="K52" i="29" s="1"/>
  <c r="K56" i="29"/>
  <c r="K57" i="29" s="1"/>
  <c r="K47" i="29"/>
  <c r="G20" i="7"/>
  <c r="P20" i="7"/>
  <c r="P11" i="7"/>
  <c r="G11" i="7"/>
  <c r="P23" i="7"/>
  <c r="G23" i="7"/>
  <c r="J63" i="29"/>
  <c r="I64" i="29"/>
  <c r="I81" i="29" s="1"/>
  <c r="I83" i="29" s="1"/>
  <c r="I89" i="29" s="1"/>
  <c r="P21" i="7"/>
  <c r="G21" i="7"/>
  <c r="E44" i="7"/>
  <c r="E45" i="7" s="1"/>
  <c r="E32" i="7"/>
  <c r="E33" i="7" s="1"/>
  <c r="K41" i="29" l="1"/>
  <c r="E41" i="7"/>
  <c r="E74" i="7" s="1"/>
  <c r="P68" i="7"/>
  <c r="G67" i="7"/>
  <c r="P33" i="7"/>
  <c r="G33" i="7"/>
  <c r="P45" i="7"/>
  <c r="G45" i="7"/>
  <c r="P56" i="7"/>
  <c r="G56" i="7"/>
  <c r="K77" i="29"/>
  <c r="J64" i="29"/>
  <c r="J81" i="29" s="1"/>
  <c r="J83" i="29" s="1"/>
  <c r="J89" i="29" s="1"/>
  <c r="K63" i="29"/>
  <c r="G60" i="7"/>
  <c r="P60" i="7"/>
  <c r="P48" i="7"/>
  <c r="G48" i="7"/>
  <c r="L23" i="29"/>
  <c r="P72" i="7"/>
  <c r="G72" i="7"/>
  <c r="G52" i="7"/>
  <c r="P52" i="7"/>
  <c r="M46" i="29"/>
  <c r="M15" i="29"/>
  <c r="M16" i="29" s="1"/>
  <c r="N16" i="29" s="1"/>
  <c r="M11" i="29"/>
  <c r="M20" i="29"/>
  <c r="M21" i="29" s="1"/>
  <c r="N21" i="29" s="1"/>
  <c r="G53" i="7"/>
  <c r="P53" i="7"/>
  <c r="G59" i="7"/>
  <c r="P59" i="7"/>
  <c r="L34" i="29"/>
  <c r="L38" i="29"/>
  <c r="L39" i="29" s="1"/>
  <c r="L41" i="29" s="1"/>
  <c r="L77" i="29" s="1"/>
  <c r="L79" i="29" s="1"/>
  <c r="K59" i="29"/>
  <c r="K85" i="29"/>
  <c r="K87" i="29" s="1"/>
  <c r="G40" i="7"/>
  <c r="P40" i="7"/>
  <c r="M29" i="29"/>
  <c r="M33" i="29"/>
  <c r="P32" i="7"/>
  <c r="G32" i="7"/>
  <c r="P49" i="7"/>
  <c r="G49" i="7"/>
  <c r="G44" i="7"/>
  <c r="P44" i="7"/>
  <c r="P55" i="7"/>
  <c r="G55" i="7"/>
  <c r="P34" i="7"/>
  <c r="G34" i="7"/>
  <c r="L47" i="29"/>
  <c r="L56" i="29"/>
  <c r="L57" i="29" s="1"/>
  <c r="L51" i="29"/>
  <c r="L52" i="29" s="1"/>
  <c r="J87" i="29"/>
  <c r="E35" i="7"/>
  <c r="E38" i="7" s="1"/>
  <c r="G12" i="7"/>
  <c r="G31" i="7" s="1"/>
  <c r="P12" i="7"/>
  <c r="P31" i="7" s="1"/>
  <c r="I81" i="7" s="1"/>
  <c r="E31" i="7"/>
  <c r="G41" i="7" l="1"/>
  <c r="G74" i="7" s="1"/>
  <c r="P41" i="7"/>
  <c r="P74" i="7" s="1"/>
  <c r="K64" i="29"/>
  <c r="K81" i="29" s="1"/>
  <c r="K83" i="29" s="1"/>
  <c r="L63" i="29"/>
  <c r="L59" i="29"/>
  <c r="L72" i="29" s="1"/>
  <c r="L74" i="29" s="1"/>
  <c r="L85" i="29"/>
  <c r="L87" i="29" s="1"/>
  <c r="P35" i="7"/>
  <c r="P38" i="7" s="1"/>
  <c r="I82" i="7" s="1"/>
  <c r="G35" i="7"/>
  <c r="G38" i="7" s="1"/>
  <c r="D87" i="7" s="1"/>
  <c r="M38" i="29"/>
  <c r="M39" i="29" s="1"/>
  <c r="N39" i="29" s="1"/>
  <c r="M34" i="29"/>
  <c r="N34" i="29" s="1"/>
  <c r="N29" i="29"/>
  <c r="K79" i="29"/>
  <c r="M23" i="29"/>
  <c r="N11" i="29"/>
  <c r="K72" i="29"/>
  <c r="K74" i="29" s="1"/>
  <c r="K89" i="29" s="1"/>
  <c r="E75" i="7"/>
  <c r="E76" i="7" s="1"/>
  <c r="M56" i="29"/>
  <c r="M57" i="29" s="1"/>
  <c r="N57" i="29" s="1"/>
  <c r="M51" i="29"/>
  <c r="M52" i="29" s="1"/>
  <c r="N52" i="29" s="1"/>
  <c r="M47" i="29"/>
  <c r="I61" i="22" l="1"/>
  <c r="H61" i="22" s="1"/>
  <c r="I35" i="22"/>
  <c r="H35" i="22" s="1"/>
  <c r="I46" i="22"/>
  <c r="H46" i="22" s="1"/>
  <c r="I43" i="22"/>
  <c r="H43" i="22" s="1"/>
  <c r="I49" i="22"/>
  <c r="H49" i="22" s="1"/>
  <c r="I59" i="22"/>
  <c r="H59" i="22" s="1"/>
  <c r="I38" i="22"/>
  <c r="H38" i="22" s="1"/>
  <c r="I42" i="22"/>
  <c r="H42" i="22" s="1"/>
  <c r="I41" i="22"/>
  <c r="H41" i="22" s="1"/>
  <c r="I53" i="22"/>
  <c r="H53" i="22" s="1"/>
  <c r="I57" i="22"/>
  <c r="H57" i="22" s="1"/>
  <c r="I34" i="22"/>
  <c r="H34" i="22" s="1"/>
  <c r="I33" i="22"/>
  <c r="H33" i="22" s="1"/>
  <c r="I47" i="22"/>
  <c r="H47" i="22" s="1"/>
  <c r="I45" i="22"/>
  <c r="H45" i="22" s="1"/>
  <c r="I60" i="22"/>
  <c r="H60" i="22" s="1"/>
  <c r="I39" i="22"/>
  <c r="H39" i="22" s="1"/>
  <c r="I37" i="22"/>
  <c r="H37" i="22" s="1"/>
  <c r="I48" i="22"/>
  <c r="H48" i="22" s="1"/>
  <c r="I31" i="22"/>
  <c r="H31" i="22" s="1"/>
  <c r="I56" i="22"/>
  <c r="H56" i="22" s="1"/>
  <c r="I40" i="22"/>
  <c r="H40" i="22" s="1"/>
  <c r="I58" i="22"/>
  <c r="H58" i="22" s="1"/>
  <c r="I44" i="22"/>
  <c r="H44" i="22" s="1"/>
  <c r="I32" i="22"/>
  <c r="H32" i="22" s="1"/>
  <c r="I52" i="22"/>
  <c r="H52" i="22" s="1"/>
  <c r="I36" i="22"/>
  <c r="H36" i="22" s="1"/>
  <c r="F41" i="22"/>
  <c r="E41" i="22" s="1"/>
  <c r="F49" i="22"/>
  <c r="E49" i="22" s="1"/>
  <c r="F61" i="22"/>
  <c r="E61" i="22" s="1"/>
  <c r="H32" i="7"/>
  <c r="H34" i="7"/>
  <c r="I34" i="7" s="1"/>
  <c r="J34" i="7" s="1"/>
  <c r="M34" i="7" s="1"/>
  <c r="F36" i="22"/>
  <c r="E36" i="22" s="1"/>
  <c r="F42" i="22"/>
  <c r="E42" i="22" s="1"/>
  <c r="H36" i="7"/>
  <c r="I36" i="7" s="1"/>
  <c r="J36" i="7" s="1"/>
  <c r="M36" i="7" s="1"/>
  <c r="F32" i="22"/>
  <c r="E32" i="22" s="1"/>
  <c r="F45" i="22"/>
  <c r="E45" i="22" s="1"/>
  <c r="F57" i="22"/>
  <c r="E57" i="22" s="1"/>
  <c r="H33" i="7"/>
  <c r="I33" i="7" s="1"/>
  <c r="J33" i="7" s="1"/>
  <c r="M33" i="7" s="1"/>
  <c r="F39" i="22"/>
  <c r="E39" i="22" s="1"/>
  <c r="F58" i="22"/>
  <c r="E58" i="22" s="1"/>
  <c r="H35" i="7"/>
  <c r="I35" i="7" s="1"/>
  <c r="J35" i="7" s="1"/>
  <c r="M35" i="7" s="1"/>
  <c r="F31" i="22"/>
  <c r="E31" i="22" s="1"/>
  <c r="F40" i="22"/>
  <c r="E40" i="22" s="1"/>
  <c r="F59" i="22"/>
  <c r="E59" i="22" s="1"/>
  <c r="F33" i="22"/>
  <c r="E33" i="22" s="1"/>
  <c r="F43" i="22"/>
  <c r="E43" i="22" s="1"/>
  <c r="F52" i="22"/>
  <c r="E52" i="22" s="1"/>
  <c r="F60" i="22"/>
  <c r="E60" i="22" s="1"/>
  <c r="F35" i="22"/>
  <c r="E35" i="22" s="1"/>
  <c r="F46" i="22"/>
  <c r="E46" i="22" s="1"/>
  <c r="H37" i="7"/>
  <c r="I37" i="7" s="1"/>
  <c r="J37" i="7" s="1"/>
  <c r="M37" i="7" s="1"/>
  <c r="S37" i="7" s="1"/>
  <c r="F47" i="22"/>
  <c r="E47" i="22" s="1"/>
  <c r="F44" i="22"/>
  <c r="E44" i="22" s="1"/>
  <c r="F56" i="22"/>
  <c r="E56" i="22" s="1"/>
  <c r="F38" i="22"/>
  <c r="E38" i="22" s="1"/>
  <c r="F48" i="22"/>
  <c r="E48" i="22" s="1"/>
  <c r="F53" i="22"/>
  <c r="E53" i="22" s="1"/>
  <c r="F37" i="22"/>
  <c r="E37" i="22" s="1"/>
  <c r="F34" i="22"/>
  <c r="E34" i="22" s="1"/>
  <c r="M59" i="29"/>
  <c r="N59" i="29" s="1"/>
  <c r="M85" i="29"/>
  <c r="M87" i="29" s="1"/>
  <c r="N87" i="29" s="1"/>
  <c r="N47" i="29"/>
  <c r="G75" i="7"/>
  <c r="D83" i="7" s="1"/>
  <c r="L64" i="29"/>
  <c r="L81" i="29" s="1"/>
  <c r="L83" i="29" s="1"/>
  <c r="L89" i="29" s="1"/>
  <c r="M63" i="29"/>
  <c r="M64" i="29" s="1"/>
  <c r="N23" i="29"/>
  <c r="I83" i="7"/>
  <c r="I84" i="7" s="1"/>
  <c r="P75" i="7"/>
  <c r="M41" i="29"/>
  <c r="I27" i="22" l="1"/>
  <c r="H27" i="22" s="1"/>
  <c r="F27" i="22"/>
  <c r="E27" i="22" s="1"/>
  <c r="I93" i="22"/>
  <c r="H93" i="22" s="1"/>
  <c r="I92" i="22"/>
  <c r="H92" i="22" s="1"/>
  <c r="I78" i="22"/>
  <c r="H78" i="22" s="1"/>
  <c r="I90" i="22"/>
  <c r="H90" i="22" s="1"/>
  <c r="I89" i="22"/>
  <c r="H89" i="22" s="1"/>
  <c r="N36" i="7"/>
  <c r="Q36" i="7" s="1"/>
  <c r="R36" i="7" s="1"/>
  <c r="O36" i="7"/>
  <c r="I29" i="22" s="1"/>
  <c r="H29" i="22" s="1"/>
  <c r="N35" i="7"/>
  <c r="O35" i="7"/>
  <c r="I51" i="22" s="1"/>
  <c r="H51" i="22" s="1"/>
  <c r="N33" i="7"/>
  <c r="Q33" i="7" s="1"/>
  <c r="R33" i="7" s="1"/>
  <c r="O33" i="7"/>
  <c r="I55" i="22" s="1"/>
  <c r="H55" i="22" s="1"/>
  <c r="N34" i="7"/>
  <c r="F50" i="22" s="1"/>
  <c r="E50" i="22" s="1"/>
  <c r="O34" i="7"/>
  <c r="I50" i="22" s="1"/>
  <c r="H50" i="22" s="1"/>
  <c r="N37" i="7"/>
  <c r="F30" i="22" s="1"/>
  <c r="E30" i="22" s="1"/>
  <c r="O37" i="7"/>
  <c r="I30" i="22" s="1"/>
  <c r="H30" i="22" s="1"/>
  <c r="S34" i="7"/>
  <c r="S35" i="7"/>
  <c r="M72" i="29"/>
  <c r="M81" i="29"/>
  <c r="M83" i="29" s="1"/>
  <c r="N64" i="29"/>
  <c r="S33" i="7"/>
  <c r="F51" i="22"/>
  <c r="E51" i="22" s="1"/>
  <c r="Q35" i="7"/>
  <c r="R35" i="7" s="1"/>
  <c r="H38" i="7"/>
  <c r="I32" i="7"/>
  <c r="N85" i="29"/>
  <c r="M77" i="29"/>
  <c r="N41" i="29"/>
  <c r="H7" i="7"/>
  <c r="H15" i="7"/>
  <c r="I15" i="7" s="1"/>
  <c r="J15" i="7" s="1"/>
  <c r="M15" i="7" s="1"/>
  <c r="S15" i="7" s="1"/>
  <c r="H23" i="7"/>
  <c r="I23" i="7" s="1"/>
  <c r="J23" i="7" s="1"/>
  <c r="M23" i="7" s="1"/>
  <c r="N23" i="7" s="1"/>
  <c r="F22" i="22" s="1"/>
  <c r="E22" i="22" s="1"/>
  <c r="H40" i="7"/>
  <c r="I40" i="7" s="1"/>
  <c r="J40" i="7" s="1"/>
  <c r="M40" i="7" s="1"/>
  <c r="H47" i="7"/>
  <c r="I47" i="7" s="1"/>
  <c r="J47" i="7" s="1"/>
  <c r="M47" i="7" s="1"/>
  <c r="H49" i="7"/>
  <c r="I49" i="7" s="1"/>
  <c r="J49" i="7" s="1"/>
  <c r="M49" i="7" s="1"/>
  <c r="H63" i="7"/>
  <c r="I63" i="7" s="1"/>
  <c r="J63" i="7" s="1"/>
  <c r="M63" i="7" s="1"/>
  <c r="F78" i="22"/>
  <c r="E78" i="22" s="1"/>
  <c r="F92" i="22"/>
  <c r="E92" i="22" s="1"/>
  <c r="H12" i="7"/>
  <c r="I12" i="7" s="1"/>
  <c r="J12" i="7" s="1"/>
  <c r="M12" i="7" s="1"/>
  <c r="H20" i="7"/>
  <c r="I20" i="7" s="1"/>
  <c r="J20" i="7" s="1"/>
  <c r="M20" i="7" s="1"/>
  <c r="H28" i="7"/>
  <c r="I28" i="7" s="1"/>
  <c r="J28" i="7" s="1"/>
  <c r="M28" i="7" s="1"/>
  <c r="H42" i="7"/>
  <c r="I42" i="7" s="1"/>
  <c r="J42" i="7" s="1"/>
  <c r="M42" i="7" s="1"/>
  <c r="F89" i="22"/>
  <c r="E89" i="22" s="1"/>
  <c r="H11" i="7"/>
  <c r="I11" i="7" s="1"/>
  <c r="J11" i="7" s="1"/>
  <c r="M11" i="7" s="1"/>
  <c r="S11" i="7" s="1"/>
  <c r="H19" i="7"/>
  <c r="I19" i="7" s="1"/>
  <c r="J19" i="7" s="1"/>
  <c r="M19" i="7" s="1"/>
  <c r="H27" i="7"/>
  <c r="I27" i="7" s="1"/>
  <c r="J27" i="7" s="1"/>
  <c r="M27" i="7" s="1"/>
  <c r="S27" i="7" s="1"/>
  <c r="H8" i="7"/>
  <c r="I8" i="7" s="1"/>
  <c r="J8" i="7" s="1"/>
  <c r="M8" i="7" s="1"/>
  <c r="H9" i="7"/>
  <c r="I9" i="7" s="1"/>
  <c r="J9" i="7" s="1"/>
  <c r="M9" i="7" s="1"/>
  <c r="H25" i="7"/>
  <c r="I25" i="7" s="1"/>
  <c r="J25" i="7" s="1"/>
  <c r="M25" i="7" s="1"/>
  <c r="H46" i="7"/>
  <c r="I46" i="7" s="1"/>
  <c r="J46" i="7" s="1"/>
  <c r="M46" i="7" s="1"/>
  <c r="H51" i="7"/>
  <c r="I51" i="7" s="1"/>
  <c r="J51" i="7" s="1"/>
  <c r="M51" i="7" s="1"/>
  <c r="H56" i="7"/>
  <c r="I56" i="7" s="1"/>
  <c r="J56" i="7" s="1"/>
  <c r="M56" i="7" s="1"/>
  <c r="H62" i="7"/>
  <c r="I62" i="7" s="1"/>
  <c r="J62" i="7" s="1"/>
  <c r="M62" i="7" s="1"/>
  <c r="H10" i="7"/>
  <c r="I10" i="7" s="1"/>
  <c r="J10" i="7" s="1"/>
  <c r="M10" i="7" s="1"/>
  <c r="H26" i="7"/>
  <c r="I26" i="7" s="1"/>
  <c r="J26" i="7" s="1"/>
  <c r="M26" i="7" s="1"/>
  <c r="H60" i="7"/>
  <c r="I60" i="7" s="1"/>
  <c r="J60" i="7" s="1"/>
  <c r="M60" i="7" s="1"/>
  <c r="H69" i="7"/>
  <c r="I69" i="7" s="1"/>
  <c r="J69" i="7" s="1"/>
  <c r="M69" i="7" s="1"/>
  <c r="H71" i="7"/>
  <c r="I71" i="7" s="1"/>
  <c r="J71" i="7" s="1"/>
  <c r="M71" i="7" s="1"/>
  <c r="H13" i="7"/>
  <c r="I13" i="7" s="1"/>
  <c r="J13" i="7" s="1"/>
  <c r="M13" i="7" s="1"/>
  <c r="H14" i="7"/>
  <c r="I14" i="7" s="1"/>
  <c r="J14" i="7" s="1"/>
  <c r="M14" i="7" s="1"/>
  <c r="H29" i="7"/>
  <c r="I29" i="7" s="1"/>
  <c r="J29" i="7" s="1"/>
  <c r="M29" i="7" s="1"/>
  <c r="H30" i="7"/>
  <c r="I30" i="7" s="1"/>
  <c r="J30" i="7" s="1"/>
  <c r="M30" i="7" s="1"/>
  <c r="F90" i="22"/>
  <c r="E90" i="22" s="1"/>
  <c r="H17" i="7"/>
  <c r="I17" i="7" s="1"/>
  <c r="J17" i="7" s="1"/>
  <c r="M17" i="7" s="1"/>
  <c r="H44" i="7"/>
  <c r="I44" i="7" s="1"/>
  <c r="J44" i="7" s="1"/>
  <c r="M44" i="7" s="1"/>
  <c r="H58" i="7"/>
  <c r="I58" i="7" s="1"/>
  <c r="J58" i="7" s="1"/>
  <c r="M58" i="7" s="1"/>
  <c r="H70" i="7"/>
  <c r="I70" i="7" s="1"/>
  <c r="J70" i="7" s="1"/>
  <c r="M70" i="7" s="1"/>
  <c r="H18" i="7"/>
  <c r="I18" i="7" s="1"/>
  <c r="J18" i="7" s="1"/>
  <c r="M18" i="7" s="1"/>
  <c r="F93" i="22"/>
  <c r="E93" i="22" s="1"/>
  <c r="H39" i="7"/>
  <c r="H50" i="7"/>
  <c r="I50" i="7" s="1"/>
  <c r="J50" i="7" s="1"/>
  <c r="M50" i="7" s="1"/>
  <c r="H65" i="7"/>
  <c r="I65" i="7" s="1"/>
  <c r="J65" i="7" s="1"/>
  <c r="M65" i="7" s="1"/>
  <c r="H67" i="7"/>
  <c r="I67" i="7" s="1"/>
  <c r="J67" i="7" s="1"/>
  <c r="M67" i="7" s="1"/>
  <c r="H68" i="7"/>
  <c r="I68" i="7" s="1"/>
  <c r="J68" i="7" s="1"/>
  <c r="M68" i="7" s="1"/>
  <c r="H72" i="7"/>
  <c r="I72" i="7" s="1"/>
  <c r="J72" i="7" s="1"/>
  <c r="M72" i="7" s="1"/>
  <c r="H73" i="7"/>
  <c r="I73" i="7" s="1"/>
  <c r="J73" i="7" s="1"/>
  <c r="M73" i="7" s="1"/>
  <c r="H66" i="7"/>
  <c r="I66" i="7" s="1"/>
  <c r="J66" i="7" s="1"/>
  <c r="M66" i="7" s="1"/>
  <c r="H43" i="7"/>
  <c r="I43" i="7" s="1"/>
  <c r="J43" i="7" s="1"/>
  <c r="M43" i="7" s="1"/>
  <c r="H61" i="7"/>
  <c r="I61" i="7" s="1"/>
  <c r="J61" i="7" s="1"/>
  <c r="M61" i="7" s="1"/>
  <c r="H64" i="7"/>
  <c r="I64" i="7" s="1"/>
  <c r="J64" i="7" s="1"/>
  <c r="M64" i="7" s="1"/>
  <c r="H22" i="7"/>
  <c r="I22" i="7" s="1"/>
  <c r="J22" i="7" s="1"/>
  <c r="M22" i="7" s="1"/>
  <c r="H24" i="7"/>
  <c r="I24" i="7" s="1"/>
  <c r="J24" i="7" s="1"/>
  <c r="M24" i="7" s="1"/>
  <c r="H21" i="7"/>
  <c r="I21" i="7" s="1"/>
  <c r="J21" i="7" s="1"/>
  <c r="M21" i="7" s="1"/>
  <c r="H45" i="7"/>
  <c r="I45" i="7" s="1"/>
  <c r="J45" i="7" s="1"/>
  <c r="M45" i="7" s="1"/>
  <c r="H55" i="7"/>
  <c r="I55" i="7" s="1"/>
  <c r="J55" i="7" s="1"/>
  <c r="M55" i="7" s="1"/>
  <c r="H53" i="7"/>
  <c r="I53" i="7" s="1"/>
  <c r="J53" i="7" s="1"/>
  <c r="M53" i="7" s="1"/>
  <c r="H54" i="7"/>
  <c r="I54" i="7" s="1"/>
  <c r="J54" i="7" s="1"/>
  <c r="M54" i="7" s="1"/>
  <c r="H48" i="7"/>
  <c r="I48" i="7" s="1"/>
  <c r="J48" i="7" s="1"/>
  <c r="M48" i="7" s="1"/>
  <c r="H59" i="7"/>
  <c r="I59" i="7" s="1"/>
  <c r="J59" i="7" s="1"/>
  <c r="M59" i="7" s="1"/>
  <c r="H16" i="7"/>
  <c r="I16" i="7" s="1"/>
  <c r="J16" i="7" s="1"/>
  <c r="M16" i="7" s="1"/>
  <c r="H41" i="7"/>
  <c r="I41" i="7" s="1"/>
  <c r="J41" i="7" s="1"/>
  <c r="M41" i="7" s="1"/>
  <c r="H52" i="7"/>
  <c r="I52" i="7" s="1"/>
  <c r="J52" i="7" s="1"/>
  <c r="M52" i="7" s="1"/>
  <c r="H57" i="7"/>
  <c r="I57" i="7" s="1"/>
  <c r="J57" i="7" s="1"/>
  <c r="M57" i="7" s="1"/>
  <c r="S62" i="7"/>
  <c r="S36" i="7"/>
  <c r="F29" i="22" l="1"/>
  <c r="E29" i="22" s="1"/>
  <c r="Q37" i="7"/>
  <c r="R37" i="7" s="1"/>
  <c r="F55" i="22"/>
  <c r="E55" i="22" s="1"/>
  <c r="Q34" i="7"/>
  <c r="R34" i="7" s="1"/>
  <c r="N63" i="7"/>
  <c r="O63" i="7"/>
  <c r="I88" i="22" s="1"/>
  <c r="H88" i="22" s="1"/>
  <c r="N25" i="7"/>
  <c r="Q25" i="7" s="1"/>
  <c r="R25" i="7" s="1"/>
  <c r="O25" i="7"/>
  <c r="I20" i="22" s="1"/>
  <c r="N21" i="7"/>
  <c r="F18" i="22" s="1"/>
  <c r="O21" i="7"/>
  <c r="I18" i="22" s="1"/>
  <c r="N51" i="7"/>
  <c r="Q51" i="7" s="1"/>
  <c r="R51" i="7" s="1"/>
  <c r="O51" i="7"/>
  <c r="I74" i="22" s="1"/>
  <c r="H74" i="22" s="1"/>
  <c r="N68" i="7"/>
  <c r="O68" i="7"/>
  <c r="I98" i="22" s="1"/>
  <c r="H98" i="22" s="1"/>
  <c r="N49" i="7"/>
  <c r="O49" i="7"/>
  <c r="I73" i="22" s="1"/>
  <c r="H73" i="22" s="1"/>
  <c r="N22" i="7"/>
  <c r="O22" i="7"/>
  <c r="N40" i="7"/>
  <c r="Q40" i="7" s="1"/>
  <c r="R40" i="7" s="1"/>
  <c r="O40" i="7"/>
  <c r="I64" i="22" s="1"/>
  <c r="H64" i="22" s="1"/>
  <c r="N41" i="7"/>
  <c r="F65" i="22" s="1"/>
  <c r="E65" i="22" s="1"/>
  <c r="O41" i="7"/>
  <c r="I65" i="22" s="1"/>
  <c r="H65" i="22" s="1"/>
  <c r="N13" i="7"/>
  <c r="O13" i="7"/>
  <c r="N24" i="7"/>
  <c r="Q24" i="7" s="1"/>
  <c r="R24" i="7" s="1"/>
  <c r="O24" i="7"/>
  <c r="N46" i="7"/>
  <c r="O46" i="7"/>
  <c r="I71" i="22" s="1"/>
  <c r="H71" i="22" s="1"/>
  <c r="N44" i="7"/>
  <c r="F68" i="22" s="1"/>
  <c r="E68" i="22" s="1"/>
  <c r="O44" i="7"/>
  <c r="I68" i="22" s="1"/>
  <c r="H68" i="22" s="1"/>
  <c r="N47" i="7"/>
  <c r="Q47" i="7" s="1"/>
  <c r="R47" i="7" s="1"/>
  <c r="O47" i="7"/>
  <c r="I70" i="22" s="1"/>
  <c r="H70" i="22" s="1"/>
  <c r="N65" i="7"/>
  <c r="Q65" i="7" s="1"/>
  <c r="R65" i="7" s="1"/>
  <c r="O65" i="7"/>
  <c r="I97" i="22" s="1"/>
  <c r="H97" i="22" s="1"/>
  <c r="N61" i="7"/>
  <c r="F87" i="22" s="1"/>
  <c r="E87" i="22" s="1"/>
  <c r="O61" i="7"/>
  <c r="I87" i="22" s="1"/>
  <c r="H87" i="22" s="1"/>
  <c r="O23" i="7"/>
  <c r="I22" i="22" s="1"/>
  <c r="N72" i="7"/>
  <c r="O72" i="7"/>
  <c r="I101" i="22" s="1"/>
  <c r="H101" i="22" s="1"/>
  <c r="N58" i="7"/>
  <c r="F82" i="22" s="1"/>
  <c r="E82" i="22" s="1"/>
  <c r="O58" i="7"/>
  <c r="I82" i="22" s="1"/>
  <c r="H82" i="22" s="1"/>
  <c r="N42" i="7"/>
  <c r="F67" i="22" s="1"/>
  <c r="E67" i="22" s="1"/>
  <c r="O42" i="7"/>
  <c r="I67" i="22" s="1"/>
  <c r="H67" i="22" s="1"/>
  <c r="N59" i="7"/>
  <c r="O59" i="7"/>
  <c r="I84" i="22" s="1"/>
  <c r="H84" i="22" s="1"/>
  <c r="N67" i="7"/>
  <c r="Q67" i="7" s="1"/>
  <c r="R67" i="7" s="1"/>
  <c r="O67" i="7"/>
  <c r="I96" i="22" s="1"/>
  <c r="H96" i="22" s="1"/>
  <c r="N69" i="7"/>
  <c r="Q69" i="7" s="1"/>
  <c r="R69" i="7" s="1"/>
  <c r="O69" i="7"/>
  <c r="I94" i="22" s="1"/>
  <c r="H94" i="22" s="1"/>
  <c r="N28" i="7"/>
  <c r="F26" i="22" s="1"/>
  <c r="E26" i="22" s="1"/>
  <c r="O28" i="7"/>
  <c r="I26" i="22" s="1"/>
  <c r="H26" i="22" s="1"/>
  <c r="N48" i="7"/>
  <c r="O48" i="7"/>
  <c r="I72" i="22" s="1"/>
  <c r="H72" i="22" s="1"/>
  <c r="N60" i="7"/>
  <c r="O60" i="7"/>
  <c r="I85" i="22" s="1"/>
  <c r="H85" i="22" s="1"/>
  <c r="N20" i="7"/>
  <c r="Q20" i="7" s="1"/>
  <c r="R20" i="7" s="1"/>
  <c r="O20" i="7"/>
  <c r="N54" i="7"/>
  <c r="F79" i="22" s="1"/>
  <c r="E79" i="22" s="1"/>
  <c r="O54" i="7"/>
  <c r="I79" i="22" s="1"/>
  <c r="H79" i="22" s="1"/>
  <c r="N8" i="7"/>
  <c r="O8" i="7"/>
  <c r="I3" i="22" s="1"/>
  <c r="H3" i="22" s="1"/>
  <c r="N53" i="7"/>
  <c r="O53" i="7"/>
  <c r="I77" i="22" s="1"/>
  <c r="H77" i="22" s="1"/>
  <c r="N27" i="7"/>
  <c r="Q27" i="7" s="1"/>
  <c r="R27" i="7" s="1"/>
  <c r="O27" i="7"/>
  <c r="I25" i="22" s="1"/>
  <c r="H25" i="22" s="1"/>
  <c r="N15" i="7"/>
  <c r="F12" i="22" s="1"/>
  <c r="O15" i="7"/>
  <c r="I12" i="22" s="1"/>
  <c r="N64" i="7"/>
  <c r="O64" i="7"/>
  <c r="I95" i="22" s="1"/>
  <c r="H95" i="22" s="1"/>
  <c r="N17" i="7"/>
  <c r="O17" i="7"/>
  <c r="I16" i="22" s="1"/>
  <c r="N9" i="7"/>
  <c r="Q9" i="7" s="1"/>
  <c r="R9" i="7" s="1"/>
  <c r="O9" i="7"/>
  <c r="I6" i="22" s="1"/>
  <c r="N50" i="7"/>
  <c r="F75" i="22" s="1"/>
  <c r="E75" i="22" s="1"/>
  <c r="O50" i="7"/>
  <c r="I75" i="22" s="1"/>
  <c r="H75" i="22" s="1"/>
  <c r="N26" i="7"/>
  <c r="O26" i="7"/>
  <c r="I24" i="22" s="1"/>
  <c r="H24" i="22" s="1"/>
  <c r="N12" i="7"/>
  <c r="F10" i="22" s="1"/>
  <c r="O12" i="7"/>
  <c r="I10" i="22" s="1"/>
  <c r="S23" i="7"/>
  <c r="N30" i="7"/>
  <c r="F62" i="22" s="1"/>
  <c r="E62" i="22" s="1"/>
  <c r="O30" i="7"/>
  <c r="I62" i="22" s="1"/>
  <c r="H62" i="22" s="1"/>
  <c r="N57" i="7"/>
  <c r="O57" i="7"/>
  <c r="I83" i="22" s="1"/>
  <c r="H83" i="22" s="1"/>
  <c r="N66" i="7"/>
  <c r="Q66" i="7" s="1"/>
  <c r="R66" i="7" s="1"/>
  <c r="O66" i="7"/>
  <c r="I91" i="22" s="1"/>
  <c r="H91" i="22" s="1"/>
  <c r="N29" i="7"/>
  <c r="F28" i="22" s="1"/>
  <c r="E28" i="22" s="1"/>
  <c r="O29" i="7"/>
  <c r="I28" i="22" s="1"/>
  <c r="H28" i="22" s="1"/>
  <c r="N62" i="7"/>
  <c r="F86" i="22" s="1"/>
  <c r="E86" i="22" s="1"/>
  <c r="O62" i="7"/>
  <c r="I86" i="22" s="1"/>
  <c r="H86" i="22" s="1"/>
  <c r="N19" i="7"/>
  <c r="O19" i="7"/>
  <c r="I14" i="22" s="1"/>
  <c r="N70" i="7"/>
  <c r="O70" i="7"/>
  <c r="I99" i="22" s="1"/>
  <c r="H99" i="22" s="1"/>
  <c r="N16" i="7"/>
  <c r="Q16" i="7" s="1"/>
  <c r="R16" i="7" s="1"/>
  <c r="O16" i="7"/>
  <c r="N71" i="7"/>
  <c r="F100" i="22" s="1"/>
  <c r="E100" i="22" s="1"/>
  <c r="O71" i="7"/>
  <c r="I100" i="22" s="1"/>
  <c r="H100" i="22" s="1"/>
  <c r="N43" i="7"/>
  <c r="Q43" i="7" s="1"/>
  <c r="R43" i="7" s="1"/>
  <c r="O43" i="7"/>
  <c r="I66" i="22" s="1"/>
  <c r="H66" i="22" s="1"/>
  <c r="N10" i="7"/>
  <c r="Q10" i="7" s="1"/>
  <c r="R10" i="7" s="1"/>
  <c r="O10" i="7"/>
  <c r="I8" i="22" s="1"/>
  <c r="N55" i="7"/>
  <c r="F80" i="22" s="1"/>
  <c r="E80" i="22" s="1"/>
  <c r="O55" i="7"/>
  <c r="I80" i="22" s="1"/>
  <c r="H80" i="22" s="1"/>
  <c r="N52" i="7"/>
  <c r="F76" i="22" s="1"/>
  <c r="E76" i="22" s="1"/>
  <c r="O52" i="7"/>
  <c r="I76" i="22" s="1"/>
  <c r="H76" i="22" s="1"/>
  <c r="N45" i="7"/>
  <c r="F69" i="22" s="1"/>
  <c r="E69" i="22" s="1"/>
  <c r="O45" i="7"/>
  <c r="I69" i="22" s="1"/>
  <c r="H69" i="22" s="1"/>
  <c r="N73" i="7"/>
  <c r="Q73" i="7" s="1"/>
  <c r="R73" i="7" s="1"/>
  <c r="O73" i="7"/>
  <c r="I102" i="22" s="1"/>
  <c r="H102" i="22" s="1"/>
  <c r="N18" i="7"/>
  <c r="O18" i="7"/>
  <c r="N14" i="7"/>
  <c r="Q14" i="7" s="1"/>
  <c r="R14" i="7" s="1"/>
  <c r="O14" i="7"/>
  <c r="N56" i="7"/>
  <c r="F81" i="22" s="1"/>
  <c r="E81" i="22" s="1"/>
  <c r="O56" i="7"/>
  <c r="I81" i="22" s="1"/>
  <c r="H81" i="22" s="1"/>
  <c r="N11" i="7"/>
  <c r="O11" i="7"/>
  <c r="S40" i="7"/>
  <c r="S16" i="7"/>
  <c r="S48" i="7"/>
  <c r="S44" i="7"/>
  <c r="S69" i="7"/>
  <c r="S12" i="7"/>
  <c r="S71" i="7"/>
  <c r="S22" i="7"/>
  <c r="S17" i="7"/>
  <c r="S60" i="7"/>
  <c r="S9" i="7"/>
  <c r="S20" i="7"/>
  <c r="S53" i="7"/>
  <c r="S47" i="7"/>
  <c r="S50" i="7"/>
  <c r="S24" i="7"/>
  <c r="S41" i="7"/>
  <c r="S18" i="7"/>
  <c r="S70" i="7"/>
  <c r="S73" i="7"/>
  <c r="S68" i="7"/>
  <c r="S63" i="7"/>
  <c r="S72" i="7"/>
  <c r="S8" i="7"/>
  <c r="S66" i="7"/>
  <c r="S13" i="7"/>
  <c r="F14" i="22"/>
  <c r="Q19" i="7"/>
  <c r="R19" i="7" s="1"/>
  <c r="H31" i="7"/>
  <c r="I7" i="7"/>
  <c r="S52" i="7"/>
  <c r="S30" i="7"/>
  <c r="F66" i="22"/>
  <c r="E66" i="22" s="1"/>
  <c r="F24" i="22"/>
  <c r="E24" i="22" s="1"/>
  <c r="Q26" i="7"/>
  <c r="R26" i="7" s="1"/>
  <c r="M79" i="29"/>
  <c r="N79" i="29" s="1"/>
  <c r="N77" i="29"/>
  <c r="Q21" i="7"/>
  <c r="R21" i="7" s="1"/>
  <c r="S54" i="7"/>
  <c r="F77" i="22"/>
  <c r="E77" i="22" s="1"/>
  <c r="Q53" i="7"/>
  <c r="R53" i="7" s="1"/>
  <c r="S51" i="7"/>
  <c r="F70" i="22"/>
  <c r="E70" i="22" s="1"/>
  <c r="Q44" i="7"/>
  <c r="R44" i="7" s="1"/>
  <c r="F64" i="22"/>
  <c r="E64" i="22" s="1"/>
  <c r="M74" i="29"/>
  <c r="N72" i="29"/>
  <c r="S19" i="7"/>
  <c r="F84" i="22"/>
  <c r="E84" i="22" s="1"/>
  <c r="Q59" i="7"/>
  <c r="R59" i="7" s="1"/>
  <c r="F95" i="22"/>
  <c r="E95" i="22" s="1"/>
  <c r="Q64" i="7"/>
  <c r="R64" i="7" s="1"/>
  <c r="F96" i="22"/>
  <c r="E96" i="22" s="1"/>
  <c r="Q56" i="7"/>
  <c r="R56" i="7" s="1"/>
  <c r="F97" i="22"/>
  <c r="E97" i="22" s="1"/>
  <c r="Q11" i="7"/>
  <c r="R11" i="7" s="1"/>
  <c r="F72" i="22"/>
  <c r="E72" i="22" s="1"/>
  <c r="Q48" i="7"/>
  <c r="R48" i="7" s="1"/>
  <c r="S55" i="7"/>
  <c r="F74" i="22"/>
  <c r="E74" i="22" s="1"/>
  <c r="S64" i="7"/>
  <c r="Q54" i="7"/>
  <c r="R54" i="7" s="1"/>
  <c r="F91" i="22"/>
  <c r="E91" i="22" s="1"/>
  <c r="H74" i="7"/>
  <c r="I39" i="7"/>
  <c r="Q13" i="7"/>
  <c r="R13" i="7" s="1"/>
  <c r="F71" i="22"/>
  <c r="E71" i="22" s="1"/>
  <c r="Q46" i="7"/>
  <c r="R46" i="7" s="1"/>
  <c r="F73" i="22"/>
  <c r="E73" i="22" s="1"/>
  <c r="Q49" i="7"/>
  <c r="R49" i="7" s="1"/>
  <c r="S43" i="7"/>
  <c r="S49" i="7"/>
  <c r="S14" i="7"/>
  <c r="S45" i="7"/>
  <c r="F8" i="22"/>
  <c r="F20" i="22"/>
  <c r="J32" i="7"/>
  <c r="I38" i="7"/>
  <c r="Q41" i="7"/>
  <c r="R41" i="7" s="1"/>
  <c r="F102" i="22"/>
  <c r="E102" i="22" s="1"/>
  <c r="S28" i="7"/>
  <c r="S42" i="7"/>
  <c r="S67" i="7"/>
  <c r="S29" i="7"/>
  <c r="F101" i="22"/>
  <c r="E101" i="22" s="1"/>
  <c r="Q72" i="7"/>
  <c r="R72" i="7" s="1"/>
  <c r="F16" i="22"/>
  <c r="Q17" i="7"/>
  <c r="R17" i="7" s="1"/>
  <c r="S65" i="7"/>
  <c r="F3" i="22"/>
  <c r="E3" i="22" s="1"/>
  <c r="Q8" i="7"/>
  <c r="R8" i="7" s="1"/>
  <c r="Q23" i="7"/>
  <c r="R23" i="7" s="1"/>
  <c r="S61" i="7"/>
  <c r="Q45" i="7"/>
  <c r="R45" i="7" s="1"/>
  <c r="F88" i="22"/>
  <c r="E88" i="22" s="1"/>
  <c r="Q63" i="7"/>
  <c r="R63" i="7" s="1"/>
  <c r="S59" i="7"/>
  <c r="S46" i="7"/>
  <c r="S26" i="7"/>
  <c r="S25" i="7"/>
  <c r="S10" i="7"/>
  <c r="S56" i="7"/>
  <c r="S58" i="7"/>
  <c r="F83" i="22"/>
  <c r="E83" i="22" s="1"/>
  <c r="Q57" i="7"/>
  <c r="R57" i="7" s="1"/>
  <c r="S21" i="7"/>
  <c r="Q22" i="7"/>
  <c r="R22" i="7" s="1"/>
  <c r="F98" i="22"/>
  <c r="E98" i="22" s="1"/>
  <c r="Q68" i="7"/>
  <c r="R68" i="7" s="1"/>
  <c r="F99" i="22"/>
  <c r="E99" i="22" s="1"/>
  <c r="Q70" i="7"/>
  <c r="R70" i="7" s="1"/>
  <c r="F85" i="22"/>
  <c r="E85" i="22" s="1"/>
  <c r="Q60" i="7"/>
  <c r="R60" i="7" s="1"/>
  <c r="S57" i="7"/>
  <c r="Q55" i="7" l="1"/>
  <c r="R55" i="7" s="1"/>
  <c r="Q15" i="7"/>
  <c r="R15" i="7" s="1"/>
  <c r="F25" i="22"/>
  <c r="E25" i="22" s="1"/>
  <c r="Q58" i="7"/>
  <c r="R58" i="7" s="1"/>
  <c r="F6" i="22"/>
  <c r="E6" i="22" s="1"/>
  <c r="H18" i="22"/>
  <c r="I19" i="22"/>
  <c r="H19" i="22" s="1"/>
  <c r="I7" i="22"/>
  <c r="H7" i="22" s="1"/>
  <c r="H6" i="22"/>
  <c r="I21" i="22"/>
  <c r="H21" i="22" s="1"/>
  <c r="H20" i="22"/>
  <c r="I11" i="22"/>
  <c r="H11" i="22" s="1"/>
  <c r="H10" i="22"/>
  <c r="I17" i="22"/>
  <c r="H17" i="22" s="1"/>
  <c r="H16" i="22"/>
  <c r="I9" i="22"/>
  <c r="H9" i="22" s="1"/>
  <c r="H8" i="22"/>
  <c r="Q30" i="7"/>
  <c r="R30" i="7" s="1"/>
  <c r="H75" i="7"/>
  <c r="Q50" i="7"/>
  <c r="R50" i="7" s="1"/>
  <c r="I23" i="22"/>
  <c r="H23" i="22" s="1"/>
  <c r="H22" i="22"/>
  <c r="Q52" i="7"/>
  <c r="R52" i="7" s="1"/>
  <c r="Q12" i="7"/>
  <c r="R12" i="7" s="1"/>
  <c r="I15" i="22"/>
  <c r="H15" i="22" s="1"/>
  <c r="H14" i="22"/>
  <c r="I13" i="22"/>
  <c r="H13" i="22" s="1"/>
  <c r="H12" i="22"/>
  <c r="F21" i="22"/>
  <c r="E20" i="22"/>
  <c r="F19" i="22"/>
  <c r="E19" i="22" s="1"/>
  <c r="E18" i="22"/>
  <c r="F9" i="22"/>
  <c r="E9" i="22" s="1"/>
  <c r="E8" i="22"/>
  <c r="F17" i="22"/>
  <c r="E17" i="22" s="1"/>
  <c r="E16" i="22"/>
  <c r="F11" i="22"/>
  <c r="E11" i="22" s="1"/>
  <c r="E10" i="22"/>
  <c r="F15" i="22"/>
  <c r="E15" i="22" s="1"/>
  <c r="E14" i="22"/>
  <c r="F13" i="22"/>
  <c r="E13" i="22" s="1"/>
  <c r="E12" i="22"/>
  <c r="F94" i="22"/>
  <c r="E94" i="22" s="1"/>
  <c r="Q62" i="7"/>
  <c r="R62" i="7" s="1"/>
  <c r="Q29" i="7"/>
  <c r="R29" i="7" s="1"/>
  <c r="Q28" i="7"/>
  <c r="R28" i="7" s="1"/>
  <c r="Q18" i="7"/>
  <c r="R18" i="7" s="1"/>
  <c r="Q71" i="7"/>
  <c r="R71" i="7" s="1"/>
  <c r="Q61" i="7"/>
  <c r="R61" i="7" s="1"/>
  <c r="Q42" i="7"/>
  <c r="R42" i="7" s="1"/>
  <c r="M89" i="29"/>
  <c r="N74" i="29"/>
  <c r="O74" i="29" s="1"/>
  <c r="M32" i="7"/>
  <c r="O32" i="7" s="1"/>
  <c r="I54" i="22" s="1"/>
  <c r="H54" i="22" s="1"/>
  <c r="J38" i="7"/>
  <c r="J7" i="7"/>
  <c r="I31" i="7"/>
  <c r="I74" i="7"/>
  <c r="J39" i="7"/>
  <c r="F7" i="22" l="1"/>
  <c r="E7" i="22" s="1"/>
  <c r="F23" i="22"/>
  <c r="E23" i="22" s="1"/>
  <c r="E21" i="22"/>
  <c r="I75" i="7"/>
  <c r="M39" i="7"/>
  <c r="O39" i="7" s="1"/>
  <c r="I63" i="22" s="1"/>
  <c r="H63" i="22" s="1"/>
  <c r="J74" i="7"/>
  <c r="J31" i="7"/>
  <c r="M7" i="7"/>
  <c r="O7" i="7" s="1"/>
  <c r="I2" i="22" s="1"/>
  <c r="H2" i="22" s="1"/>
  <c r="N32" i="7"/>
  <c r="S32" i="7"/>
  <c r="F54" i="22" l="1"/>
  <c r="E54" i="22" s="1"/>
  <c r="Q32" i="7"/>
  <c r="N7" i="7"/>
  <c r="F2" i="22" s="1"/>
  <c r="E2" i="22" s="1"/>
  <c r="S7" i="7"/>
  <c r="J75" i="7"/>
  <c r="N39" i="7"/>
  <c r="S39" i="7"/>
  <c r="F63" i="22" l="1"/>
  <c r="E63" i="22" s="1"/>
  <c r="Q39" i="7"/>
  <c r="Q7" i="7"/>
  <c r="R32" i="7"/>
  <c r="R38" i="7" s="1"/>
  <c r="S38" i="7" s="1"/>
  <c r="Q38" i="7"/>
  <c r="K82" i="7" s="1"/>
  <c r="J82" i="7" s="1"/>
  <c r="R7" i="7" l="1"/>
  <c r="R31" i="7" s="1"/>
  <c r="S31" i="7" s="1"/>
  <c r="Q31" i="7"/>
  <c r="K81" i="7" s="1"/>
  <c r="Q74" i="7"/>
  <c r="R39" i="7"/>
  <c r="R74" i="7" s="1"/>
  <c r="K83" i="7" l="1"/>
  <c r="J83" i="7" s="1"/>
  <c r="Q75" i="7"/>
  <c r="S74" i="7"/>
  <c r="R75" i="7"/>
  <c r="S75" i="7" s="1"/>
  <c r="J81" i="7"/>
  <c r="K84" i="7" l="1"/>
  <c r="M84" i="7" s="1"/>
  <c r="C85" i="4" l="1"/>
  <c r="C86" i="4" s="1"/>
  <c r="J84" i="7"/>
</calcChain>
</file>

<file path=xl/comments1.xml><?xml version="1.0" encoding="utf-8"?>
<comments xmlns="http://schemas.openxmlformats.org/spreadsheetml/2006/main">
  <authors>
    <author>Chelsea Paschke</author>
  </authors>
  <commentList>
    <comment ref="M1" authorId="0" shapeId="0">
      <text>
        <r>
          <rPr>
            <b/>
            <sz val="9"/>
            <color indexed="81"/>
            <rFont val="Tahoma"/>
            <family val="2"/>
          </rPr>
          <t>Chelsea Paschke:</t>
        </r>
        <r>
          <rPr>
            <sz val="9"/>
            <color indexed="81"/>
            <rFont val="Tahoma"/>
            <family val="2"/>
          </rPr>
          <t xml:space="preserve">
look up by service code because the standard service code repeats</t>
        </r>
      </text>
    </comment>
  </commentList>
</comments>
</file>

<file path=xl/comments2.xml><?xml version="1.0" encoding="utf-8"?>
<comments xmlns="http://schemas.openxmlformats.org/spreadsheetml/2006/main">
  <authors>
    <author>Heather Garland</author>
  </authors>
  <commentList>
    <comment ref="F7" authorId="0" shapeId="0">
      <text>
        <r>
          <rPr>
            <b/>
            <sz val="9"/>
            <color indexed="81"/>
            <rFont val="Tahoma"/>
            <family val="2"/>
          </rPr>
          <t>Heather Garland:</t>
        </r>
        <r>
          <rPr>
            <sz val="9"/>
            <color indexed="81"/>
            <rFont val="Tahoma"/>
            <family val="2"/>
          </rPr>
          <t xml:space="preserve">
Per County Solid Waste Plan Non-Recycling has to be +$1 per 32 gal.</t>
        </r>
      </text>
    </comment>
    <comment ref="I7" authorId="0" shapeId="0">
      <text>
        <r>
          <rPr>
            <b/>
            <sz val="9"/>
            <color indexed="81"/>
            <rFont val="Tahoma"/>
            <family val="2"/>
          </rPr>
          <t>Heather Garland:</t>
        </r>
        <r>
          <rPr>
            <sz val="9"/>
            <color indexed="81"/>
            <rFont val="Tahoma"/>
            <family val="2"/>
          </rPr>
          <t xml:space="preserve">
Per County Solid Waste Plan Non-Recycling has to be +$1 per 32 gal.</t>
        </r>
      </text>
    </comment>
    <comment ref="F9" authorId="0" shapeId="0">
      <text>
        <r>
          <rPr>
            <b/>
            <sz val="9"/>
            <color indexed="81"/>
            <rFont val="Tahoma"/>
            <family val="2"/>
          </rPr>
          <t>Heather Garland:</t>
        </r>
        <r>
          <rPr>
            <sz val="9"/>
            <color indexed="81"/>
            <rFont val="Tahoma"/>
            <family val="2"/>
          </rPr>
          <t xml:space="preserve">
Per County Solid Waste Plan Non-Recycling has to be +$1 per 32 gal.</t>
        </r>
      </text>
    </comment>
    <comment ref="I9" authorId="0" shapeId="0">
      <text>
        <r>
          <rPr>
            <b/>
            <sz val="9"/>
            <color indexed="81"/>
            <rFont val="Tahoma"/>
            <family val="2"/>
          </rPr>
          <t>Heather Garland:</t>
        </r>
        <r>
          <rPr>
            <sz val="9"/>
            <color indexed="81"/>
            <rFont val="Tahoma"/>
            <family val="2"/>
          </rPr>
          <t xml:space="preserve">
Per County Solid Waste Plan Non-Recycling has to be +$1 per 32 gal.</t>
        </r>
      </text>
    </comment>
    <comment ref="F11" authorId="0" shapeId="0">
      <text>
        <r>
          <rPr>
            <b/>
            <sz val="9"/>
            <color indexed="81"/>
            <rFont val="Tahoma"/>
            <family val="2"/>
          </rPr>
          <t>Heather Garland:</t>
        </r>
        <r>
          <rPr>
            <sz val="9"/>
            <color indexed="81"/>
            <rFont val="Tahoma"/>
            <family val="2"/>
          </rPr>
          <t xml:space="preserve">
Per County Solid Waste Plan Non-Recycling has to be +$1 per 32 gal.</t>
        </r>
      </text>
    </comment>
    <comment ref="I11" authorId="0" shapeId="0">
      <text>
        <r>
          <rPr>
            <b/>
            <sz val="9"/>
            <color indexed="81"/>
            <rFont val="Tahoma"/>
            <family val="2"/>
          </rPr>
          <t>Heather Garland:</t>
        </r>
        <r>
          <rPr>
            <sz val="9"/>
            <color indexed="81"/>
            <rFont val="Tahoma"/>
            <family val="2"/>
          </rPr>
          <t xml:space="preserve">
Per County Solid Waste Plan Non-Recycling has to be +$1 per 32 gal.</t>
        </r>
      </text>
    </comment>
  </commentList>
</comments>
</file>

<file path=xl/comments3.xml><?xml version="1.0" encoding="utf-8"?>
<comments xmlns="http://schemas.openxmlformats.org/spreadsheetml/2006/main">
  <authors>
    <author>LauraKa</author>
    <author>Brittany Mani</author>
    <author>Laurag</author>
    <author>Heather Garland</author>
  </authors>
  <commentList>
    <comment ref="A13" authorId="0" shapeId="0">
      <text>
        <r>
          <rPr>
            <b/>
            <sz val="8"/>
            <color indexed="81"/>
            <rFont val="Tahoma"/>
            <family val="2"/>
          </rPr>
          <t>LauraKa:</t>
        </r>
        <r>
          <rPr>
            <sz val="8"/>
            <color indexed="81"/>
            <rFont val="Tahoma"/>
            <family val="2"/>
          </rPr>
          <t xml:space="preserve">
Reg = 999999</t>
        </r>
      </text>
    </comment>
    <comment ref="C69" authorId="1" shapeId="0">
      <text>
        <r>
          <rPr>
            <b/>
            <sz val="9"/>
            <color indexed="81"/>
            <rFont val="Tahoma"/>
            <family val="2"/>
          </rPr>
          <t>Brittany Mani:</t>
        </r>
        <r>
          <rPr>
            <sz val="9"/>
            <color indexed="81"/>
            <rFont val="Tahoma"/>
            <family val="2"/>
          </rPr>
          <t xml:space="preserve">
Note: $18 Min at SR - per ton rate is $58.70</t>
        </r>
      </text>
    </comment>
    <comment ref="A73" authorId="2" shapeId="0">
      <text>
        <r>
          <rPr>
            <b/>
            <sz val="8"/>
            <color indexed="81"/>
            <rFont val="Tahoma"/>
            <family val="2"/>
          </rPr>
          <t>LauraKa:</t>
        </r>
        <r>
          <rPr>
            <sz val="8"/>
            <color indexed="81"/>
            <rFont val="Tahoma"/>
            <family val="2"/>
          </rPr>
          <t xml:space="preserve">
31005</t>
        </r>
      </text>
    </comment>
    <comment ref="B74" authorId="3" shapeId="0">
      <text>
        <r>
          <rPr>
            <b/>
            <sz val="9"/>
            <color indexed="81"/>
            <rFont val="Tahoma"/>
            <family val="2"/>
          </rPr>
          <t>Heather Garland:</t>
        </r>
        <r>
          <rPr>
            <sz val="9"/>
            <color indexed="81"/>
            <rFont val="Tahoma"/>
            <family val="2"/>
          </rPr>
          <t xml:space="preserve">
Difference related to non-regulated JBLM special waste.  No impact on DF calculation.</t>
        </r>
      </text>
    </comment>
    <comment ref="A78" authorId="0" shapeId="0">
      <text>
        <r>
          <rPr>
            <b/>
            <sz val="8"/>
            <color indexed="81"/>
            <rFont val="Tahoma"/>
            <family val="2"/>
          </rPr>
          <t>LauraKa:</t>
        </r>
        <r>
          <rPr>
            <sz val="8"/>
            <color indexed="81"/>
            <rFont val="Tahoma"/>
            <family val="2"/>
          </rPr>
          <t xml:space="preserve">
40109</t>
        </r>
      </text>
    </comment>
    <comment ref="A82" authorId="1" shapeId="0">
      <text>
        <r>
          <rPr>
            <b/>
            <sz val="9"/>
            <color indexed="81"/>
            <rFont val="Tahoma"/>
            <family val="2"/>
          </rPr>
          <t>Brittany Mani:</t>
        </r>
        <r>
          <rPr>
            <sz val="9"/>
            <color indexed="81"/>
            <rFont val="Tahoma"/>
            <family val="2"/>
          </rPr>
          <t xml:space="preserve">
40109-000-04 - White Wood and YW at Sales Road</t>
        </r>
      </text>
    </comment>
    <comment ref="A86" authorId="2" shapeId="0">
      <text>
        <r>
          <rPr>
            <b/>
            <sz val="8"/>
            <color indexed="81"/>
            <rFont val="Tahoma"/>
            <family val="2"/>
          </rPr>
          <t>LauraKa:</t>
        </r>
        <r>
          <rPr>
            <sz val="8"/>
            <color indexed="81"/>
            <rFont val="Tahoma"/>
            <family val="2"/>
          </rPr>
          <t xml:space="preserve">
31005</t>
        </r>
      </text>
    </comment>
    <comment ref="A102" authorId="0" shapeId="0">
      <text>
        <r>
          <rPr>
            <b/>
            <sz val="8"/>
            <color indexed="81"/>
            <rFont val="Tahoma"/>
            <family val="2"/>
          </rPr>
          <t>LauraKa:</t>
        </r>
        <r>
          <rPr>
            <sz val="8"/>
            <color indexed="81"/>
            <rFont val="Tahoma"/>
            <family val="2"/>
          </rPr>
          <t xml:space="preserve">
To Recovery 1 from JBLM contract boxes</t>
        </r>
      </text>
    </comment>
    <comment ref="A108" authorId="0" shapeId="0">
      <text>
        <r>
          <rPr>
            <b/>
            <sz val="8"/>
            <color indexed="81"/>
            <rFont val="Tahoma"/>
            <family val="2"/>
          </rPr>
          <t>LauraKa:</t>
        </r>
        <r>
          <rPr>
            <sz val="8"/>
            <color indexed="81"/>
            <rFont val="Tahoma"/>
            <family val="2"/>
          </rPr>
          <t xml:space="preserve">
To L&amp;S from JBLM contract boxes</t>
        </r>
      </text>
    </comment>
    <comment ref="A113" authorId="0" shapeId="0">
      <text>
        <r>
          <rPr>
            <b/>
            <sz val="8"/>
            <color indexed="81"/>
            <rFont val="Tahoma"/>
            <family val="2"/>
          </rPr>
          <t>LauraKa:</t>
        </r>
        <r>
          <rPr>
            <sz val="8"/>
            <color indexed="81"/>
            <rFont val="Tahoma"/>
            <family val="2"/>
          </rPr>
          <t xml:space="preserve">
Mt Rainier boxes to Cedar Grove</t>
        </r>
      </text>
    </comment>
  </commentList>
</comments>
</file>

<file path=xl/comments4.xml><?xml version="1.0" encoding="utf-8"?>
<comments xmlns="http://schemas.openxmlformats.org/spreadsheetml/2006/main">
  <authors>
    <author>Heather Garland</author>
    <author>Brittany Mani</author>
  </authors>
  <commentList>
    <comment ref="C258" authorId="0" shapeId="0">
      <text>
        <r>
          <rPr>
            <b/>
            <sz val="9"/>
            <color indexed="81"/>
            <rFont val="Tahoma"/>
            <family val="2"/>
          </rPr>
          <t>Heather Garland:</t>
        </r>
        <r>
          <rPr>
            <sz val="9"/>
            <color indexed="81"/>
            <rFont val="Tahoma"/>
            <family val="2"/>
          </rPr>
          <t xml:space="preserve">
Related to LRI hauls from Anderson Island - need to exclude from Regulated.</t>
        </r>
      </text>
    </comment>
    <comment ref="H258" authorId="1" shapeId="0">
      <text>
        <r>
          <rPr>
            <b/>
            <sz val="9"/>
            <color indexed="81"/>
            <rFont val="Tahoma"/>
            <family val="2"/>
          </rPr>
          <t>Brittany Mani:</t>
        </r>
        <r>
          <rPr>
            <sz val="9"/>
            <color indexed="81"/>
            <rFont val="Tahoma"/>
            <family val="2"/>
          </rPr>
          <t xml:space="preserve">
Price changes in the summer vs winter - we bill what the ferry ticket costs</t>
        </r>
      </text>
    </comment>
    <comment ref="I258" authorId="1" shapeId="0">
      <text>
        <r>
          <rPr>
            <b/>
            <sz val="9"/>
            <color indexed="81"/>
            <rFont val="Tahoma"/>
            <family val="2"/>
          </rPr>
          <t>Brittany Mani:</t>
        </r>
        <r>
          <rPr>
            <sz val="9"/>
            <color indexed="81"/>
            <rFont val="Tahoma"/>
            <family val="2"/>
          </rPr>
          <t xml:space="preserve">
Price changes in the summer vs winter - we bill what the ferry ticket costs</t>
        </r>
      </text>
    </comment>
  </commentList>
</comments>
</file>

<file path=xl/comments5.xml><?xml version="1.0" encoding="utf-8"?>
<comments xmlns="http://schemas.openxmlformats.org/spreadsheetml/2006/main">
  <authors>
    <author>Heather Garland</author>
    <author>Brittany Mani</author>
  </authors>
  <commentList>
    <comment ref="C248" authorId="0" shapeId="0">
      <text>
        <r>
          <rPr>
            <b/>
            <sz val="9"/>
            <color indexed="81"/>
            <rFont val="Tahoma"/>
            <family val="2"/>
          </rPr>
          <t>Heather Garland:</t>
        </r>
        <r>
          <rPr>
            <sz val="9"/>
            <color indexed="81"/>
            <rFont val="Tahoma"/>
            <family val="2"/>
          </rPr>
          <t xml:space="preserve">
Related to LRI hauls from Anderson Island - need to exclude from Regulated.</t>
        </r>
      </text>
    </comment>
    <comment ref="H248" authorId="1" shapeId="0">
      <text>
        <r>
          <rPr>
            <b/>
            <sz val="9"/>
            <color indexed="81"/>
            <rFont val="Tahoma"/>
            <family val="2"/>
          </rPr>
          <t>Brittany Mani:</t>
        </r>
        <r>
          <rPr>
            <sz val="9"/>
            <color indexed="81"/>
            <rFont val="Tahoma"/>
            <family val="2"/>
          </rPr>
          <t xml:space="preserve">
Price changes in the summer vs winter - we bill what the ferry ticket costs</t>
        </r>
      </text>
    </comment>
    <comment ref="I248" authorId="1" shapeId="0">
      <text>
        <r>
          <rPr>
            <b/>
            <sz val="9"/>
            <color indexed="81"/>
            <rFont val="Tahoma"/>
            <family val="2"/>
          </rPr>
          <t>Brittany Mani:</t>
        </r>
        <r>
          <rPr>
            <sz val="9"/>
            <color indexed="81"/>
            <rFont val="Tahoma"/>
            <family val="2"/>
          </rPr>
          <t xml:space="preserve">
Price changes in the summer vs winter - we bill what the ferry ticket costs</t>
        </r>
      </text>
    </comment>
  </commentList>
</comments>
</file>

<file path=xl/sharedStrings.xml><?xml version="1.0" encoding="utf-8"?>
<sst xmlns="http://schemas.openxmlformats.org/spreadsheetml/2006/main" count="2852" uniqueCount="851">
  <si>
    <t>Gross Up</t>
  </si>
  <si>
    <t>Totals</t>
  </si>
  <si>
    <t>Increase per ton</t>
  </si>
  <si>
    <t>Per Ton</t>
  </si>
  <si>
    <t>Per Pound</t>
  </si>
  <si>
    <t xml:space="preserve">Current Rate </t>
  </si>
  <si>
    <t>New Rate per ton</t>
  </si>
  <si>
    <t>Increase</t>
  </si>
  <si>
    <t>Meeks Weights</t>
  </si>
  <si>
    <t>Adjustment factor</t>
  </si>
  <si>
    <t>Collected Revenue Excess/(Deficiency)</t>
  </si>
  <si>
    <t>Commercial</t>
  </si>
  <si>
    <t>Tariff Page</t>
  </si>
  <si>
    <t>Total</t>
  </si>
  <si>
    <t>Monthly Factor</t>
  </si>
  <si>
    <t>Lbs. per ton</t>
  </si>
  <si>
    <t>Yds. Per ton</t>
  </si>
  <si>
    <t>Weekly Pickup (WG)</t>
  </si>
  <si>
    <t>Monthly (MG)</t>
  </si>
  <si>
    <t>Every Other Week (EOWG)</t>
  </si>
  <si>
    <t>Grossed Up Increase per ton</t>
  </si>
  <si>
    <t>Gross Up Factors</t>
  </si>
  <si>
    <t>B&amp;O tax</t>
  </si>
  <si>
    <t>WUTC fees</t>
  </si>
  <si>
    <t>Factor</t>
  </si>
  <si>
    <t>Disposal Fee Revenue Increase</t>
  </si>
  <si>
    <t>Extras</t>
  </si>
  <si>
    <t>Total Pounds</t>
  </si>
  <si>
    <t>Calculated Annual Pounds</t>
  </si>
  <si>
    <t>Adjusted Annual Pounds</t>
  </si>
  <si>
    <t>Company Current Revenue</t>
  </si>
  <si>
    <t>Tariff Rate Increase</t>
  </si>
  <si>
    <t>Revised Revenue Increase</t>
  </si>
  <si>
    <t>1 unit</t>
  </si>
  <si>
    <t>2 units</t>
  </si>
  <si>
    <t>3 units</t>
  </si>
  <si>
    <t>n/a</t>
  </si>
  <si>
    <t>4 units</t>
  </si>
  <si>
    <t>5 units</t>
  </si>
  <si>
    <t>6 units</t>
  </si>
  <si>
    <t>Bad Debts</t>
  </si>
  <si>
    <t>Res'l</t>
  </si>
  <si>
    <t>7 unit</t>
  </si>
  <si>
    <t>5 Times per Week</t>
  </si>
  <si>
    <t>3 Times per Week</t>
  </si>
  <si>
    <t>2 Times per Week</t>
  </si>
  <si>
    <t>Pickups:</t>
  </si>
  <si>
    <t>1 can</t>
  </si>
  <si>
    <t>2 cans</t>
  </si>
  <si>
    <t>3 cans</t>
  </si>
  <si>
    <t>4 cans</t>
  </si>
  <si>
    <t>5 cans</t>
  </si>
  <si>
    <t>6 cans</t>
  </si>
  <si>
    <t>Supercan 60</t>
  </si>
  <si>
    <t>Supercan 90</t>
  </si>
  <si>
    <t>Once a month</t>
  </si>
  <si>
    <t>Com'l</t>
  </si>
  <si>
    <t>Cans</t>
  </si>
  <si>
    <t>1 yd container</t>
  </si>
  <si>
    <t>1.5 yd container</t>
  </si>
  <si>
    <t>2 yd container</t>
  </si>
  <si>
    <t>3 yd container</t>
  </si>
  <si>
    <t>4 yd container</t>
  </si>
  <si>
    <t>6 yd container</t>
  </si>
  <si>
    <t>8 yd container</t>
  </si>
  <si>
    <t>3 yd packer/compactor</t>
  </si>
  <si>
    <t>2 yd packer/compactor</t>
  </si>
  <si>
    <t>4 yd packer/compactor</t>
  </si>
  <si>
    <t>6 yd packer/compactor</t>
  </si>
  <si>
    <t>Yards</t>
  </si>
  <si>
    <t>Pounds per Pickup</t>
  </si>
  <si>
    <t>20 gal minican</t>
  </si>
  <si>
    <t>*</t>
  </si>
  <si>
    <t>Annual</t>
  </si>
  <si>
    <t>Res'l &amp; Com'l</t>
  </si>
  <si>
    <t>Revenue Inc from Co Proposed Rates</t>
  </si>
  <si>
    <t>Company Proposed Rates</t>
  </si>
  <si>
    <t>Adjustment Factor Calculation</t>
  </si>
  <si>
    <t>4 Times per Week</t>
  </si>
  <si>
    <t>WG-R</t>
  </si>
  <si>
    <t>WG-NR</t>
  </si>
  <si>
    <t>MG</t>
  </si>
  <si>
    <t>Extra Units</t>
  </si>
  <si>
    <t>Each</t>
  </si>
  <si>
    <t>1 yard</t>
  </si>
  <si>
    <t>1.5 yard</t>
  </si>
  <si>
    <t>2 yard</t>
  </si>
  <si>
    <t>4 yard</t>
  </si>
  <si>
    <t>6 yard</t>
  </si>
  <si>
    <t>3 yard</t>
  </si>
  <si>
    <t>RESIDENTIAL</t>
  </si>
  <si>
    <t>Pierce County</t>
  </si>
  <si>
    <t>Compaction Ratio:   3:1</t>
  </si>
  <si>
    <t>Compaction Ratio:   2:25</t>
  </si>
  <si>
    <t>Compaction Ratio:   4:1</t>
  </si>
  <si>
    <t>Compaction Ratio:   5:1</t>
  </si>
  <si>
    <t>COMMERCIAL</t>
  </si>
  <si>
    <t>40 gallon Can</t>
  </si>
  <si>
    <t>Proposed Revenue</t>
  </si>
  <si>
    <t xml:space="preserve">* not on meeks - for compactors </t>
  </si>
  <si>
    <t xml:space="preserve">   calculated weight times compaction ratio</t>
  </si>
  <si>
    <t>Dump Fee Calc References</t>
  </si>
  <si>
    <t>Dump Fee Calculation</t>
  </si>
  <si>
    <t>35 Gallon Cart</t>
  </si>
  <si>
    <t>65 Gallon Cart</t>
  </si>
  <si>
    <t>95 Gallon Cart</t>
  </si>
  <si>
    <t>Service Code</t>
  </si>
  <si>
    <t>Resi</t>
  </si>
  <si>
    <t>Item/Page</t>
  </si>
  <si>
    <t>LOB</t>
  </si>
  <si>
    <t>SERVICE CODE</t>
  </si>
  <si>
    <t>SERVICE</t>
  </si>
  <si>
    <t>FREQUENCY</t>
  </si>
  <si>
    <t>MEEKS WEIGHT</t>
  </si>
  <si>
    <t>Regular</t>
  </si>
  <si>
    <t>Extra</t>
  </si>
  <si>
    <t>SIZE</t>
  </si>
  <si>
    <t>35 Gal</t>
  </si>
  <si>
    <t>65 Gal</t>
  </si>
  <si>
    <t>95 Gal</t>
  </si>
  <si>
    <t>1 YD</t>
  </si>
  <si>
    <t xml:space="preserve">1.5 YD </t>
  </si>
  <si>
    <t>4 YD</t>
  </si>
  <si>
    <t>6 YD</t>
  </si>
  <si>
    <t>3 YD</t>
  </si>
  <si>
    <t>2 YD</t>
  </si>
  <si>
    <t>STANDARD SERVICE CODE</t>
  </si>
  <si>
    <t>TYPE</t>
  </si>
  <si>
    <t>ANNUAL CUSTOMERS</t>
  </si>
  <si>
    <t>ANNUAL PICKUPS</t>
  </si>
  <si>
    <t>Scheduled Service -   As shown on Tariff</t>
  </si>
  <si>
    <t>Annual Pick Ups</t>
  </si>
  <si>
    <t>Service Code Description</t>
  </si>
  <si>
    <t>RESIDENTIAL GARBAGE</t>
  </si>
  <si>
    <t>TOTAL RESIDENTIAL GARBAGE</t>
  </si>
  <si>
    <t>RESIDENTIAL RECYCLING</t>
  </si>
  <si>
    <t>RECYCLE SERVICE ONLY</t>
  </si>
  <si>
    <t>TOTAL RESIDENTIAL RECYCLING</t>
  </si>
  <si>
    <t>RESIDENTIAL YARD WASTE</t>
  </si>
  <si>
    <t>TOTAL RESIDENTIAL YARD WASTE</t>
  </si>
  <si>
    <t>COMMERCIAL GARBAGE</t>
  </si>
  <si>
    <t>TOTAL COMMERCIAL GARBAGE</t>
  </si>
  <si>
    <t>MULTI-FAMILY RECYCLING</t>
  </si>
  <si>
    <t>TOTAL MULTI-FAMILY RECYCLING</t>
  </si>
  <si>
    <t>DROP BOX SERVICES</t>
  </si>
  <si>
    <t>DROP BOX HAULS/RENTAL</t>
  </si>
  <si>
    <t>TOTAL DROP BOX HAULS/RENTAL</t>
  </si>
  <si>
    <t>PASSTHROUGH DISPOSAL</t>
  </si>
  <si>
    <t>TOTAL PASSTHROUGH DISPOSAL</t>
  </si>
  <si>
    <t>Check</t>
  </si>
  <si>
    <t>Residential</t>
  </si>
  <si>
    <t>Summary</t>
  </si>
  <si>
    <t>Current Revenue</t>
  </si>
  <si>
    <t>Comm</t>
  </si>
  <si>
    <t>INPUT CELLS</t>
  </si>
  <si>
    <t>Immaterial</t>
  </si>
  <si>
    <t>Customers</t>
  </si>
  <si>
    <t>Monthly</t>
  </si>
  <si>
    <t>NEW RATES</t>
  </si>
  <si>
    <t>Temp</t>
  </si>
  <si>
    <t>As Shown In Tariff</t>
  </si>
  <si>
    <t>RL020.0G1W001</t>
  </si>
  <si>
    <t>RL032.0G1M001NOREC</t>
  </si>
  <si>
    <t>RL032.0G1M001WREC</t>
  </si>
  <si>
    <t>32 GL 1X MO W/RECY 1</t>
  </si>
  <si>
    <t>RL032.0G1W001NOREC</t>
  </si>
  <si>
    <t>RL032.0G1W001WREC</t>
  </si>
  <si>
    <t>32 GL 1X WK W/RECY 1</t>
  </si>
  <si>
    <t>RL032.0G1W002NOREC</t>
  </si>
  <si>
    <t>RL032.0G1W002WREC</t>
  </si>
  <si>
    <t>32 GL 1X WK W/RECY 2</t>
  </si>
  <si>
    <t>RL032.0G1W003WREC</t>
  </si>
  <si>
    <t>RL032.0G1W004NOREC</t>
  </si>
  <si>
    <t>RL032.0G1W004WREC</t>
  </si>
  <si>
    <t>SL035.0G1M001WREC</t>
  </si>
  <si>
    <t>35 GL 1X MO W/ RECY 1</t>
  </si>
  <si>
    <t>SL035.0GEO001WREC</t>
  </si>
  <si>
    <t>35 GL EOW W/RECY 1</t>
  </si>
  <si>
    <t>SL035.0G1W001WREC</t>
  </si>
  <si>
    <t>35 GL 1X WK W/ RECY 1</t>
  </si>
  <si>
    <t>SL035.0G1W002WREC</t>
  </si>
  <si>
    <t>35 GL 1X WK W/RECY 2</t>
  </si>
  <si>
    <t>SL065.0G1M001NOREC</t>
  </si>
  <si>
    <t>65 GL 1X MO NO RECY 1</t>
  </si>
  <si>
    <t>SL065.0G1M001WREC</t>
  </si>
  <si>
    <t>65 GL 1X MO W/RECY 1</t>
  </si>
  <si>
    <t>SL065.0G1W001NOREC</t>
  </si>
  <si>
    <t>65 GL 1X WK NO RECY 1</t>
  </si>
  <si>
    <t>SL065.0G1W001WREC</t>
  </si>
  <si>
    <t>65 GL 1X WK W/RECY 1</t>
  </si>
  <si>
    <t>SL065.0GEO001NOREC</t>
  </si>
  <si>
    <t>65 GL EOW NO RECY 1</t>
  </si>
  <si>
    <t>SL065.0GEO001WREC</t>
  </si>
  <si>
    <t>65 GL EOW W/RECY 1</t>
  </si>
  <si>
    <t>SL095.0G1M001NOREC</t>
  </si>
  <si>
    <t>95 GL 1X MO NO RECY 1</t>
  </si>
  <si>
    <t>SL095.0G1M001WREC</t>
  </si>
  <si>
    <t>95 GL 1X MO W/RECY 1</t>
  </si>
  <si>
    <t>SL095.0G1W001NOREC</t>
  </si>
  <si>
    <t>95 GL 1X WK NO RECY 1</t>
  </si>
  <si>
    <t>SL095.0G1W001WREC</t>
  </si>
  <si>
    <t>95 GL 1X WK W/RECY 1</t>
  </si>
  <si>
    <t>SL095.0GEO001NOREC</t>
  </si>
  <si>
    <t>95 GL EOW NO RECY 1</t>
  </si>
  <si>
    <t>SL095.0GEO001WREC</t>
  </si>
  <si>
    <t>95 GL EOW W/RECY 1</t>
  </si>
  <si>
    <t>BULKY-RES</t>
  </si>
  <si>
    <t>BULKY ITEM PICK UP - RES</t>
  </si>
  <si>
    <t>EXTRA-RES</t>
  </si>
  <si>
    <t>EXTRA CAN, BAG, BOX - RES</t>
  </si>
  <si>
    <t>FL001.0Y1W001</t>
  </si>
  <si>
    <t>1 YD 1X WK 1</t>
  </si>
  <si>
    <t>FL001.0Y2W001</t>
  </si>
  <si>
    <t>1 YD 2X WK 1</t>
  </si>
  <si>
    <t>FL001.0Y3W001</t>
  </si>
  <si>
    <t>1 YD 3X WK 1</t>
  </si>
  <si>
    <t>FL001.5Y1W001</t>
  </si>
  <si>
    <t>1.5 YD 1X WK 1</t>
  </si>
  <si>
    <t>FL001.5Y2W001</t>
  </si>
  <si>
    <t>1.5 YD 2X WK 1</t>
  </si>
  <si>
    <t>FL001.5Y3W001</t>
  </si>
  <si>
    <t>1.5 YD 3X WK 1</t>
  </si>
  <si>
    <t>FL002.0Y1W001</t>
  </si>
  <si>
    <t>2 YD 1X WK 1</t>
  </si>
  <si>
    <t>FL002.0Y2W001</t>
  </si>
  <si>
    <t>2 YD 2X WK 1</t>
  </si>
  <si>
    <t>FL002.0Y3W001</t>
  </si>
  <si>
    <t>2 YD 3X WK 1</t>
  </si>
  <si>
    <t>FL003.0Y1W001</t>
  </si>
  <si>
    <t>3 YD 1X WK 1</t>
  </si>
  <si>
    <t>FL003.0Y2W001</t>
  </si>
  <si>
    <t>3 YD 2X WK 1</t>
  </si>
  <si>
    <t>FL003.0Y3W001</t>
  </si>
  <si>
    <t>3 YD 3X WK 1</t>
  </si>
  <si>
    <t>FL004.0Y1W001</t>
  </si>
  <si>
    <t>4 YD 1X WK 1</t>
  </si>
  <si>
    <t>FL004.0Y2W001</t>
  </si>
  <si>
    <t>4 YD 2X WK 1</t>
  </si>
  <si>
    <t>FL004.0Y3W001</t>
  </si>
  <si>
    <t>4 YD 3X WK 1</t>
  </si>
  <si>
    <t>FL004.0Y4W001</t>
  </si>
  <si>
    <t>4 YD 4X WK 1</t>
  </si>
  <si>
    <t>FL004.0Y5W001</t>
  </si>
  <si>
    <t>4 YD 5X WK 1</t>
  </si>
  <si>
    <t>FL006.0Y1W001</t>
  </si>
  <si>
    <t>6 YD 1X WK 1</t>
  </si>
  <si>
    <t>FL006.0Y2W001</t>
  </si>
  <si>
    <t>6 YD 2X WK 1</t>
  </si>
  <si>
    <t>FL006.0Y3W001</t>
  </si>
  <si>
    <t>6 YD 3X WK 1</t>
  </si>
  <si>
    <t>FL006.0Y4W001</t>
  </si>
  <si>
    <t>6 YD 4X WK 1</t>
  </si>
  <si>
    <t>FL002.0Y1W001CMP</t>
  </si>
  <si>
    <t>2 YD 1X WK COMP 1</t>
  </si>
  <si>
    <t>FL003.0Y2W001CMP</t>
  </si>
  <si>
    <t>3 YD 2X WK COMP 1</t>
  </si>
  <si>
    <t>FL004.0Y1W001CMP</t>
  </si>
  <si>
    <t>4 YD 1X WK COMP 1</t>
  </si>
  <si>
    <t>FL004.0Y2W001CMP</t>
  </si>
  <si>
    <t>4 YD 2X WK COMP 1</t>
  </si>
  <si>
    <t>RL032.0G1W001NORECC</t>
  </si>
  <si>
    <t>32 GL 1X WK NO RECY COMM</t>
  </si>
  <si>
    <t>RL032.0G1W001WRECC</t>
  </si>
  <si>
    <t>32 GL 1X WK W/RECY COMM 1</t>
  </si>
  <si>
    <t>RL032.0G1W002NORECC</t>
  </si>
  <si>
    <t>RL032.0G1W002WRECC</t>
  </si>
  <si>
    <t>32 GL 1X WK W/RECY COMM 2</t>
  </si>
  <si>
    <t>RL032.0G1W003WRECC</t>
  </si>
  <si>
    <t>32 GL 1X WK W/RECY COMM 3</t>
  </si>
  <si>
    <t>RL032.0G1W004WRECC</t>
  </si>
  <si>
    <t>32 GL 1X WK W/RECY COMM 4</t>
  </si>
  <si>
    <t>SL065.0G1W001NORECC</t>
  </si>
  <si>
    <t>65 GL 1X WK NO RECY COMM</t>
  </si>
  <si>
    <t>SL065.0G1W001WRECC</t>
  </si>
  <si>
    <t>65 GL 1X WK W/RECY COMM 1</t>
  </si>
  <si>
    <t>SL065.0GEO001NORECC</t>
  </si>
  <si>
    <t>65 GL EOW NO RECY COMM 1</t>
  </si>
  <si>
    <t>SL065.0GEO001WRECC</t>
  </si>
  <si>
    <t>65 GL EOW W/RECY COMM 1</t>
  </si>
  <si>
    <t>SL095.0G1W001NORECC</t>
  </si>
  <si>
    <t>95 GL 1X WK NO RECY COMM</t>
  </si>
  <si>
    <t>SL095.0G1W001WRECC</t>
  </si>
  <si>
    <t>95 GL 1X WK W/RECY COMM 1</t>
  </si>
  <si>
    <t>SL095.0GEO001NORECC</t>
  </si>
  <si>
    <t>95 GL EOW NO RECY COMM 1</t>
  </si>
  <si>
    <t>SL095.0GEO001WRECC</t>
  </si>
  <si>
    <t>95 GL EOW W/RECY COMM 1</t>
  </si>
  <si>
    <t>CANCOUNT65-COMM</t>
  </si>
  <si>
    <t>CAN COUNT 65 GL - COMM</t>
  </si>
  <si>
    <t>CANCOUNT95-COMM</t>
  </si>
  <si>
    <t>CAN COUNT 95 GL - COMM</t>
  </si>
  <si>
    <t>CANCOUNT-COMM</t>
  </si>
  <si>
    <t>CAN COUNT - COMM</t>
  </si>
  <si>
    <t>DIST4CAN-COMM</t>
  </si>
  <si>
    <t>DISTRIBUTED 4 CANS - COMM</t>
  </si>
  <si>
    <t>FL001.0YXX001TEMPC</t>
  </si>
  <si>
    <t>1 YD TEMP</t>
  </si>
  <si>
    <t>FL001.5YXX001TEMPC</t>
  </si>
  <si>
    <t>1.5 YD TEMP</t>
  </si>
  <si>
    <t>FL002.0YXX001TEMPC</t>
  </si>
  <si>
    <t>2 YD TEMP</t>
  </si>
  <si>
    <t>FL003.0YXX001TEMPC</t>
  </si>
  <si>
    <t>3 YD TEMP</t>
  </si>
  <si>
    <t>FL004.0YXX001TEMPC</t>
  </si>
  <si>
    <t>4 YD TEMP 1</t>
  </si>
  <si>
    <t>FL006.0YXX001TEMPC</t>
  </si>
  <si>
    <t>6 YD TEMP 1</t>
  </si>
  <si>
    <t>BULKY-COMM</t>
  </si>
  <si>
    <t>BULKY ITEM PICK UP - COMM</t>
  </si>
  <si>
    <t>EXTRA-COMM</t>
  </si>
  <si>
    <t>EXTRA CAN, BAG, BOX - COM</t>
  </si>
  <si>
    <t>EXTRAYDG-COM</t>
  </si>
  <si>
    <t>EXTRA YARDAGE - COMM</t>
  </si>
  <si>
    <t>JBLM</t>
  </si>
  <si>
    <t>FL006.0Y1W001MF</t>
  </si>
  <si>
    <t>6 YD 1X WK MULTI-FAMILY 1</t>
  </si>
  <si>
    <t>FL006.0Y2W001MF</t>
  </si>
  <si>
    <t>6 YD 2X WK MULTI-FAMILY 1</t>
  </si>
  <si>
    <t>32 Gallon Cart</t>
  </si>
  <si>
    <t>MG-NR</t>
  </si>
  <si>
    <t>32 Gal</t>
  </si>
  <si>
    <t>Item 100, pg 22</t>
  </si>
  <si>
    <t>Item 100, pg 21</t>
  </si>
  <si>
    <t>WG</t>
  </si>
  <si>
    <t>EOWG</t>
  </si>
  <si>
    <t>EOWG-NR</t>
  </si>
  <si>
    <t>EOWG-R</t>
  </si>
  <si>
    <t>MG-R</t>
  </si>
  <si>
    <t>EOW-R</t>
  </si>
  <si>
    <t>Item 105, pg 24-A</t>
  </si>
  <si>
    <t>Item 105, pg 24-C</t>
  </si>
  <si>
    <t>Item 120, pg 26</t>
  </si>
  <si>
    <t>Item 240, pg 33</t>
  </si>
  <si>
    <t>Details</t>
  </si>
  <si>
    <t>Compacted</t>
  </si>
  <si>
    <t>Item 245, pg 35</t>
  </si>
  <si>
    <t>Item 150, pg 26</t>
  </si>
  <si>
    <t>Item 245, pg 34</t>
  </si>
  <si>
    <t>PIERCE UTC</t>
  </si>
  <si>
    <t>GL Account</t>
  </si>
  <si>
    <t>Tariff Rate Effective 3/1/2019</t>
  </si>
  <si>
    <t>RESIDENTIAL SERVICES (billed per month unless noted)</t>
  </si>
  <si>
    <t>Concatenate (Area &amp;LOB &amp; Service Code)</t>
  </si>
  <si>
    <t>Resi MSW</t>
  </si>
  <si>
    <t>Resi MSW Extra</t>
  </si>
  <si>
    <t>EXTRAGRAD1-RES</t>
  </si>
  <si>
    <t>OS-RES</t>
  </si>
  <si>
    <t>OVERSIZE CAN - RES</t>
  </si>
  <si>
    <t>OW-RES</t>
  </si>
  <si>
    <t>OVERFILL / OVERWEIGHT CAN</t>
  </si>
  <si>
    <t>SPGRAD1-RES</t>
  </si>
  <si>
    <t>WI1-RES</t>
  </si>
  <si>
    <t>WI2-RES</t>
  </si>
  <si>
    <t>DRIVEIN1-RES</t>
  </si>
  <si>
    <t>DRIVEIN2-RES</t>
  </si>
  <si>
    <t>DRIVEIN4-RES</t>
  </si>
  <si>
    <t>DRIVEIN-RES</t>
  </si>
  <si>
    <t>ACCESS-RES</t>
  </si>
  <si>
    <t>PDBAG-RES</t>
  </si>
  <si>
    <t>PREPAID BAG - RES</t>
  </si>
  <si>
    <t>OC-RES</t>
  </si>
  <si>
    <t>ON CALL SERVICE - RES</t>
  </si>
  <si>
    <t>REDEL-RES</t>
  </si>
  <si>
    <t>REDELIVER FEE - RES</t>
  </si>
  <si>
    <t>REINSTATE-RES</t>
  </si>
  <si>
    <t>REINSTATE FEE - RES</t>
  </si>
  <si>
    <t>RTRNCART32-RES</t>
  </si>
  <si>
    <t>RETURN TRIP 32 GL - RES</t>
  </si>
  <si>
    <t>RTRNCART65-RES</t>
  </si>
  <si>
    <t>RETURN TRIP 65 GL - RES</t>
  </si>
  <si>
    <t>RTRNCART95-RES</t>
  </si>
  <si>
    <t>RETURN TRIP 95 GL - RES</t>
  </si>
  <si>
    <t>TIME-RES</t>
  </si>
  <si>
    <t>TIME FEE 1 - RES</t>
  </si>
  <si>
    <t>UNRETURN-RES</t>
  </si>
  <si>
    <t>CONTAINER UNRETURNED FEE</t>
  </si>
  <si>
    <t>ADJ-RES</t>
  </si>
  <si>
    <t>Garbage customers</t>
  </si>
  <si>
    <t>Customers w/o recycling</t>
  </si>
  <si>
    <t>Resi Recycle Count</t>
  </si>
  <si>
    <t>RECBINONLYR</t>
  </si>
  <si>
    <t>Resi Recycle</t>
  </si>
  <si>
    <t>RECPROGADJ-RES</t>
  </si>
  <si>
    <t>RECYCLING PROGRAM ADJUSTM</t>
  </si>
  <si>
    <t>RTRNCART96REC-RES</t>
  </si>
  <si>
    <t>Commodity Credit</t>
  </si>
  <si>
    <t>RECVALRES</t>
  </si>
  <si>
    <t>RECYCLABLES VALUE - RES</t>
  </si>
  <si>
    <t>GWRES</t>
  </si>
  <si>
    <t>GREENWASTE SERVICE - RES</t>
  </si>
  <si>
    <t>Resi YW</t>
  </si>
  <si>
    <t>EXTRAGWC-RES</t>
  </si>
  <si>
    <t>EXTRA GREENWASTE FEE - RE</t>
  </si>
  <si>
    <t>EP96GWC-RES</t>
  </si>
  <si>
    <t>EXTRA PICK UP 96 GW - RES</t>
  </si>
  <si>
    <t>Subtotal Residential</t>
  </si>
  <si>
    <t>COMMERCIAL SERVICES (Billed per pickup unless noted)</t>
  </si>
  <si>
    <t>Comm MSW</t>
  </si>
  <si>
    <t>RENT1.5TEMP-COMM</t>
  </si>
  <si>
    <t>RENT 1.5 YD TEMP - COMM</t>
  </si>
  <si>
    <t>RENT1TEMP-COMM</t>
  </si>
  <si>
    <t>RENT 1 YD TEMP - COMM</t>
  </si>
  <si>
    <t>RENT2TEMP-COMM</t>
  </si>
  <si>
    <t>RENT 2 YD TEMP - COMM</t>
  </si>
  <si>
    <t>RENT3TEMP-COMM</t>
  </si>
  <si>
    <t>RENT 3 YD TEMP - COMM</t>
  </si>
  <si>
    <t>RENT4TEMP-COMM</t>
  </si>
  <si>
    <t>RENT 4 YD TEMP - COMM</t>
  </si>
  <si>
    <t>RENT6TEMP-COMM</t>
  </si>
  <si>
    <t>RENT 6 YD TEMP - COMM</t>
  </si>
  <si>
    <t>Comm MSW Extra</t>
  </si>
  <si>
    <t>EXTRAGWC-COMM</t>
  </si>
  <si>
    <t>EXTRA GREENWASTE FEE - CO</t>
  </si>
  <si>
    <t>ACCESS-COMM</t>
  </si>
  <si>
    <t>ACCESS FEE - COMM</t>
  </si>
  <si>
    <t>DISP-COMM</t>
  </si>
  <si>
    <t>DISPOSAL FEE - COMM</t>
  </si>
  <si>
    <t>DRIVEIN1-COMM</t>
  </si>
  <si>
    <t>DRIVE IN 125-250' - COMM</t>
  </si>
  <si>
    <t>DRIVEIN2-COMM</t>
  </si>
  <si>
    <t>DRIVE IN 251-778' - COMM</t>
  </si>
  <si>
    <t>ROLL-COMM</t>
  </si>
  <si>
    <t>ROLL OUT CHARGE - COMM</t>
  </si>
  <si>
    <t>WI1-COMM</t>
  </si>
  <si>
    <t>WALK IN 6-25' - COMM</t>
  </si>
  <si>
    <t>WI2-COMM</t>
  </si>
  <si>
    <t>WALK IN 26-50' - COMM</t>
  </si>
  <si>
    <t>WI4-COMM</t>
  </si>
  <si>
    <t>WALK IN 76-100' - COMM</t>
  </si>
  <si>
    <t>CLEAN1.5-COMM</t>
  </si>
  <si>
    <t>CLEANING FEE 1.5 YD - COM</t>
  </si>
  <si>
    <t>CLEAN1-COMM</t>
  </si>
  <si>
    <t>CLEANING FEE 1 YD - COMM</t>
  </si>
  <si>
    <t>CLEAN2-COMM</t>
  </si>
  <si>
    <t>CLEANING FEE 2 YD - COMM</t>
  </si>
  <si>
    <t>CLEAN3-COMM</t>
  </si>
  <si>
    <t>CLEANING FEE 3 YD - COMM</t>
  </si>
  <si>
    <t>CLEAN4-COMM</t>
  </si>
  <si>
    <t>CLEANING FEE 4 YD - COMM</t>
  </si>
  <si>
    <t>CLEAN6-COMM</t>
  </si>
  <si>
    <t>CLEANING FEE 6 YD - COMM</t>
  </si>
  <si>
    <t>CLEAN-COMM</t>
  </si>
  <si>
    <t>CONTAINER CLEANING FEE -</t>
  </si>
  <si>
    <t>DEL1.5TEMP-COMM</t>
  </si>
  <si>
    <t>DELIVERY FEE 1.5 YD TEMP</t>
  </si>
  <si>
    <t>DEL1TEMP-COMM</t>
  </si>
  <si>
    <t>DELIVERY FEE 1 YD TEMP -</t>
  </si>
  <si>
    <t>DEL2TEMP-COMM</t>
  </si>
  <si>
    <t>DELIVERY FEE 2 YD TEMP -</t>
  </si>
  <si>
    <t>DEL3TEMP-COMM</t>
  </si>
  <si>
    <t>DELIVERY FEE 3 YD TEMP - COMM</t>
  </si>
  <si>
    <t>DEL4TEMP-COMM</t>
  </si>
  <si>
    <t>DELIVERY FEE 4 YD TEMP - COMM</t>
  </si>
  <si>
    <t>DEL6TEMP-COMM</t>
  </si>
  <si>
    <t>DELIVERY FEE 6 YD TEMP -</t>
  </si>
  <si>
    <t>REINSTATE-COMM</t>
  </si>
  <si>
    <t>REINSTATE FEE - COMM</t>
  </si>
  <si>
    <t>RTRNCAN-COMM</t>
  </si>
  <si>
    <t>RETURN TRIP FEE CAN - COM</t>
  </si>
  <si>
    <t>RTRNCART65-COMM</t>
  </si>
  <si>
    <t>RETURN TRIP 65 GL - COMM</t>
  </si>
  <si>
    <t>RTRNCART95-COMM</t>
  </si>
  <si>
    <t>RETURN TRIP 95 GL - COMM</t>
  </si>
  <si>
    <t>RTRNTRIP-COMM</t>
  </si>
  <si>
    <t>RETURN TRIP FEE - COMM</t>
  </si>
  <si>
    <t>SP1.5-COMM</t>
  </si>
  <si>
    <t>SPECIAL PICK UP 1.5 YD -</t>
  </si>
  <si>
    <t>SP1-COMM</t>
  </si>
  <si>
    <t>SPECIAL PICK UP 1 YD - CO</t>
  </si>
  <si>
    <t>SP2-COMM</t>
  </si>
  <si>
    <t>SPECIAL PICK UP 2 YD - CO</t>
  </si>
  <si>
    <t>SP3-COMM</t>
  </si>
  <si>
    <t>SPECIAL PICK UP 3 YD - CO</t>
  </si>
  <si>
    <t>SP4-COMM</t>
  </si>
  <si>
    <t>SPECIAL PICK UP 4 YD - CO</t>
  </si>
  <si>
    <t>SP6-COMM</t>
  </si>
  <si>
    <t>SPECIAL PICK UP 6 YD - CO</t>
  </si>
  <si>
    <t>SPGRAD1S-COMM</t>
  </si>
  <si>
    <t>SPGRAD2S-COMM</t>
  </si>
  <si>
    <t>SPGRAD1-COMM</t>
  </si>
  <si>
    <t>SPGRAD2-COMM</t>
  </si>
  <si>
    <t>TIME-COMM</t>
  </si>
  <si>
    <t>TIME FEE 1 - COMM</t>
  </si>
  <si>
    <t>LCKC</t>
  </si>
  <si>
    <t>LOCK CHARGE - COMM</t>
  </si>
  <si>
    <t>REDEL-COMM</t>
  </si>
  <si>
    <t>REDELIVER FEE LVL 1 - COM</t>
  </si>
  <si>
    <t>ADJ-COMM</t>
  </si>
  <si>
    <t>SP2CMP-COMM</t>
  </si>
  <si>
    <t>SP4CMP-COMM</t>
  </si>
  <si>
    <t>FL001.0YEO001</t>
  </si>
  <si>
    <t>FL003.0Y4W001</t>
  </si>
  <si>
    <t>FL006.0Y2W001CMP</t>
  </si>
  <si>
    <t>RL035.0G1W001WRECC</t>
  </si>
  <si>
    <t>RTRNCART32-COMM</t>
  </si>
  <si>
    <t>RTRNCART35-COMM</t>
  </si>
  <si>
    <t>SP5CMP-COMM</t>
  </si>
  <si>
    <t>SURCHGC</t>
  </si>
  <si>
    <t>MFNBINS</t>
  </si>
  <si>
    <t>MULTI-FAMILY NO BINS</t>
  </si>
  <si>
    <t>MFWBINS</t>
  </si>
  <si>
    <t>MULTI-FAMILY RECYCLE WITH BINS</t>
  </si>
  <si>
    <t>Comm Recycling</t>
  </si>
  <si>
    <t>GWCOMM</t>
  </si>
  <si>
    <t>GREENWASTE SERVICE - COMM</t>
  </si>
  <si>
    <t>COMMERCIAL RECYCLING</t>
  </si>
  <si>
    <t>TOTAL COMMERCIAL RECYCLING</t>
  </si>
  <si>
    <t>Subtotal Commercial</t>
  </si>
  <si>
    <t>RO Perm</t>
  </si>
  <si>
    <t>HAUL20-RO</t>
  </si>
  <si>
    <t>HAUL 20 YD - RO</t>
  </si>
  <si>
    <t>HAUL30-RO</t>
  </si>
  <si>
    <t>HAUL 30 YD - RO</t>
  </si>
  <si>
    <t>HAUL40-RO</t>
  </si>
  <si>
    <t>HAUL 40 YD - RO</t>
  </si>
  <si>
    <t>HAUL20CUST-RO</t>
  </si>
  <si>
    <t>FINAL20-RO</t>
  </si>
  <si>
    <t>FINAL PULL 20 YD - RO</t>
  </si>
  <si>
    <t>FINAL30-RO</t>
  </si>
  <si>
    <t>FINAL PULL 30 YD - RO</t>
  </si>
  <si>
    <t>FINAL40-RO</t>
  </si>
  <si>
    <t>FINAL PULL 40 YD - RO</t>
  </si>
  <si>
    <t>HAUL10-CP</t>
  </si>
  <si>
    <t>COMPACTOR HAUL 10 YD</t>
  </si>
  <si>
    <t>HAUL20-CP</t>
  </si>
  <si>
    <t>COMPACTOR HAUL 20 YD - RO</t>
  </si>
  <si>
    <t>HAUL25-CP</t>
  </si>
  <si>
    <t>COMPACTOR HAUL 25 YD - RO</t>
  </si>
  <si>
    <t>HAUL30-CP</t>
  </si>
  <si>
    <t>COMPACTOR HAUL 30 YD</t>
  </si>
  <si>
    <t>HAUL40-CP</t>
  </si>
  <si>
    <t>COMPACTOR HAUL 40 YD</t>
  </si>
  <si>
    <t>DEL20TEMP-RO</t>
  </si>
  <si>
    <t>DELIVERY FEE 20 YD TEMP -</t>
  </si>
  <si>
    <t>RO Temp</t>
  </si>
  <si>
    <t>DEL30TEMP-RO</t>
  </si>
  <si>
    <t>DELIVERY FEE 30 YD TEMP -</t>
  </si>
  <si>
    <t>DEL40TEMP-RO</t>
  </si>
  <si>
    <t>DELIVERY FEE 40 YD TEMP -</t>
  </si>
  <si>
    <t>FINAL20TEMP-RO</t>
  </si>
  <si>
    <t>FINAL PULL 20 YD TEMP - R</t>
  </si>
  <si>
    <t>FINAL30TEMP-RO</t>
  </si>
  <si>
    <t>FINAL PULL 30 YD TEMP - R</t>
  </si>
  <si>
    <t>FINAL40TEMP-RO</t>
  </si>
  <si>
    <t>FINAL PULL 40 YD TEMP - R</t>
  </si>
  <si>
    <t>HAUL20TEMP-RO</t>
  </si>
  <si>
    <t>HAUL 20 YD TEMP - RO</t>
  </si>
  <si>
    <t>HAUL30TEMP-RO</t>
  </si>
  <si>
    <t>HAUL 30 YD TEMP - RO</t>
  </si>
  <si>
    <t>HAUL40TEMP-RO</t>
  </si>
  <si>
    <t>HAUL 40 YD TEMP - RO</t>
  </si>
  <si>
    <t>RO Rent</t>
  </si>
  <si>
    <t>RENT20MO-RO</t>
  </si>
  <si>
    <t>RENTAL FEE 20 YD MONTHLY</t>
  </si>
  <si>
    <t>RENT30MO-RO</t>
  </si>
  <si>
    <t>RENTAL FEE 30 YD MONTHLY</t>
  </si>
  <si>
    <t>RENT40MO-RO</t>
  </si>
  <si>
    <t>RENTAL FEE 40 YD MONTHLY</t>
  </si>
  <si>
    <t>RENT20TEMP-RO</t>
  </si>
  <si>
    <t>RENTAL FEE 20 YD TEMP - R</t>
  </si>
  <si>
    <t>RENT30TEMP-RO</t>
  </si>
  <si>
    <t>RENTAL FEE 30 YD TEMP - R</t>
  </si>
  <si>
    <t>RENT40TEMP-RO</t>
  </si>
  <si>
    <t>RENTAL FEE 40 YD TEMP - R</t>
  </si>
  <si>
    <t>CLEAN20-RO</t>
  </si>
  <si>
    <t>CLEANING FEE 20 YD - RO</t>
  </si>
  <si>
    <t>CLEAN25-RO</t>
  </si>
  <si>
    <t>CLEANING FEE 25 YD - RO</t>
  </si>
  <si>
    <t>CLEAN30-RO</t>
  </si>
  <si>
    <t>CLEANING FEE 30 YD - RO</t>
  </si>
  <si>
    <t>DISCO-CP</t>
  </si>
  <si>
    <t>EXWGHT-RO</t>
  </si>
  <si>
    <t>EXCESS WEIGHT - RO</t>
  </si>
  <si>
    <t>FERRY-RO</t>
  </si>
  <si>
    <t>FERRY FEE - RO</t>
  </si>
  <si>
    <t>LIDRO</t>
  </si>
  <si>
    <t>LID CHARGE - RO</t>
  </si>
  <si>
    <t>LOCK-RO</t>
  </si>
  <si>
    <t>LOCK CHARGE - RO</t>
  </si>
  <si>
    <t>MILE-RO</t>
  </si>
  <si>
    <t>MILEAGE FEE - RO</t>
  </si>
  <si>
    <t>RTRNTRIP-RO</t>
  </si>
  <si>
    <t>RETURN TRIP FEE - RO</t>
  </si>
  <si>
    <t>TIME-RO</t>
  </si>
  <si>
    <t>TIME FEE - RO</t>
  </si>
  <si>
    <t>DISP-RO</t>
  </si>
  <si>
    <t>DISPOSAL CHARGE - RO</t>
  </si>
  <si>
    <t>RO Disposal</t>
  </si>
  <si>
    <t>DISPFEDMSW-RO</t>
  </si>
  <si>
    <t>Subtotal Drop Box</t>
  </si>
  <si>
    <t>Service Charges</t>
  </si>
  <si>
    <t>ADJ-FIN</t>
  </si>
  <si>
    <t>ADJUSTMENT FINANCE CHARGE</t>
  </si>
  <si>
    <t>RETCKC</t>
  </si>
  <si>
    <t>RETURN CHECK CHARGE</t>
  </si>
  <si>
    <t>Subtotal Service Charges</t>
  </si>
  <si>
    <t>Grand Total District Operations</t>
  </si>
  <si>
    <t>JBLM HOUSING</t>
  </si>
  <si>
    <t>DISPFEDMSW-RES</t>
  </si>
  <si>
    <t>DISPOSAL FEE FEDERAL</t>
  </si>
  <si>
    <t>Current Tariff Rate - Each Addn'l Container</t>
  </si>
  <si>
    <t>Container Each Addn'l Pick-Up</t>
  </si>
  <si>
    <t xml:space="preserve">Regular </t>
  </si>
  <si>
    <t>1 Yard Regular</t>
  </si>
  <si>
    <t>Additional Pick Up</t>
  </si>
  <si>
    <t>First Pick Up</t>
  </si>
  <si>
    <t>1 Yard Temp</t>
  </si>
  <si>
    <t>1.5 Yard Temp</t>
  </si>
  <si>
    <t>2 Yard Temp</t>
  </si>
  <si>
    <t>3 Yard Temp</t>
  </si>
  <si>
    <t>4 Yard Temp</t>
  </si>
  <si>
    <t>Special</t>
  </si>
  <si>
    <t>RO</t>
  </si>
  <si>
    <t>JBLM Housing</t>
  </si>
  <si>
    <t>JBLM Housing - Federal Rate</t>
  </si>
  <si>
    <t>District 2180: LeMay Pierce County Refuse</t>
  </si>
  <si>
    <t>Disposal Schedule</t>
  </si>
  <si>
    <t>Regulated:</t>
  </si>
  <si>
    <t xml:space="preserve"> </t>
  </si>
  <si>
    <t>TEST PERIOD</t>
  </si>
  <si>
    <t>Pass Thru</t>
  </si>
  <si>
    <t>TOTALS</t>
  </si>
  <si>
    <t>Tons</t>
  </si>
  <si>
    <t>Tons for DF Filing</t>
  </si>
  <si>
    <t>Rate</t>
  </si>
  <si>
    <t>Regulated Packer Tons</t>
  </si>
  <si>
    <t>Expense</t>
  </si>
  <si>
    <t>Regulated PT Tons</t>
  </si>
  <si>
    <t>JBLM Housing Packer Tons</t>
  </si>
  <si>
    <t>Resi Route Garbage</t>
  </si>
  <si>
    <t>Fed PT Tons</t>
  </si>
  <si>
    <t>Comm Route Garbage</t>
  </si>
  <si>
    <t>Total Dump Fee</t>
  </si>
  <si>
    <t>County/ Ft Lewis</t>
  </si>
  <si>
    <t>Regulated</t>
  </si>
  <si>
    <t>Contract</t>
  </si>
  <si>
    <t>Federal:</t>
  </si>
  <si>
    <t>JBLM Contract</t>
  </si>
  <si>
    <t>Mt Rainier</t>
  </si>
  <si>
    <t>Unregulated other:</t>
  </si>
  <si>
    <t>Wood Waste @SR</t>
  </si>
  <si>
    <t>Yard Waste @SR</t>
  </si>
  <si>
    <t>Non Fed Tons</t>
  </si>
  <si>
    <t>General Ledger</t>
  </si>
  <si>
    <t>Difference</t>
  </si>
  <si>
    <t>Federal</t>
  </si>
  <si>
    <t>Other Interco</t>
  </si>
  <si>
    <t xml:space="preserve"> Pass Thru</t>
  </si>
  <si>
    <t>Net Difference</t>
  </si>
  <si>
    <t>Glass</t>
  </si>
  <si>
    <t>Construction Debris</t>
  </si>
  <si>
    <t>C&amp;D</t>
  </si>
  <si>
    <t>Tires</t>
  </si>
  <si>
    <t>Compost</t>
  </si>
  <si>
    <t>Grand Total</t>
  </si>
  <si>
    <t>Packer Tons Collected</t>
  </si>
  <si>
    <t>Total Non-Fed Tonnage</t>
  </si>
  <si>
    <t>Pass Thru Tons Non-Fed</t>
  </si>
  <si>
    <t>Pass Thru Tons Fed</t>
  </si>
  <si>
    <t>Item 55, pg 16</t>
  </si>
  <si>
    <t>32 Gal Unit</t>
  </si>
  <si>
    <t>Over-Sized</t>
  </si>
  <si>
    <t>Tie to Price Out</t>
  </si>
  <si>
    <t>Over-Weight</t>
  </si>
  <si>
    <t>1 YD EOW 1</t>
  </si>
  <si>
    <t>6 YD 2X WK COMP 1</t>
  </si>
  <si>
    <t>65 Gallon Extra</t>
  </si>
  <si>
    <t>95 Gallon Extra</t>
  </si>
  <si>
    <t>Prepaid Bag</t>
  </si>
  <si>
    <t>No Current Customers</t>
  </si>
  <si>
    <t>32 Gallon Extra</t>
  </si>
  <si>
    <t>1 Yard First</t>
  </si>
  <si>
    <t>1 Yard Additional</t>
  </si>
  <si>
    <t>1.5 Yard First</t>
  </si>
  <si>
    <t>1.5 Yard Additional</t>
  </si>
  <si>
    <t>2 Yard First</t>
  </si>
  <si>
    <t>2 Yard Additional</t>
  </si>
  <si>
    <t>3 Yard First</t>
  </si>
  <si>
    <t>3 Yard Additional</t>
  </si>
  <si>
    <t>4 Yard First</t>
  </si>
  <si>
    <t>4 Yard Additional</t>
  </si>
  <si>
    <t>6 Yard First</t>
  </si>
  <si>
    <t>6 Yard Additional</t>
  </si>
  <si>
    <t>8 Yard First</t>
  </si>
  <si>
    <t>8 Yard Additional</t>
  </si>
  <si>
    <t>6 Yard Temp</t>
  </si>
  <si>
    <t>8 Yard Temp</t>
  </si>
  <si>
    <t>1 Yard Special</t>
  </si>
  <si>
    <t>1.5 Yard Special</t>
  </si>
  <si>
    <t>2 Yard Special</t>
  </si>
  <si>
    <t>3 Yard Special</t>
  </si>
  <si>
    <t>4 Yard Special</t>
  </si>
  <si>
    <t>6 Yard Special</t>
  </si>
  <si>
    <t>8 Yard Special</t>
  </si>
  <si>
    <t>January - December 2020</t>
  </si>
  <si>
    <t>Tariff Rate Effective 3/1/2020</t>
  </si>
  <si>
    <t>Tariff Rate Effective 5/1/2020</t>
  </si>
  <si>
    <t>Tariff Rate Effective 8/1/2020</t>
  </si>
  <si>
    <t>Revenue Jan -Dec 2020</t>
  </si>
  <si>
    <t>SL035.0G1W001NOREC</t>
  </si>
  <si>
    <t>SL035.0G1W003WREC</t>
  </si>
  <si>
    <t>SL035.0G1W004WREC</t>
  </si>
  <si>
    <t>SL035.0GEO001NOREC</t>
  </si>
  <si>
    <t>EXTRA65-RES</t>
  </si>
  <si>
    <t>EXTRA95-RES</t>
  </si>
  <si>
    <t>DRIVEINMUL-RES</t>
  </si>
  <si>
    <t>RTRNCART64REC-RES</t>
  </si>
  <si>
    <t>RL035.0G1W001NORECC</t>
  </si>
  <si>
    <t>DRIVEIN3-COMM</t>
  </si>
  <si>
    <t>SP6CMP-COMM</t>
  </si>
  <si>
    <t>COMM ADJUSTMENT</t>
  </si>
  <si>
    <t>Containers</t>
  </si>
  <si>
    <t>HAUL10-RO</t>
  </si>
  <si>
    <t>RENT10MO-RO</t>
  </si>
  <si>
    <t>CLEAN40-RO</t>
  </si>
  <si>
    <t>GATE-RO</t>
  </si>
  <si>
    <t>DISPMATT-RO</t>
  </si>
  <si>
    <t>DISPSPEC-RO</t>
  </si>
  <si>
    <t>DISPTIRES-RO</t>
  </si>
  <si>
    <t>PIERCE EA UTC</t>
  </si>
  <si>
    <t>% Increase:</t>
  </si>
  <si>
    <t>Garbage</t>
  </si>
  <si>
    <t>Recycle</t>
  </si>
  <si>
    <t>Yard Waste</t>
  </si>
  <si>
    <t>Tariff Increase</t>
  </si>
  <si>
    <t>Annual Increase</t>
  </si>
  <si>
    <t>New Tariff Rate</t>
  </si>
  <si>
    <t>Proposed Annual Revenue</t>
  </si>
  <si>
    <t>EXTRA 65 GL RES</t>
  </si>
  <si>
    <t>EXTRA 95 GL RES</t>
  </si>
  <si>
    <t>No longer a service code</t>
  </si>
  <si>
    <t>35 GL EOW NO RECY 1</t>
  </si>
  <si>
    <t>EOW-NR</t>
  </si>
  <si>
    <t>35 GL 1X WK NO RECY 1</t>
  </si>
  <si>
    <t>Annual Customers</t>
  </si>
  <si>
    <t>Total Customers June-Nov 2020 times 2</t>
  </si>
  <si>
    <t>Annual Customer</t>
  </si>
  <si>
    <t>Description says 6 yard even though code emplies 5 yard</t>
  </si>
  <si>
    <t>No longer tariff rate, immaterial customer count</t>
  </si>
  <si>
    <t>Total Fed Tonnage</t>
  </si>
  <si>
    <t>December 2019 - November 2020</t>
  </si>
  <si>
    <t>Avg. Cust Dec 2019- Nov 2020</t>
  </si>
  <si>
    <t>20 GL 1X WK 1</t>
  </si>
  <si>
    <t>32 GL 1X MO NO RECY 1</t>
  </si>
  <si>
    <t>32 GL 1X WK NO RECY 1</t>
  </si>
  <si>
    <t>32 GL 1X WK NO RECY 2</t>
  </si>
  <si>
    <t>32 GL 1X WK W/RECY 3</t>
  </si>
  <si>
    <t>32 GL 1X WK NO RECY 4</t>
  </si>
  <si>
    <t>32 GL 1X WK W/RECY 4</t>
  </si>
  <si>
    <t>35 GL 1X MO W/RECY 1</t>
  </si>
  <si>
    <t>35 GL 1X WK W/RECY 3</t>
  </si>
  <si>
    <t>35 GL 1X WK W/RECY 4</t>
  </si>
  <si>
    <t>EXTRAS GRADUATED 1-2 - RES</t>
  </si>
  <si>
    <t>SPECIAL GRADUATED 1-2 - R</t>
  </si>
  <si>
    <t>WALK IN 6-25' - RES</t>
  </si>
  <si>
    <t>WALK IN 26-50' - RES</t>
  </si>
  <si>
    <t>DRIVE IN 1 - RES</t>
  </si>
  <si>
    <t>DRIVE IN 2 - RES</t>
  </si>
  <si>
    <t>DRIVE IN 4 - RES</t>
  </si>
  <si>
    <t>DRIVE IN SERVICE - RES</t>
  </si>
  <si>
    <t>DRIVE IN SVC MULTIPLE</t>
  </si>
  <si>
    <t>ACCESS FEE - RES</t>
  </si>
  <si>
    <t>3 YD 4X WK 1</t>
  </si>
  <si>
    <t>35 GL 1X WK W/RECY COMM 1</t>
  </si>
  <si>
    <t>35 GL 1X WK NO RECY COMM</t>
  </si>
  <si>
    <t>DRIVE IN 779-1306' - COMM</t>
  </si>
  <si>
    <t>RETURN TRIP 32 GL - COMM</t>
  </si>
  <si>
    <t>RETURN TRIP FEE 35 GL - COMM</t>
  </si>
  <si>
    <t>SURCHARGE - COMM</t>
  </si>
  <si>
    <t>ADJUSTMENT SERVICE - RES</t>
  </si>
  <si>
    <t>RETURN TRIP 96 GL REC - RES</t>
  </si>
  <si>
    <t>SPECIAL UNIT GRAD1 SCHL - COMM</t>
  </si>
  <si>
    <t>SPECIAL UNIT GRAD2 SCHL - COMM</t>
  </si>
  <si>
    <t>SPECIAL PICKUP GRADUATED 1 - COMM</t>
  </si>
  <si>
    <t>SPECIAL PICKUP GRADUATED 2 - COMM</t>
  </si>
  <si>
    <t>SPECIAL PICK UP 2 YD COMP</t>
  </si>
  <si>
    <t>HAUL 10 YD - RO</t>
  </si>
  <si>
    <t>HAUL 20 YD CUST - RO</t>
  </si>
  <si>
    <t>DISPOSAL MATTRESSES - RO</t>
  </si>
  <si>
    <t>DISPOSAL FEE SPECIAL - RO</t>
  </si>
  <si>
    <t>DISPOSAL FEE TIRES - RO</t>
  </si>
  <si>
    <t xml:space="preserve">DISPOSAL FEE FEDERAL MSW </t>
  </si>
  <si>
    <t>PIERCE UTCCommercialGWCOMM</t>
  </si>
  <si>
    <t>4 YD 2X WK MULTI-FAMILY 1</t>
  </si>
  <si>
    <t>FL004.0Y2W001MFCOMMERCIAL</t>
  </si>
  <si>
    <t>4 yard Regular</t>
  </si>
  <si>
    <t>35 Gallon Cart MG-NR</t>
  </si>
  <si>
    <t>65 Gallon</t>
  </si>
  <si>
    <t>95 Gallon</t>
  </si>
  <si>
    <t>On Call</t>
  </si>
  <si>
    <t>Bulky</t>
  </si>
  <si>
    <t>Extra Yardage</t>
  </si>
  <si>
    <t>per PU</t>
  </si>
  <si>
    <t>Minimum</t>
  </si>
  <si>
    <t>Can</t>
  </si>
  <si>
    <t>35 Gallon Distributed Cart</t>
  </si>
  <si>
    <t xml:space="preserve">95 Gallon </t>
  </si>
  <si>
    <t xml:space="preserve">35 Gallon Cart </t>
  </si>
  <si>
    <t>35 Gallon Cart Minimum</t>
  </si>
  <si>
    <t>SERVICE CODE DESCRIPTION</t>
  </si>
  <si>
    <t>3 YD 1X WK COMP 1</t>
  </si>
  <si>
    <t>6 YD 1X WK COMP 1</t>
  </si>
  <si>
    <t>4 YD 1X WK MULTI-FAMILY 1</t>
  </si>
  <si>
    <t>4.33 Factor Used</t>
  </si>
  <si>
    <t>2.17 Factor Used</t>
  </si>
  <si>
    <t>1 Yard First Pick Up</t>
  </si>
  <si>
    <t>1 Yard Additional Pick Up</t>
  </si>
  <si>
    <t>1.5 Yard First Pick Up</t>
  </si>
  <si>
    <t>1.5 Yard Additional Pick Up</t>
  </si>
  <si>
    <t>2 Yard Additional Pick Up</t>
  </si>
  <si>
    <t>2 Yard First Pick Up</t>
  </si>
  <si>
    <t>3 Yard First Pick Up</t>
  </si>
  <si>
    <t>3 Yard Additional Pick Up</t>
  </si>
  <si>
    <t>4 Yard First Pick Up</t>
  </si>
  <si>
    <t>4 Yard Additional Pick Up</t>
  </si>
  <si>
    <t>6 Yard First Pick Up</t>
  </si>
  <si>
    <t>6 Yard Additional Pick Up</t>
  </si>
  <si>
    <t>35 GL 1X WK W/ RECY 2</t>
  </si>
  <si>
    <t>No current customers, multiplied by 4.33</t>
  </si>
  <si>
    <t>35 Gallon Over 5 units grouped together</t>
  </si>
  <si>
    <t>Special Pickups ( First)</t>
  </si>
  <si>
    <t>Special Pickups (Each Additional)</t>
  </si>
  <si>
    <r>
      <rPr>
        <sz val="10"/>
        <color rgb="FFFF0000"/>
        <rFont val="Calibri"/>
        <family val="2"/>
      </rPr>
      <t>Note: As of June 1, 2020</t>
    </r>
    <r>
      <rPr>
        <b/>
        <sz val="10"/>
        <color rgb="FFFF0000"/>
        <rFont val="Calibri"/>
        <family val="2"/>
      </rPr>
      <t xml:space="preserve"> </t>
    </r>
    <r>
      <rPr>
        <sz val="10"/>
        <color rgb="FFFF0000"/>
        <rFont val="Calibri"/>
        <family val="2"/>
      </rPr>
      <t>Pierce County no longer offers can or 20 gallon service codes. Due to this change, WCI used the customer counts from June-November 2020 and doubled them in order to get annual customers for 12 months.  This serice change was executed after the last general rate filing, therefore requiring an updated customer count for this filing.</t>
    </r>
  </si>
  <si>
    <t>Interject_LastPulledValues_BalanceRange</t>
  </si>
  <si>
    <t>KeyValue</t>
  </si>
  <si>
    <t>FullAccount</t>
  </si>
  <si>
    <t>Period</t>
  </si>
  <si>
    <t>Year</t>
  </si>
  <si>
    <t>Source</t>
  </si>
  <si>
    <t>Company</t>
  </si>
  <si>
    <t>Currency</t>
  </si>
  <si>
    <t>Version</t>
  </si>
  <si>
    <t>Balance</t>
  </si>
  <si>
    <t>Interject_LastPulledValues_DescriptionRange</t>
  </si>
  <si>
    <t>SegmentValue</t>
  </si>
  <si>
    <t>SegmentNumber</t>
  </si>
  <si>
    <t>Description</t>
  </si>
  <si>
    <t>Interject_LastPulledValues_LastChangeGUID</t>
  </si>
  <si>
    <t>Interject_LastPulledValues_PreviousLastChangeGUID</t>
  </si>
  <si>
    <t>Company Current Tariff w/ COVID Recovery</t>
  </si>
  <si>
    <t>Company Permanent Tariff (Post COVID)</t>
  </si>
  <si>
    <t xml:space="preserve"> Calculated Rate w/COVID Recovery</t>
  </si>
  <si>
    <t>Calculated Permanent Tariff (Post COVID)</t>
  </si>
  <si>
    <t>Current COVID</t>
  </si>
  <si>
    <t>Proposed COVID</t>
  </si>
  <si>
    <t>Current Perm Rates</t>
  </si>
  <si>
    <t>Proposed Perm Rates</t>
  </si>
  <si>
    <t>Effective 3/1/2022</t>
  </si>
  <si>
    <t>Check to Mapping</t>
  </si>
  <si>
    <t>Change</t>
  </si>
  <si>
    <t>FROM TG-200044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</si>
</sst>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00_);_(&quot;$&quot;* \(#,##0.000\);_(&quot;$&quot;* &quot;-&quot;??_);_(@_)"/>
    <numFmt numFmtId="166" formatCode="_(* #,##0_);_(* \(#,##0\);_(* &quot;-&quot;??_);_(@_)"/>
    <numFmt numFmtId="167" formatCode="_(* #,##0.000000_);_(* \(#,##0.000000\);_(* &quot;-&quot;??_);_(@_)"/>
    <numFmt numFmtId="168" formatCode="0.0000%"/>
    <numFmt numFmtId="169" formatCode="_(&quot;$&quot;* #,##0.000000_);_(&quot;$&quot;* \(#,##0.000000\);_(&quot;$&quot;* &quot;-&quot;??_);_(@_)"/>
    <numFmt numFmtId="170" formatCode="0.000000"/>
    <numFmt numFmtId="171" formatCode="0.0%"/>
    <numFmt numFmtId="172" formatCode="_-* #,##0.00_-;\-* #,##0.00_-;_-* &quot;-&quot;??_-;_-@_-"/>
    <numFmt numFmtId="173" formatCode="&quot;$&quot;#,##0\ ;\(&quot;$&quot;#,##0\)"/>
    <numFmt numFmtId="174" formatCode="_([$€-2]* #,##0.00_);_([$€-2]* \(#,##0.00\);_([$€-2]* &quot;-&quot;??_)"/>
    <numFmt numFmtId="175" formatCode="General_)"/>
    <numFmt numFmtId="176" formatCode="mm\-yy;\-0;;@"/>
    <numFmt numFmtId="177" formatCode=".00#####;\-.00####;;@"/>
    <numFmt numFmtId="178" formatCode="_(&quot;$&quot;* #,##0.0_);_(&quot;$&quot;* \(#,##0.0\);_(&quot;$&quot;* &quot;-&quot;??_);_(@_)"/>
    <numFmt numFmtId="179" formatCode="0.000%"/>
    <numFmt numFmtId="180" formatCode="_(* #,##0.0000_);_(* \(#,##0.0000\);_(* &quot;-&quot;??_);_(@_)"/>
    <numFmt numFmtId="181" formatCode="_(&quot;$&quot;* #,##0.0000_);_(&quot;$&quot;* \(#,##0.0000\);_(&quot;$&quot;* &quot;-&quot;??_);_(@_)"/>
    <numFmt numFmtId="182" formatCode="0.000"/>
    <numFmt numFmtId="183" formatCode="_(* #,##0.00000_);_(* \(#,##0.00000\);_(* &quot;-&quot;??_);_(@_)"/>
    <numFmt numFmtId="184" formatCode="_(* #,##0.000_);_(* \(#,##0.000\);_(* &quot;-&quot;??_);_(@_)"/>
  </numFmts>
  <fonts count="12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2"/>
      <name val="Arial"/>
      <family val="2"/>
    </font>
    <font>
      <sz val="8"/>
      <color indexed="56"/>
      <name val="Arial"/>
      <family val="2"/>
    </font>
    <font>
      <sz val="10"/>
      <name val="MS Sans Serif"/>
      <family val="2"/>
    </font>
    <font>
      <b/>
      <sz val="10"/>
      <name val="MS Sans Serif"/>
      <family val="2"/>
    </font>
    <font>
      <sz val="11"/>
      <color indexed="8"/>
      <name val="Calibri"/>
      <family val="2"/>
    </font>
    <font>
      <sz val="11"/>
      <color rgb="FFFF0000"/>
      <name val="Calibri"/>
      <family val="2"/>
      <scheme val="minor"/>
    </font>
    <font>
      <sz val="10"/>
      <color indexed="12"/>
      <name val="Arial"/>
      <family val="2"/>
    </font>
    <font>
      <sz val="11"/>
      <name val="Calibri"/>
      <family val="2"/>
      <scheme val="minor"/>
    </font>
    <font>
      <b/>
      <sz val="11"/>
      <name val="Calibri"/>
      <family val="2"/>
      <scheme val="minor"/>
    </font>
    <font>
      <sz val="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color indexed="8"/>
      <name val="Arial"/>
      <family val="2"/>
    </font>
    <font>
      <sz val="10"/>
      <name val="Times New Roman"/>
      <family val="1"/>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2"/>
      <name val="Helv"/>
    </font>
    <font>
      <b/>
      <sz val="11"/>
      <color indexed="63"/>
      <name val="Calibri"/>
      <family val="2"/>
    </font>
    <font>
      <b/>
      <sz val="18"/>
      <color indexed="62"/>
      <name val="Cambria"/>
      <family val="2"/>
    </font>
    <font>
      <b/>
      <sz val="11"/>
      <color indexed="8"/>
      <name val="Calibri"/>
      <family val="2"/>
    </font>
    <font>
      <b/>
      <sz val="11"/>
      <color indexed="51"/>
      <name val="Calibri"/>
      <family val="2"/>
    </font>
    <font>
      <sz val="12"/>
      <name val="Courier"/>
      <family val="3"/>
    </font>
    <font>
      <sz val="9"/>
      <color indexed="8"/>
      <name val="Arial"/>
      <family val="2"/>
    </font>
    <font>
      <b/>
      <sz val="10"/>
      <color indexed="12"/>
      <name val="Arial"/>
      <family val="2"/>
    </font>
    <font>
      <b/>
      <sz val="15"/>
      <color indexed="61"/>
      <name val="Calibri"/>
      <family val="2"/>
    </font>
    <font>
      <b/>
      <sz val="13"/>
      <color indexed="61"/>
      <name val="Calibri"/>
      <family val="2"/>
    </font>
    <font>
      <b/>
      <sz val="11"/>
      <color indexed="61"/>
      <name val="Calibri"/>
      <family val="2"/>
    </font>
    <font>
      <u/>
      <sz val="10"/>
      <color indexed="12"/>
      <name val="Arial"/>
      <family val="2"/>
    </font>
    <font>
      <u/>
      <sz val="11"/>
      <color indexed="12"/>
      <name val="Calibri"/>
      <family val="2"/>
    </font>
    <font>
      <sz val="11"/>
      <color indexed="61"/>
      <name val="Calibri"/>
      <family val="2"/>
    </font>
    <font>
      <sz val="11"/>
      <color indexed="51"/>
      <name val="Calibri"/>
      <family val="2"/>
    </font>
    <font>
      <sz val="11"/>
      <color indexed="59"/>
      <name val="Calibri"/>
      <family val="2"/>
    </font>
    <font>
      <i/>
      <sz val="10"/>
      <color indexed="10"/>
      <name val="Arial"/>
      <family val="2"/>
    </font>
    <font>
      <b/>
      <sz val="18"/>
      <color indexed="61"/>
      <name val="Cambria"/>
      <family val="2"/>
    </font>
    <font>
      <sz val="11"/>
      <color indexed="8"/>
      <name val="Arial"/>
      <family val="2"/>
    </font>
    <font>
      <u/>
      <sz val="11"/>
      <color theme="10"/>
      <name val="Calibri"/>
      <family val="2"/>
    </font>
    <font>
      <b/>
      <sz val="11"/>
      <color indexed="52"/>
      <name val="Calibri"/>
      <family val="2"/>
    </font>
    <font>
      <sz val="8"/>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2"/>
      <name val="Arial MT"/>
    </font>
    <font>
      <b/>
      <u/>
      <sz val="11"/>
      <name val="Arial"/>
      <family val="2"/>
    </font>
    <font>
      <sz val="11"/>
      <color theme="3" tint="0.3999755851924192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0"/>
      <color indexed="10"/>
      <name val="Arial"/>
      <family val="2"/>
    </font>
    <font>
      <b/>
      <sz val="12"/>
      <color indexed="12"/>
      <name val="Times New Roman"/>
      <family val="1"/>
    </font>
    <font>
      <b/>
      <sz val="11"/>
      <color indexed="18"/>
      <name val="Britannic Bold"/>
      <family val="2"/>
    </font>
    <font>
      <sz val="12"/>
      <name val="CG Omega"/>
    </font>
    <font>
      <sz val="12"/>
      <color theme="1"/>
      <name val="Calibri"/>
      <family val="2"/>
      <scheme val="minor"/>
    </font>
    <font>
      <sz val="12"/>
      <color indexed="8"/>
      <name val="Calibri"/>
      <family val="2"/>
    </font>
    <font>
      <sz val="11"/>
      <name val="Bookman Old Style"/>
      <family val="1"/>
    </font>
    <font>
      <u/>
      <sz val="10"/>
      <name val="Arial"/>
      <family val="2"/>
    </font>
    <font>
      <u/>
      <sz val="9.35"/>
      <color theme="10"/>
      <name val="Calibri"/>
      <family val="2"/>
    </font>
    <font>
      <u/>
      <sz val="8.8000000000000007"/>
      <color theme="10"/>
      <name val="Calibri"/>
      <family val="2"/>
    </font>
    <font>
      <u/>
      <sz val="7.5"/>
      <color indexed="12"/>
      <name val="Arial"/>
      <family val="2"/>
    </font>
    <font>
      <u/>
      <sz val="11"/>
      <color indexed="12"/>
      <name val="Arial"/>
      <family val="2"/>
    </font>
    <font>
      <u/>
      <sz val="11"/>
      <color theme="10"/>
      <name val="Century Gothic"/>
      <family val="2"/>
    </font>
    <font>
      <b/>
      <sz val="14"/>
      <name val="Helv"/>
    </font>
    <font>
      <sz val="11"/>
      <color theme="1"/>
      <name val="Arial"/>
      <family val="2"/>
    </font>
    <font>
      <sz val="10"/>
      <color rgb="FF000000"/>
      <name val="Arial"/>
      <family val="2"/>
    </font>
    <font>
      <sz val="12"/>
      <name val="SWISS"/>
    </font>
    <font>
      <sz val="11"/>
      <color rgb="FF000000"/>
      <name val="Calibri"/>
      <family val="2"/>
      <scheme val="minor"/>
    </font>
    <font>
      <sz val="11"/>
      <color theme="1"/>
      <name val="Century Gothic"/>
      <family val="2"/>
    </font>
    <font>
      <b/>
      <sz val="10"/>
      <name val="Times New Roman"/>
      <family val="1"/>
    </font>
    <font>
      <sz val="18"/>
      <color indexed="13"/>
      <name val="Helv"/>
    </font>
    <font>
      <sz val="12"/>
      <color indexed="13"/>
      <name val="Helv"/>
    </font>
    <font>
      <b/>
      <sz val="18"/>
      <color indexed="56"/>
      <name val="Cambria"/>
      <family val="2"/>
    </font>
    <font>
      <sz val="10"/>
      <color indexed="10"/>
      <name val="Arial"/>
      <family val="2"/>
    </font>
    <font>
      <sz val="11"/>
      <color indexed="8"/>
      <name val="Calibri"/>
      <family val="2"/>
      <scheme val="minor"/>
    </font>
    <font>
      <b/>
      <sz val="11"/>
      <color rgb="FFFF0000"/>
      <name val="Calibri"/>
      <family val="2"/>
      <scheme val="minor"/>
    </font>
    <font>
      <b/>
      <sz val="10"/>
      <color theme="1"/>
      <name val="Calibri"/>
      <family val="2"/>
      <scheme val="minor"/>
    </font>
    <font>
      <u/>
      <sz val="11"/>
      <color theme="10"/>
      <name val="Calibri"/>
      <family val="2"/>
      <scheme val="minor"/>
    </font>
    <font>
      <i/>
      <sz val="10"/>
      <color rgb="FFFF0000"/>
      <name val="Calibri"/>
      <family val="2"/>
      <scheme val="minor"/>
    </font>
    <font>
      <b/>
      <i/>
      <sz val="11"/>
      <color rgb="FFFF0000"/>
      <name val="Calibri"/>
      <family val="2"/>
      <scheme val="minor"/>
    </font>
    <font>
      <b/>
      <i/>
      <sz val="11"/>
      <color theme="1"/>
      <name val="Calibri"/>
      <family val="2"/>
      <scheme val="minor"/>
    </font>
    <font>
      <i/>
      <sz val="11"/>
      <color theme="1"/>
      <name val="Calibri"/>
      <family val="2"/>
      <scheme val="minor"/>
    </font>
    <font>
      <b/>
      <sz val="9"/>
      <color indexed="81"/>
      <name val="Tahoma"/>
      <family val="2"/>
    </font>
    <font>
      <sz val="10"/>
      <name val="Tahoma"/>
      <family val="2"/>
    </font>
    <font>
      <sz val="9"/>
      <color indexed="81"/>
      <name val="Tahoma"/>
      <family val="2"/>
    </font>
    <font>
      <b/>
      <sz val="10"/>
      <color indexed="8"/>
      <name val="Calibri"/>
      <family val="2"/>
    </font>
    <font>
      <sz val="10"/>
      <color indexed="8"/>
      <name val="Calibri"/>
      <family val="2"/>
    </font>
    <font>
      <b/>
      <u/>
      <sz val="10"/>
      <color indexed="8"/>
      <name val="Calibri"/>
      <family val="2"/>
    </font>
    <font>
      <b/>
      <sz val="10"/>
      <color indexed="50"/>
      <name val="Calibri"/>
      <family val="2"/>
    </font>
    <font>
      <b/>
      <sz val="9"/>
      <color indexed="8"/>
      <name val="Calibri"/>
      <family val="2"/>
    </font>
    <font>
      <sz val="10"/>
      <name val="Calibri"/>
      <family val="2"/>
    </font>
    <font>
      <b/>
      <sz val="14"/>
      <color theme="1"/>
      <name val="Calibri"/>
      <family val="2"/>
      <scheme val="minor"/>
    </font>
    <font>
      <sz val="11"/>
      <color rgb="FF0000FF"/>
      <name val="Calibri"/>
      <family val="2"/>
      <scheme val="minor"/>
    </font>
    <font>
      <b/>
      <sz val="14"/>
      <name val="Arial"/>
      <family val="2"/>
    </font>
    <font>
      <sz val="14"/>
      <name val="Arial"/>
      <family val="2"/>
    </font>
    <font>
      <b/>
      <sz val="10"/>
      <name val="Arial"/>
      <family val="2"/>
    </font>
    <font>
      <b/>
      <sz val="10"/>
      <color rgb="FF0000FF"/>
      <name val="Arial"/>
      <family val="2"/>
    </font>
    <font>
      <b/>
      <sz val="9"/>
      <name val="Calibri"/>
      <family val="2"/>
      <scheme val="minor"/>
    </font>
    <font>
      <b/>
      <sz val="8"/>
      <color indexed="81"/>
      <name val="Tahoma"/>
      <family val="2"/>
    </font>
    <font>
      <sz val="8"/>
      <color indexed="81"/>
      <name val="Tahoma"/>
      <family val="2"/>
    </font>
    <font>
      <b/>
      <sz val="10"/>
      <color rgb="FFFF0000"/>
      <name val="Calibri"/>
      <family val="2"/>
    </font>
    <font>
      <sz val="10"/>
      <color rgb="FFFF0000"/>
      <name val="Calibri"/>
      <family val="2"/>
    </font>
    <font>
      <i/>
      <sz val="11"/>
      <color rgb="FFFF0000"/>
      <name val="Calibri"/>
      <family val="2"/>
      <scheme val="minor"/>
    </font>
    <font>
      <i/>
      <sz val="10"/>
      <color theme="1"/>
      <name val="Calibri"/>
      <family val="2"/>
      <scheme val="minor"/>
    </font>
    <font>
      <b/>
      <sz val="12"/>
      <color rgb="FF0000FF"/>
      <name val="Arial"/>
      <family val="2"/>
    </font>
  </fonts>
  <fills count="85">
    <fill>
      <patternFill patternType="none"/>
    </fill>
    <fill>
      <patternFill patternType="gray125"/>
    </fill>
    <fill>
      <patternFill patternType="solid">
        <fgColor theme="0" tint="-0.14999847407452621"/>
        <bgColor indexed="64"/>
      </patternFill>
    </fill>
    <fill>
      <patternFill patternType="mediumGray">
        <fgColor indexed="22"/>
      </patternFill>
    </fill>
    <fill>
      <patternFill patternType="solid">
        <fgColor indexed="43"/>
        <bgColor indexed="64"/>
      </patternFill>
    </fill>
    <fill>
      <patternFill patternType="solid">
        <fgColor rgb="FFFFFF00"/>
        <bgColor indexed="64"/>
      </patternFill>
    </fill>
    <fill>
      <patternFill patternType="solid">
        <fgColor theme="0" tint="-0.249977111117893"/>
        <bgColor indexed="64"/>
      </patternFill>
    </fill>
    <fill>
      <patternFill patternType="solid">
        <fgColor indexed="4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5"/>
      </patternFill>
    </fill>
    <fill>
      <patternFill patternType="solid">
        <fgColor indexed="48"/>
      </patternFill>
    </fill>
    <fill>
      <patternFill patternType="solid">
        <fgColor indexed="53"/>
      </patternFill>
    </fill>
    <fill>
      <patternFill patternType="solid">
        <fgColor indexed="51"/>
      </patternFill>
    </fill>
    <fill>
      <patternFill patternType="solid">
        <fgColor indexed="56"/>
      </patternFill>
    </fill>
    <fill>
      <patternFill patternType="solid">
        <fgColor indexed="10"/>
      </patternFill>
    </fill>
    <fill>
      <patternFill patternType="solid">
        <fgColor indexed="54"/>
      </patternFill>
    </fill>
    <fill>
      <patternFill patternType="solid">
        <fgColor indexed="49"/>
      </patternFill>
    </fill>
    <fill>
      <patternFill patternType="solid">
        <fgColor indexed="52"/>
      </patternFill>
    </fill>
    <fill>
      <patternFill patternType="solid">
        <fgColor indexed="46"/>
      </patternFill>
    </fill>
    <fill>
      <patternFill patternType="solid">
        <fgColor indexed="9"/>
      </patternFill>
    </fill>
    <fill>
      <patternFill patternType="solid">
        <fgColor indexed="55"/>
      </patternFill>
    </fill>
    <fill>
      <patternFill patternType="solid">
        <fgColor indexed="63"/>
      </patternFill>
    </fill>
    <fill>
      <patternFill patternType="solid">
        <fgColor indexed="45"/>
        <bgColor indexed="64"/>
      </patternFill>
    </fill>
    <fill>
      <patternFill patternType="solid">
        <fgColor indexed="65"/>
        <bgColor indexed="10"/>
      </patternFill>
    </fill>
    <fill>
      <patternFill patternType="gray125">
        <fgColor indexed="10"/>
      </patternFill>
    </fill>
    <fill>
      <patternFill patternType="solid">
        <fgColor indexed="42"/>
      </patternFill>
    </fill>
    <fill>
      <patternFill patternType="solid">
        <fgColor indexed="22"/>
        <bgColor indexed="64"/>
      </patternFill>
    </fill>
    <fill>
      <patternFill patternType="solid">
        <fgColor indexed="31"/>
      </patternFill>
    </fill>
    <fill>
      <patternFill patternType="solid">
        <fgColor indexed="30"/>
      </patternFill>
    </fill>
    <fill>
      <patternFill patternType="solid">
        <fgColor indexed="11"/>
      </patternFill>
    </fill>
    <fill>
      <patternFill patternType="solid">
        <fgColor indexed="36"/>
      </patternFill>
    </fill>
    <fill>
      <patternFill patternType="solid">
        <fgColor indexed="62"/>
      </patternFill>
    </fill>
    <fill>
      <patternFill patternType="solid">
        <fgColor indexed="57"/>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indexed="42"/>
        <bgColor indexed="29"/>
      </patternFill>
    </fill>
    <fill>
      <patternFill patternType="solid">
        <fgColor indexed="9"/>
        <bgColor indexed="64"/>
      </patternFill>
    </fill>
    <fill>
      <patternFill patternType="solid">
        <fgColor indexed="13"/>
      </patternFill>
    </fill>
    <fill>
      <patternFill patternType="solid">
        <fgColor indexed="12"/>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EBB3EB"/>
        <bgColor indexed="64"/>
      </patternFill>
    </fill>
    <fill>
      <patternFill patternType="solid">
        <fgColor theme="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400">
    <border>
      <left/>
      <right/>
      <top/>
      <bottom/>
      <diagonal/>
    </border>
    <border>
      <left/>
      <right/>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2"/>
      </left>
      <right style="double">
        <color indexed="62"/>
      </right>
      <top style="double">
        <color indexed="62"/>
      </top>
      <bottom style="double">
        <color indexed="62"/>
      </bottom>
      <diagonal/>
    </border>
    <border>
      <left/>
      <right/>
      <top/>
      <bottom style="thick">
        <color indexed="56"/>
      </bottom>
      <diagonal/>
    </border>
    <border>
      <left/>
      <right/>
      <top/>
      <bottom style="thick">
        <color indexed="48"/>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48"/>
      </bottom>
      <diagonal/>
    </border>
    <border>
      <left/>
      <right/>
      <top/>
      <bottom style="double">
        <color indexed="10"/>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2"/>
      </left>
      <right style="thin">
        <color indexed="62"/>
      </right>
      <top style="thin">
        <color indexed="62"/>
      </top>
      <bottom style="thin">
        <color indexed="62"/>
      </bottom>
      <diagonal/>
    </border>
    <border>
      <left/>
      <right/>
      <top style="thin">
        <color indexed="56"/>
      </top>
      <bottom style="double">
        <color indexed="56"/>
      </bottom>
      <diagonal/>
    </border>
    <border>
      <left/>
      <right/>
      <top style="thin">
        <color indexed="48"/>
      </top>
      <bottom style="double">
        <color indexed="48"/>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indexed="49"/>
      </bottom>
      <diagonal/>
    </border>
    <border>
      <left/>
      <right/>
      <top/>
      <bottom style="thick">
        <color indexed="62"/>
      </bottom>
      <diagonal/>
    </border>
    <border>
      <left/>
      <right/>
      <top/>
      <bottom style="medium">
        <color indexed="49"/>
      </bottom>
      <diagonal/>
    </border>
    <border>
      <left/>
      <right/>
      <top/>
      <bottom style="medium">
        <color indexed="30"/>
      </bottom>
      <diagonal/>
    </border>
    <border>
      <left/>
      <right/>
      <top/>
      <bottom style="double">
        <color indexed="52"/>
      </bottom>
      <diagonal/>
    </border>
    <border>
      <left/>
      <right/>
      <top style="thin">
        <color indexed="49"/>
      </top>
      <bottom style="double">
        <color indexed="49"/>
      </bottom>
      <diagonal/>
    </border>
    <border>
      <left/>
      <right/>
      <top style="thin">
        <color indexed="62"/>
      </top>
      <bottom style="double">
        <color indexed="62"/>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
      <left style="thin">
        <color indexed="8"/>
      </left>
      <right style="thin">
        <color indexed="8"/>
      </right>
      <top style="double">
        <color indexed="8"/>
      </top>
      <bottom style="thin">
        <color indexed="8"/>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56"/>
      </top>
      <bottom style="double">
        <color indexed="56"/>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right/>
      <top/>
      <bottom style="medium">
        <color auto="1"/>
      </bottom>
      <diagonal/>
    </border>
    <border>
      <left style="thin">
        <color indexed="64"/>
      </left>
      <right/>
      <top style="thin">
        <color indexed="64"/>
      </top>
      <bottom style="thin">
        <color indexed="64"/>
      </bottom>
      <diagonal/>
    </border>
    <border>
      <left/>
      <right/>
      <top style="thin">
        <color indexed="48"/>
      </top>
      <bottom style="double">
        <color indexed="4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56"/>
      </top>
      <bottom style="double">
        <color indexed="56"/>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top style="thin">
        <color indexed="48"/>
      </top>
      <bottom style="double">
        <color indexed="48"/>
      </bottom>
      <diagonal/>
    </border>
    <border>
      <left/>
      <right/>
      <top style="thin">
        <color indexed="56"/>
      </top>
      <bottom style="double">
        <color indexed="56"/>
      </bottom>
      <diagonal/>
    </border>
    <border>
      <left style="thin">
        <color auto="1"/>
      </left>
      <right/>
      <top style="thin">
        <color auto="1"/>
      </top>
      <bottom style="thin">
        <color auto="1"/>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right/>
      <top style="thin">
        <color indexed="48"/>
      </top>
      <bottom style="double">
        <color indexed="48"/>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top style="thin">
        <color indexed="48"/>
      </top>
      <bottom style="double">
        <color indexed="48"/>
      </bottom>
      <diagonal/>
    </border>
    <border>
      <left/>
      <right/>
      <top style="thin">
        <color indexed="56"/>
      </top>
      <bottom style="double">
        <color indexed="56"/>
      </bottom>
      <diagonal/>
    </border>
    <border>
      <left style="thin">
        <color auto="1"/>
      </left>
      <right/>
      <top style="thin">
        <color auto="1"/>
      </top>
      <bottom style="thin">
        <color auto="1"/>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top style="thin">
        <color indexed="48"/>
      </top>
      <bottom style="double">
        <color indexed="4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56"/>
      </top>
      <bottom style="double">
        <color indexed="56"/>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top style="thin">
        <color indexed="48"/>
      </top>
      <bottom style="double">
        <color indexed="48"/>
      </bottom>
      <diagonal/>
    </border>
    <border>
      <left/>
      <right/>
      <top style="thin">
        <color indexed="56"/>
      </top>
      <bottom style="double">
        <color indexed="56"/>
      </bottom>
      <diagonal/>
    </border>
    <border>
      <left style="thin">
        <color auto="1"/>
      </left>
      <right/>
      <top style="thin">
        <color auto="1"/>
      </top>
      <bottom style="thin">
        <color auto="1"/>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top style="thin">
        <color indexed="48"/>
      </top>
      <bottom style="double">
        <color indexed="48"/>
      </bottom>
      <diagonal/>
    </border>
    <border>
      <left/>
      <right/>
      <top style="thin">
        <color indexed="56"/>
      </top>
      <bottom style="double">
        <color indexed="56"/>
      </bottom>
      <diagonal/>
    </border>
    <border>
      <left style="thin">
        <color auto="1"/>
      </left>
      <right/>
      <top style="thin">
        <color auto="1"/>
      </top>
      <bottom style="thin">
        <color auto="1"/>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right/>
      <top style="thin">
        <color indexed="48"/>
      </top>
      <bottom style="double">
        <color indexed="48"/>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56"/>
      </top>
      <bottom style="double">
        <color indexed="56"/>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top style="thin">
        <color indexed="48"/>
      </top>
      <bottom style="double">
        <color indexed="4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top style="thin">
        <color indexed="48"/>
      </top>
      <bottom style="double">
        <color indexed="4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top style="thin">
        <color indexed="48"/>
      </top>
      <bottom style="double">
        <color indexed="4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auto="1"/>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right/>
      <top style="thin">
        <color indexed="48"/>
      </top>
      <bottom style="double">
        <color indexed="48"/>
      </bottom>
      <diagonal/>
    </border>
    <border>
      <left/>
      <right/>
      <top style="thin">
        <color indexed="56"/>
      </top>
      <bottom style="double">
        <color indexed="56"/>
      </bottom>
      <diagonal/>
    </border>
    <border>
      <left style="thin">
        <color auto="1"/>
      </left>
      <right/>
      <top style="thin">
        <color auto="1"/>
      </top>
      <bottom style="thin">
        <color auto="1"/>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top style="thin">
        <color indexed="64"/>
      </top>
      <bottom/>
      <diagonal/>
    </border>
    <border>
      <left/>
      <right/>
      <top style="thin">
        <color auto="1"/>
      </top>
      <bottom style="double">
        <color auto="1"/>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double">
        <color indexed="8"/>
      </left>
      <right style="double">
        <color indexed="8"/>
      </right>
      <top style="double">
        <color indexed="8"/>
      </top>
      <bottom style="double">
        <color indexed="8"/>
      </bottom>
      <diagonal/>
    </border>
    <border>
      <left style="thin">
        <color indexed="62"/>
      </left>
      <right style="thin">
        <color indexed="62"/>
      </right>
      <top style="thin">
        <color indexed="62"/>
      </top>
      <bottom style="thin">
        <color indexed="6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62"/>
      </left>
      <right style="thin">
        <color indexed="62"/>
      </right>
      <top style="thin">
        <color indexed="62"/>
      </top>
      <bottom style="thin">
        <color indexed="6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3756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38" fontId="5" fillId="0" borderId="0" applyNumberFormat="0" applyFont="0" applyFill="0" applyBorder="0">
      <alignment horizontal="left" indent="4"/>
      <protection locked="0"/>
    </xf>
    <xf numFmtId="0" fontId="6" fillId="0" borderId="0" applyNumberFormat="0" applyFont="0" applyFill="0" applyBorder="0" applyAlignment="0" applyProtection="0">
      <alignment horizontal="left"/>
    </xf>
    <xf numFmtId="15" fontId="6" fillId="0" borderId="0" applyFont="0" applyFill="0" applyBorder="0" applyAlignment="0" applyProtection="0"/>
    <xf numFmtId="4" fontId="6" fillId="0" borderId="0" applyFont="0" applyFill="0" applyBorder="0" applyAlignment="0" applyProtection="0"/>
    <xf numFmtId="0" fontId="7" fillId="0" borderId="2">
      <alignment horizontal="center"/>
    </xf>
    <xf numFmtId="3" fontId="6" fillId="0" borderId="0" applyFont="0" applyFill="0" applyBorder="0" applyAlignment="0" applyProtection="0"/>
    <xf numFmtId="0" fontId="6" fillId="3" borderId="0" applyNumberFormat="0" applyFont="0" applyBorder="0" applyAlignment="0" applyProtection="0"/>
    <xf numFmtId="166" fontId="4" fillId="4" borderId="0" applyFont="0" applyFill="0" applyBorder="0" applyAlignment="0" applyProtection="0">
      <alignment wrapText="1"/>
    </xf>
    <xf numFmtId="0" fontId="13" fillId="0" borderId="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9" borderId="0" applyNumberFormat="0" applyBorder="0" applyAlignment="0" applyProtection="0"/>
    <xf numFmtId="0" fontId="14" fillId="17"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20"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41" fontId="2" fillId="0" borderId="0"/>
    <xf numFmtId="41" fontId="2" fillId="0" borderId="0"/>
    <xf numFmtId="41" fontId="2" fillId="0" borderId="0"/>
    <xf numFmtId="41" fontId="2" fillId="0" borderId="0"/>
    <xf numFmtId="0" fontId="15" fillId="23" borderId="0" applyNumberFormat="0" applyBorder="0" applyAlignment="0" applyProtection="0"/>
    <xf numFmtId="0" fontId="15" fillId="14" borderId="0" applyNumberFormat="0" applyBorder="0" applyAlignment="0" applyProtection="0"/>
    <xf numFmtId="3" fontId="2" fillId="0" borderId="0"/>
    <xf numFmtId="3" fontId="2" fillId="0" borderId="0"/>
    <xf numFmtId="3" fontId="2" fillId="0" borderId="0"/>
    <xf numFmtId="3" fontId="2" fillId="0" borderId="0"/>
    <xf numFmtId="0" fontId="16" fillId="24" borderId="3" applyNumberFormat="0" applyAlignment="0" applyProtection="0"/>
    <xf numFmtId="0" fontId="32" fillId="24" borderId="3" applyNumberFormat="0" applyAlignment="0" applyProtection="0"/>
    <xf numFmtId="0" fontId="17" fillId="25" borderId="4" applyNumberFormat="0" applyAlignment="0" applyProtection="0"/>
    <xf numFmtId="0" fontId="17" fillId="26" borderId="5" applyNumberFormat="0" applyAlignment="0" applyProtection="0"/>
    <xf numFmtId="0" fontId="2" fillId="27" borderId="0">
      <alignment horizontal="center"/>
    </xf>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18" fillId="0" borderId="0"/>
    <xf numFmtId="0" fontId="33" fillId="0" borderId="0"/>
    <xf numFmtId="0" fontId="33" fillId="0" borderId="0"/>
    <xf numFmtId="0" fontId="34" fillId="28" borderId="1" applyAlignment="0">
      <alignment horizontal="right"/>
      <protection locked="0"/>
    </xf>
    <xf numFmtId="44" fontId="13"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5" fillId="29" borderId="0">
      <alignment horizontal="right"/>
      <protection locked="0"/>
    </xf>
    <xf numFmtId="0" fontId="20" fillId="0" borderId="0" applyNumberFormat="0" applyFill="0" applyBorder="0" applyAlignment="0" applyProtection="0"/>
    <xf numFmtId="0" fontId="20" fillId="0" borderId="0" applyNumberFormat="0" applyFill="0" applyBorder="0" applyAlignment="0" applyProtection="0"/>
    <xf numFmtId="2" fontId="35" fillId="29" borderId="0">
      <alignment horizontal="right"/>
      <protection locked="0"/>
    </xf>
    <xf numFmtId="0" fontId="21" fillId="11" borderId="0" applyNumberFormat="0" applyBorder="0" applyAlignment="0" applyProtection="0"/>
    <xf numFmtId="0" fontId="21" fillId="30" borderId="0" applyNumberFormat="0" applyBorder="0" applyAlignment="0" applyProtection="0"/>
    <xf numFmtId="0" fontId="22" fillId="0" borderId="6" applyNumberFormat="0" applyFill="0" applyAlignment="0" applyProtection="0"/>
    <xf numFmtId="0" fontId="36" fillId="0" borderId="7" applyNumberFormat="0" applyFill="0" applyAlignment="0" applyProtection="0"/>
    <xf numFmtId="0" fontId="23" fillId="0" borderId="8" applyNumberFormat="0" applyFill="0" applyAlignment="0" applyProtection="0"/>
    <xf numFmtId="0" fontId="37" fillId="0" borderId="9" applyNumberFormat="0" applyFill="0" applyAlignment="0" applyProtection="0"/>
    <xf numFmtId="0" fontId="24" fillId="0" borderId="10" applyNumberFormat="0" applyFill="0" applyAlignment="0" applyProtection="0"/>
    <xf numFmtId="0" fontId="38" fillId="0" borderId="11" applyNumberFormat="0" applyFill="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25" fillId="13" borderId="3" applyNumberFormat="0" applyAlignment="0" applyProtection="0"/>
    <xf numFmtId="0" fontId="41" fillId="13" borderId="3" applyNumberFormat="0" applyAlignment="0" applyProtection="0"/>
    <xf numFmtId="3" fontId="10" fillId="31" borderId="0">
      <protection locked="0"/>
    </xf>
    <xf numFmtId="4" fontId="10" fillId="31" borderId="0">
      <protection locked="0"/>
    </xf>
    <xf numFmtId="0" fontId="26" fillId="0" borderId="12" applyNumberFormat="0" applyFill="0" applyAlignment="0" applyProtection="0"/>
    <xf numFmtId="0" fontId="42" fillId="0" borderId="13" applyNumberFormat="0" applyFill="0" applyAlignment="0" applyProtection="0"/>
    <xf numFmtId="0" fontId="27" fillId="13" borderId="0" applyNumberFormat="0" applyBorder="0" applyAlignment="0" applyProtection="0"/>
    <xf numFmtId="0" fontId="43" fillId="13" borderId="0" applyNumberFormat="0" applyBorder="0" applyAlignment="0" applyProtection="0"/>
    <xf numFmtId="43"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8" fillId="0" borderId="0">
      <alignment vertical="top"/>
    </xf>
    <xf numFmtId="0" fontId="18" fillId="0" borderId="0">
      <alignment vertical="top"/>
    </xf>
    <xf numFmtId="0" fontId="18" fillId="0" borderId="0">
      <alignment vertical="top"/>
    </xf>
    <xf numFmtId="0" fontId="2" fillId="0" borderId="0"/>
    <xf numFmtId="0" fontId="28" fillId="10" borderId="14" applyNumberFormat="0" applyFont="0" applyAlignment="0" applyProtection="0"/>
    <xf numFmtId="0" fontId="18" fillId="10" borderId="14" applyNumberFormat="0" applyFont="0" applyAlignment="0" applyProtection="0"/>
    <xf numFmtId="171" fontId="44" fillId="0" borderId="0" applyNumberFormat="0"/>
    <xf numFmtId="0" fontId="29" fillId="24" borderId="15" applyNumberFormat="0" applyAlignment="0" applyProtection="0"/>
    <xf numFmtId="0" fontId="24" fillId="24" borderId="16" applyNumberFormat="0" applyAlignment="0" applyProtection="0"/>
    <xf numFmtId="9" fontId="13"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10" fontId="2" fillId="0" borderId="0" applyFont="0" applyFill="0" applyBorder="0" applyAlignment="0" applyProtection="0"/>
    <xf numFmtId="0" fontId="2" fillId="0" borderId="0"/>
    <xf numFmtId="0" fontId="2" fillId="0" borderId="0"/>
    <xf numFmtId="0" fontId="2" fillId="0" borderId="0"/>
    <xf numFmtId="0" fontId="2" fillId="0" borderId="0"/>
    <xf numFmtId="0" fontId="18" fillId="0" borderId="0">
      <alignment vertical="top"/>
    </xf>
    <xf numFmtId="0" fontId="18" fillId="0" borderId="0">
      <alignment vertical="top"/>
    </xf>
    <xf numFmtId="0" fontId="18" fillId="0" borderId="0" applyNumberFormat="0" applyBorder="0" applyAlignment="0"/>
    <xf numFmtId="0" fontId="30" fillId="0" borderId="0" applyNumberFormat="0" applyFill="0" applyBorder="0" applyAlignment="0" applyProtection="0"/>
    <xf numFmtId="0" fontId="45" fillId="0" borderId="0" applyNumberFormat="0" applyFill="0" applyBorder="0" applyAlignment="0" applyProtection="0"/>
    <xf numFmtId="0" fontId="31" fillId="0" borderId="17" applyNumberFormat="0" applyFill="0" applyAlignment="0" applyProtection="0"/>
    <xf numFmtId="0" fontId="31" fillId="0" borderId="18"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0" fontId="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4" fontId="4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47"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8" fillId="12" borderId="0" applyNumberFormat="0" applyBorder="0" applyAlignment="0" applyProtection="0"/>
    <xf numFmtId="0" fontId="8" fillId="32" borderId="0" applyNumberFormat="0" applyBorder="0" applyAlignment="0" applyProtection="0"/>
    <xf numFmtId="0" fontId="8" fillId="12" borderId="0" applyNumberFormat="0" applyBorder="0" applyAlignment="0" applyProtection="0"/>
    <xf numFmtId="0" fontId="8" fillId="23" borderId="0" applyNumberFormat="0" applyBorder="0" applyAlignment="0" applyProtection="0"/>
    <xf numFmtId="0" fontId="8" fillId="7" borderId="0" applyNumberFormat="0" applyBorder="0" applyAlignment="0" applyProtection="0"/>
    <xf numFmtId="0" fontId="8" fillId="23" borderId="0" applyNumberFormat="0" applyBorder="0" applyAlignment="0" applyProtection="0"/>
    <xf numFmtId="0" fontId="8" fillId="17" borderId="0" applyNumberFormat="0" applyBorder="0" applyAlignment="0" applyProtection="0"/>
    <xf numFmtId="0" fontId="14" fillId="21"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16" borderId="0" applyNumberFormat="0" applyBorder="0" applyAlignment="0" applyProtection="0"/>
    <xf numFmtId="0" fontId="48" fillId="24" borderId="3" applyNumberFormat="0" applyAlignment="0" applyProtection="0"/>
    <xf numFmtId="0" fontId="48" fillId="12" borderId="3" applyNumberFormat="0" applyAlignment="0" applyProtection="0"/>
    <xf numFmtId="43" fontId="8"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8" fillId="0" borderId="0" applyFont="0" applyFill="0" applyBorder="0" applyAlignment="0" applyProtection="0"/>
    <xf numFmtId="14" fontId="2" fillId="0" borderId="0"/>
    <xf numFmtId="1" fontId="2" fillId="0" borderId="0">
      <alignment horizontal="center"/>
    </xf>
    <xf numFmtId="0" fontId="22" fillId="0" borderId="24" applyNumberFormat="0" applyFill="0" applyAlignment="0" applyProtection="0"/>
    <xf numFmtId="0" fontId="50" fillId="0" borderId="25" applyNumberFormat="0" applyFill="0" applyAlignment="0" applyProtection="0"/>
    <xf numFmtId="0" fontId="23" fillId="0" borderId="9" applyNumberFormat="0" applyFill="0" applyAlignment="0" applyProtection="0"/>
    <xf numFmtId="0" fontId="51" fillId="0" borderId="9" applyNumberFormat="0" applyFill="0" applyAlignment="0" applyProtection="0"/>
    <xf numFmtId="0" fontId="24" fillId="0" borderId="26" applyNumberFormat="0" applyFill="0" applyAlignment="0" applyProtection="0"/>
    <xf numFmtId="0" fontId="52" fillId="0" borderId="27" applyNumberFormat="0" applyFill="0" applyAlignment="0" applyProtection="0"/>
    <xf numFmtId="0" fontId="53" fillId="0" borderId="28" applyNumberFormat="0" applyFill="0" applyAlignment="0" applyProtection="0"/>
    <xf numFmtId="0" fontId="54" fillId="13" borderId="0" applyNumberFormat="0" applyBorder="0" applyAlignment="0" applyProtection="0"/>
    <xf numFmtId="0" fontId="8" fillId="0" borderId="0"/>
    <xf numFmtId="0" fontId="1"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0" borderId="14" applyNumberFormat="0" applyFont="0" applyAlignment="0" applyProtection="0"/>
    <xf numFmtId="0" fontId="49" fillId="10" borderId="14" applyNumberFormat="0" applyFont="0" applyAlignment="0" applyProtection="0"/>
    <xf numFmtId="9" fontId="49"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37" fontId="56" fillId="0" borderId="0"/>
    <xf numFmtId="0" fontId="31" fillId="0" borderId="29" applyNumberFormat="0" applyFill="0" applyAlignment="0" applyProtection="0"/>
    <xf numFmtId="0" fontId="31" fillId="0" borderId="30" applyNumberFormat="0" applyFill="0" applyAlignment="0" applyProtection="0"/>
    <xf numFmtId="43" fontId="8" fillId="0" borderId="0" applyFont="0" applyFill="0" applyBorder="0" applyAlignment="0" applyProtection="0"/>
    <xf numFmtId="0" fontId="8" fillId="0" borderId="0"/>
    <xf numFmtId="44" fontId="2" fillId="0" borderId="0" applyFont="0" applyFill="0" applyBorder="0" applyAlignment="0" applyProtection="0"/>
    <xf numFmtId="43" fontId="2" fillId="0" borderId="0" applyFont="0" applyFill="0" applyBorder="0" applyAlignment="0" applyProtection="0"/>
    <xf numFmtId="0" fontId="8" fillId="12"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3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47" borderId="0" applyNumberFormat="0" applyBorder="0" applyAlignment="0" applyProtection="0"/>
    <xf numFmtId="0" fontId="8" fillId="7" borderId="0" applyNumberFormat="0" applyBorder="0" applyAlignment="0" applyProtection="0"/>
    <xf numFmtId="0" fontId="1" fillId="47" borderId="0" applyNumberFormat="0" applyBorder="0" applyAlignment="0" applyProtection="0"/>
    <xf numFmtId="0" fontId="8" fillId="32"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4" borderId="0" applyNumberFormat="0" applyBorder="0" applyAlignment="0" applyProtection="0"/>
    <xf numFmtId="0" fontId="1" fillId="51" borderId="0" applyNumberFormat="0" applyBorder="0" applyAlignment="0" applyProtection="0"/>
    <xf numFmtId="0" fontId="1" fillId="8" borderId="0" applyNumberFormat="0" applyBorder="0" applyAlignment="0" applyProtection="0"/>
    <xf numFmtId="0" fontId="1" fillId="51" borderId="0" applyNumberFormat="0" applyBorder="0" applyAlignment="0" applyProtection="0"/>
    <xf numFmtId="0" fontId="8" fillId="14" borderId="0" applyNumberFormat="0" applyBorder="0" applyAlignment="0" applyProtection="0"/>
    <xf numFmtId="0" fontId="1" fillId="10" borderId="0" applyNumberFormat="0" applyBorder="0" applyAlignment="0" applyProtection="0"/>
    <xf numFmtId="0" fontId="8" fillId="30" borderId="0" applyNumberFormat="0" applyBorder="0" applyAlignment="0" applyProtection="0"/>
    <xf numFmtId="0" fontId="8" fillId="10" borderId="0" applyNumberFormat="0" applyBorder="0" applyAlignment="0" applyProtection="0"/>
    <xf numFmtId="0" fontId="8" fillId="30" borderId="0" applyNumberFormat="0" applyBorder="0" applyAlignment="0" applyProtection="0"/>
    <xf numFmtId="0" fontId="1" fillId="55" borderId="0" applyNumberFormat="0" applyBorder="0" applyAlignment="0" applyProtection="0"/>
    <xf numFmtId="0" fontId="1" fillId="10" borderId="0" applyNumberFormat="0" applyBorder="0" applyAlignment="0" applyProtection="0"/>
    <xf numFmtId="0" fontId="1" fillId="55" borderId="0" applyNumberFormat="0" applyBorder="0" applyAlignment="0" applyProtection="0"/>
    <xf numFmtId="0" fontId="8" fillId="30" borderId="0" applyNumberFormat="0" applyBorder="0" applyAlignment="0" applyProtection="0"/>
    <xf numFmtId="0" fontId="8" fillId="12" borderId="0" applyNumberFormat="0" applyBorder="0" applyAlignment="0" applyProtection="0"/>
    <xf numFmtId="0" fontId="8" fillId="8" borderId="0" applyNumberFormat="0" applyBorder="0" applyAlignment="0" applyProtection="0"/>
    <xf numFmtId="0" fontId="8" fillId="23"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1" fillId="59" borderId="0" applyNumberFormat="0" applyBorder="0" applyAlignment="0" applyProtection="0"/>
    <xf numFmtId="0" fontId="8" fillId="8" borderId="0" applyNumberFormat="0" applyBorder="0" applyAlignment="0" applyProtection="0"/>
    <xf numFmtId="0" fontId="1" fillId="59" borderId="0" applyNumberFormat="0" applyBorder="0" applyAlignment="0" applyProtection="0"/>
    <xf numFmtId="0" fontId="8" fillId="2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8" fillId="11"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7"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 fillId="9"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34" borderId="0" applyNumberFormat="0" applyBorder="0" applyAlignment="0" applyProtection="0"/>
    <xf numFmtId="0" fontId="8" fillId="13" borderId="0" applyNumberFormat="0" applyBorder="0" applyAlignment="0" applyProtection="0"/>
    <xf numFmtId="0" fontId="8" fillId="34" borderId="0" applyNumberFormat="0" applyBorder="0" applyAlignment="0" applyProtection="0"/>
    <xf numFmtId="0" fontId="1" fillId="56" borderId="0" applyNumberFormat="0" applyBorder="0" applyAlignment="0" applyProtection="0"/>
    <xf numFmtId="0" fontId="1" fillId="10" borderId="0" applyNumberFormat="0" applyBorder="0" applyAlignment="0" applyProtection="0"/>
    <xf numFmtId="0" fontId="1" fillId="56" borderId="0" applyNumberFormat="0" applyBorder="0" applyAlignment="0" applyProtection="0"/>
    <xf numFmtId="0" fontId="8" fillId="34"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2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8" fillId="23"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7"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8" fillId="17"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71" fillId="49" borderId="0" applyNumberFormat="0" applyBorder="0" applyAlignment="0" applyProtection="0"/>
    <xf numFmtId="0" fontId="14" fillId="9" borderId="0" applyNumberFormat="0" applyBorder="0" applyAlignment="0" applyProtection="0"/>
    <xf numFmtId="0" fontId="14" fillId="16" borderId="0" applyNumberFormat="0" applyBorder="0" applyAlignment="0" applyProtection="0"/>
    <xf numFmtId="0" fontId="14" fillId="9" borderId="0" applyNumberFormat="0" applyBorder="0" applyAlignment="0" applyProtection="0"/>
    <xf numFmtId="0" fontId="14" fillId="16" borderId="0" applyNumberFormat="0" applyBorder="0" applyAlignment="0" applyProtection="0"/>
    <xf numFmtId="0" fontId="71" fillId="5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71" fillId="57"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71" fillId="61"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1" borderId="0" applyNumberFormat="0" applyBorder="0" applyAlignment="0" applyProtection="0"/>
    <xf numFmtId="0" fontId="14" fillId="21" borderId="0" applyNumberFormat="0" applyBorder="0" applyAlignment="0" applyProtection="0"/>
    <xf numFmtId="0" fontId="14" fillId="11" borderId="0" applyNumberFormat="0" applyBorder="0" applyAlignment="0" applyProtection="0"/>
    <xf numFmtId="0" fontId="71" fillId="65"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22" borderId="0" applyNumberFormat="0" applyBorder="0" applyAlignment="0" applyProtection="0"/>
    <xf numFmtId="0" fontId="14" fillId="9" borderId="0" applyNumberFormat="0" applyBorder="0" applyAlignment="0" applyProtection="0"/>
    <xf numFmtId="0" fontId="71" fillId="69"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71" fillId="46" borderId="0" applyNumberFormat="0" applyBorder="0" applyAlignment="0" applyProtection="0"/>
    <xf numFmtId="0" fontId="14" fillId="19"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14" fillId="16" borderId="0" applyNumberFormat="0" applyBorder="0" applyAlignment="0" applyProtection="0"/>
    <xf numFmtId="0" fontId="71" fillId="50"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37" borderId="0" applyNumberFormat="0" applyBorder="0" applyAlignment="0" applyProtection="0"/>
    <xf numFmtId="0" fontId="14" fillId="17" borderId="0" applyNumberFormat="0" applyBorder="0" applyAlignment="0" applyProtection="0"/>
    <xf numFmtId="0" fontId="71" fillId="54"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35" borderId="0" applyNumberFormat="0" applyBorder="0" applyAlignment="0" applyProtection="0"/>
    <xf numFmtId="0" fontId="14" fillId="20" borderId="0" applyNumberFormat="0" applyBorder="0" applyAlignment="0" applyProtection="0"/>
    <xf numFmtId="0" fontId="71" fillId="58" borderId="0" applyNumberFormat="0" applyBorder="0" applyAlignment="0" applyProtection="0"/>
    <xf numFmtId="0" fontId="71" fillId="62" borderId="0" applyNumberFormat="0" applyBorder="0" applyAlignment="0" applyProtection="0"/>
    <xf numFmtId="0" fontId="14" fillId="15"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71" fillId="62" borderId="0" applyNumberFormat="0" applyBorder="0" applyAlignment="0" applyProtection="0"/>
    <xf numFmtId="0" fontId="14" fillId="22" borderId="0" applyNumberFormat="0" applyBorder="0" applyAlignment="0" applyProtection="0"/>
    <xf numFmtId="0" fontId="14" fillId="19"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71" fillId="66" borderId="0" applyNumberFormat="0" applyBorder="0" applyAlignment="0" applyProtection="0"/>
    <xf numFmtId="41" fontId="2" fillId="0" borderId="0"/>
    <xf numFmtId="41" fontId="2" fillId="0" borderId="0"/>
    <xf numFmtId="41" fontId="2" fillId="0" borderId="0"/>
    <xf numFmtId="49" fontId="72" fillId="0" borderId="0" applyFill="0" applyBorder="0" applyAlignment="0" applyProtection="0"/>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15" fillId="14" borderId="0" applyNumberFormat="0" applyBorder="0" applyAlignment="0" applyProtection="0"/>
    <xf numFmtId="0" fontId="15" fillId="23" borderId="0" applyNumberFormat="0" applyBorder="0" applyAlignment="0" applyProtection="0"/>
    <xf numFmtId="0" fontId="15" fillId="14" borderId="0" applyNumberFormat="0" applyBorder="0" applyAlignment="0" applyProtection="0"/>
    <xf numFmtId="0" fontId="15" fillId="23" borderId="0" applyNumberFormat="0" applyBorder="0" applyAlignment="0" applyProtection="0"/>
    <xf numFmtId="0" fontId="63" fillId="40" borderId="0" applyNumberFormat="0" applyBorder="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32"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24"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48" fillId="12" borderId="3" applyNumberFormat="0" applyAlignment="0" applyProtection="0"/>
    <xf numFmtId="0" fontId="16" fillId="24" borderId="3" applyNumberFormat="0" applyAlignment="0" applyProtection="0"/>
    <xf numFmtId="0" fontId="67" fillId="43" borderId="39"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7" fillId="26" borderId="5" applyNumberFormat="0" applyAlignment="0" applyProtection="0"/>
    <xf numFmtId="0" fontId="17" fillId="26" borderId="5" applyNumberFormat="0" applyAlignment="0" applyProtection="0"/>
    <xf numFmtId="0" fontId="17" fillId="25" borderId="4" applyNumberFormat="0" applyAlignment="0" applyProtection="0"/>
    <xf numFmtId="0" fontId="17" fillId="26" borderId="5" applyNumberFormat="0" applyAlignment="0" applyProtection="0"/>
    <xf numFmtId="0" fontId="69" fillId="44" borderId="42" applyNumberFormat="0" applyAlignment="0" applyProtection="0"/>
    <xf numFmtId="0" fontId="74" fillId="71" borderId="0" applyNumberFormat="0" applyBorder="0" applyAlignment="0" applyProtection="0">
      <alignment horizontal="center"/>
      <protection hidden="1"/>
    </xf>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75"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18" fillId="0" borderId="0" applyFont="0" applyFill="0" applyBorder="0" applyAlignment="0" applyProtection="0">
      <alignment vertical="top"/>
    </xf>
    <xf numFmtId="43" fontId="18" fillId="0" borderId="0" applyFont="0" applyFill="0" applyBorder="0" applyAlignment="0" applyProtection="0">
      <alignment vertical="top"/>
    </xf>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1" fontId="19" fillId="72" borderId="0">
      <alignment horizontal="left"/>
    </xf>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28"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3"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76"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7"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1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alignment vertical="top"/>
    </xf>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7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alignmen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3" fontId="6" fillId="0" borderId="0" applyFont="0" applyFill="0" applyBorder="0" applyAlignment="0" applyProtection="0"/>
    <xf numFmtId="0" fontId="28" fillId="0" borderId="0"/>
    <xf numFmtId="0" fontId="28" fillId="0" borderId="0"/>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174" fontId="2" fillId="0" borderId="0" applyFont="0" applyFill="0" applyBorder="0" applyAlignment="0" applyProtection="0"/>
    <xf numFmtId="174" fontId="2" fillId="0" borderId="0" applyFont="0" applyFill="0" applyBorder="0" applyAlignment="0" applyProtection="0"/>
    <xf numFmtId="0" fontId="70" fillId="0" borderId="0" applyNumberFormat="0" applyFill="0" applyBorder="0" applyAlignment="0" applyProtection="0"/>
    <xf numFmtId="0" fontId="2" fillId="0" borderId="0"/>
    <xf numFmtId="0" fontId="21" fillId="11" borderId="0" applyNumberFormat="0" applyBorder="0" applyAlignment="0" applyProtection="0"/>
    <xf numFmtId="0" fontId="21" fillId="3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62" fillId="39" borderId="0" applyNumberFormat="0" applyBorder="0" applyAlignment="0" applyProtection="0"/>
    <xf numFmtId="0" fontId="21" fillId="30" borderId="0" applyNumberFormat="0" applyBorder="0" applyAlignment="0" applyProtection="0"/>
    <xf numFmtId="0" fontId="21" fillId="11"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62" fillId="39" borderId="0" applyNumberFormat="0" applyBorder="0" applyAlignment="0" applyProtection="0"/>
    <xf numFmtId="0" fontId="22" fillId="0" borderId="24" applyNumberFormat="0" applyFill="0" applyAlignment="0" applyProtection="0"/>
    <xf numFmtId="0" fontId="36" fillId="0" borderId="7"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59" fillId="0" borderId="36" applyNumberFormat="0" applyFill="0" applyAlignment="0" applyProtection="0"/>
    <xf numFmtId="0" fontId="37" fillId="0" borderId="9"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60" fillId="0" borderId="37" applyNumberFormat="0" applyFill="0" applyAlignment="0" applyProtection="0"/>
    <xf numFmtId="0" fontId="24" fillId="0" borderId="26" applyNumberFormat="0" applyFill="0" applyAlignment="0" applyProtection="0"/>
    <xf numFmtId="0" fontId="38" fillId="0" borderId="11"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61" fillId="0" borderId="38" applyNumberFormat="0" applyFill="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2" fillId="0" borderId="0" applyNumberFormat="0" applyFill="0" applyBorder="0" applyAlignment="0" applyProtection="0"/>
    <xf numFmtId="0" fontId="24" fillId="0" borderId="0" applyNumberFormat="0" applyFill="0" applyBorder="0" applyAlignment="0" applyProtection="0"/>
    <xf numFmtId="0" fontId="61" fillId="0" borderId="0" applyNumberFormat="0" applyFill="0" applyBorder="0" applyAlignment="0" applyProtection="0"/>
    <xf numFmtId="0" fontId="79"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41" fillId="13" borderId="3" applyNumberFormat="0" applyAlignment="0" applyProtection="0"/>
    <xf numFmtId="0" fontId="41"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41" fillId="13" borderId="3" applyNumberFormat="0" applyAlignment="0" applyProtection="0"/>
    <xf numFmtId="0" fontId="25" fillId="8"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13"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25" fillId="8" borderId="3" applyNumberFormat="0" applyAlignment="0" applyProtection="0"/>
    <xf numFmtId="0" fontId="65" fillId="42" borderId="39" applyNumberFormat="0" applyAlignment="0" applyProtection="0"/>
    <xf numFmtId="0" fontId="73" fillId="0" borderId="35" applyBorder="0">
      <alignment horizontal="center" vertical="center" wrapText="1"/>
    </xf>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85" fillId="73" borderId="45"/>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73" fillId="0" borderId="35" applyBorder="0">
      <alignment horizontal="center" vertical="center" wrapText="1"/>
    </xf>
    <xf numFmtId="0" fontId="42" fillId="0" borderId="13" applyNumberFormat="0" applyFill="0" applyAlignment="0" applyProtection="0"/>
    <xf numFmtId="0" fontId="26" fillId="0" borderId="12" applyNumberFormat="0" applyFill="0" applyAlignment="0" applyProtection="0"/>
    <xf numFmtId="0" fontId="53" fillId="0" borderId="28" applyNumberFormat="0" applyFill="0" applyAlignment="0" applyProtection="0"/>
    <xf numFmtId="0" fontId="26" fillId="0" borderId="12" applyNumberFormat="0" applyFill="0" applyAlignment="0" applyProtection="0"/>
    <xf numFmtId="0" fontId="68" fillId="0" borderId="41" applyNumberFormat="0" applyFill="0" applyAlignment="0" applyProtection="0"/>
    <xf numFmtId="0" fontId="54" fillId="13" borderId="0" applyNumberFormat="0" applyBorder="0" applyAlignment="0" applyProtection="0"/>
    <xf numFmtId="0" fontId="43" fillId="13" borderId="0" applyNumberFormat="0" applyBorder="0" applyAlignment="0" applyProtection="0"/>
    <xf numFmtId="0" fontId="27" fillId="13" borderId="0" applyNumberFormat="0" applyBorder="0" applyAlignment="0" applyProtection="0"/>
    <xf numFmtId="0" fontId="54" fillId="13" borderId="0" applyNumberFormat="0" applyBorder="0" applyAlignment="0" applyProtection="0"/>
    <xf numFmtId="0" fontId="27" fillId="13" borderId="0" applyNumberFormat="0" applyBorder="0" applyAlignment="0" applyProtection="0"/>
    <xf numFmtId="0" fontId="64" fillId="41" borderId="0" applyNumberFormat="0" applyBorder="0" applyAlignment="0" applyProtection="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8" fillId="0" borderId="0">
      <alignment vertical="top"/>
    </xf>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76" fillId="0" borderId="0"/>
    <xf numFmtId="0" fontId="1" fillId="0" borderId="0"/>
    <xf numFmtId="0" fontId="76" fillId="0" borderId="0"/>
    <xf numFmtId="0" fontId="1" fillId="0" borderId="0"/>
    <xf numFmtId="0" fontId="1" fillId="0" borderId="0"/>
    <xf numFmtId="0" fontId="2" fillId="0" borderId="0"/>
    <xf numFmtId="0" fontId="8" fillId="0" borderId="0"/>
    <xf numFmtId="0" fontId="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8" fillId="0" borderId="0"/>
    <xf numFmtId="0" fontId="2" fillId="0" borderId="0"/>
    <xf numFmtId="0" fontId="1" fillId="0" borderId="0"/>
    <xf numFmtId="0" fontId="8"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 fillId="0" borderId="0"/>
    <xf numFmtId="0" fontId="1" fillId="0" borderId="0"/>
    <xf numFmtId="0" fontId="28" fillId="0" borderId="0"/>
    <xf numFmtId="0" fontId="2" fillId="0" borderId="0"/>
    <xf numFmtId="0" fontId="2" fillId="0" borderId="0"/>
    <xf numFmtId="0" fontId="86" fillId="0" borderId="0"/>
    <xf numFmtId="0" fontId="28" fillId="0" borderId="0"/>
    <xf numFmtId="0" fontId="1" fillId="0" borderId="0"/>
    <xf numFmtId="0" fontId="1" fillId="0" borderId="0"/>
    <xf numFmtId="0" fontId="28" fillId="0" borderId="0"/>
    <xf numFmtId="0" fontId="28" fillId="0" borderId="0"/>
    <xf numFmtId="0" fontId="1" fillId="0" borderId="0"/>
    <xf numFmtId="0" fontId="2" fillId="0" borderId="0"/>
    <xf numFmtId="0" fontId="28" fillId="0" borderId="0"/>
    <xf numFmtId="0" fontId="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8" fillId="0" borderId="0"/>
    <xf numFmtId="0" fontId="2" fillId="0" borderId="0"/>
    <xf numFmtId="0" fontId="1" fillId="0" borderId="0"/>
    <xf numFmtId="0" fontId="28" fillId="0" borderId="0"/>
    <xf numFmtId="0" fontId="28" fillId="0" borderId="0"/>
    <xf numFmtId="0" fontId="28"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8" fillId="0" borderId="0"/>
    <xf numFmtId="0" fontId="2" fillId="0" borderId="0"/>
    <xf numFmtId="0" fontId="1" fillId="0" borderId="0"/>
    <xf numFmtId="0" fontId="28" fillId="0" borderId="0"/>
    <xf numFmtId="0" fontId="28" fillId="0" borderId="0"/>
    <xf numFmtId="0" fontId="2" fillId="0" borderId="0"/>
    <xf numFmtId="0" fontId="18" fillId="0" borderId="0">
      <alignment vertical="top"/>
    </xf>
    <xf numFmtId="0" fontId="28" fillId="0" borderId="0"/>
    <xf numFmtId="0" fontId="87" fillId="0" borderId="0"/>
    <xf numFmtId="0" fontId="1" fillId="0" borderId="0"/>
    <xf numFmtId="0" fontId="28" fillId="0" borderId="0"/>
    <xf numFmtId="0" fontId="2" fillId="0" borderId="0"/>
    <xf numFmtId="0" fontId="8" fillId="0" borderId="0"/>
    <xf numFmtId="0" fontId="8" fillId="0" borderId="0"/>
    <xf numFmtId="0" fontId="88" fillId="24" borderId="0"/>
    <xf numFmtId="0" fontId="88" fillId="24" borderId="0"/>
    <xf numFmtId="0" fontId="2" fillId="0" borderId="0"/>
    <xf numFmtId="0" fontId="1" fillId="0" borderId="0"/>
    <xf numFmtId="0" fontId="88" fillId="24"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 fillId="0" borderId="0"/>
    <xf numFmtId="0" fontId="28" fillId="0" borderId="0"/>
    <xf numFmtId="0"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8" fillId="0" borderId="0"/>
    <xf numFmtId="0" fontId="2" fillId="0" borderId="0"/>
    <xf numFmtId="0" fontId="2" fillId="0" borderId="0"/>
    <xf numFmtId="0" fontId="1" fillId="0" borderId="0"/>
    <xf numFmtId="40" fontId="78" fillId="0" borderId="0"/>
    <xf numFmtId="0" fontId="28" fillId="0" borderId="0"/>
    <xf numFmtId="0" fontId="2" fillId="0" borderId="0"/>
    <xf numFmtId="40" fontId="78" fillId="0" borderId="0"/>
    <xf numFmtId="0" fontId="1" fillId="0" borderId="0"/>
    <xf numFmtId="0" fontId="28" fillId="0" borderId="0"/>
    <xf numFmtId="0" fontId="2" fillId="0" borderId="0"/>
    <xf numFmtId="175" fontId="28" fillId="0" borderId="0"/>
    <xf numFmtId="0" fontId="2" fillId="0" borderId="0"/>
    <xf numFmtId="175" fontId="28" fillId="0" borderId="0"/>
    <xf numFmtId="0" fontId="1" fillId="0" borderId="0"/>
    <xf numFmtId="0" fontId="1" fillId="0" borderId="0"/>
    <xf numFmtId="0" fontId="1" fillId="0" borderId="0"/>
    <xf numFmtId="0"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1" fillId="0" borderId="0"/>
    <xf numFmtId="0" fontId="28" fillId="0" borderId="0"/>
    <xf numFmtId="0" fontId="28" fillId="0" borderId="0"/>
    <xf numFmtId="175" fontId="28" fillId="0" borderId="0"/>
    <xf numFmtId="0" fontId="28" fillId="0" borderId="0"/>
    <xf numFmtId="0" fontId="1" fillId="0" borderId="0"/>
    <xf numFmtId="0" fontId="8" fillId="0" borderId="0"/>
    <xf numFmtId="0" fontId="8" fillId="0" borderId="0"/>
    <xf numFmtId="0" fontId="2" fillId="0" borderId="0">
      <alignment vertical="top"/>
    </xf>
    <xf numFmtId="0" fontId="2" fillId="0" borderId="0">
      <alignment vertical="top"/>
    </xf>
    <xf numFmtId="0" fontId="2" fillId="0" borderId="0"/>
    <xf numFmtId="0" fontId="8" fillId="0" borderId="0"/>
    <xf numFmtId="0" fontId="8" fillId="0" borderId="0"/>
    <xf numFmtId="0" fontId="2" fillId="0" borderId="0">
      <alignment vertical="top"/>
    </xf>
    <xf numFmtId="0" fontId="1" fillId="0" borderId="0"/>
    <xf numFmtId="0" fontId="28" fillId="0" borderId="0"/>
    <xf numFmtId="0" fontId="2" fillId="0" borderId="0"/>
    <xf numFmtId="0" fontId="8" fillId="0" borderId="0"/>
    <xf numFmtId="0" fontId="8" fillId="0" borderId="0"/>
    <xf numFmtId="175" fontId="28" fillId="0" borderId="0"/>
    <xf numFmtId="175" fontId="28" fillId="0" borderId="0"/>
    <xf numFmtId="0" fontId="2" fillId="0" borderId="0"/>
    <xf numFmtId="0" fontId="8" fillId="0" borderId="0"/>
    <xf numFmtId="0" fontId="8" fillId="0" borderId="0"/>
    <xf numFmtId="0" fontId="8" fillId="0" borderId="0"/>
    <xf numFmtId="0" fontId="8" fillId="0" borderId="0"/>
    <xf numFmtId="0" fontId="1" fillId="0" borderId="0"/>
    <xf numFmtId="0" fontId="2" fillId="0" borderId="0">
      <alignment wrapText="1"/>
    </xf>
    <xf numFmtId="0" fontId="28" fillId="0" borderId="0"/>
    <xf numFmtId="0" fontId="2" fillId="0" borderId="0"/>
    <xf numFmtId="0" fontId="2" fillId="0" borderId="0">
      <alignment wrapText="1"/>
    </xf>
    <xf numFmtId="0" fontId="28" fillId="0" borderId="0"/>
    <xf numFmtId="0" fontId="18" fillId="0" borderId="0">
      <alignment vertical="top"/>
    </xf>
    <xf numFmtId="0" fontId="28" fillId="0" borderId="0"/>
    <xf numFmtId="0" fontId="8" fillId="0" borderId="0"/>
    <xf numFmtId="0" fontId="8" fillId="0" borderId="0"/>
    <xf numFmtId="0" fontId="1" fillId="0" borderId="0"/>
    <xf numFmtId="0" fontId="2" fillId="0" borderId="0"/>
    <xf numFmtId="0" fontId="28" fillId="0" borderId="0"/>
    <xf numFmtId="0" fontId="2" fillId="0" borderId="0"/>
    <xf numFmtId="0" fontId="28" fillId="0" borderId="0"/>
    <xf numFmtId="0" fontId="28" fillId="0" borderId="0"/>
    <xf numFmtId="0" fontId="8" fillId="0" borderId="0"/>
    <xf numFmtId="0" fontId="8" fillId="0" borderId="0"/>
    <xf numFmtId="0" fontId="1" fillId="0" borderId="0"/>
    <xf numFmtId="0" fontId="28" fillId="0" borderId="0"/>
    <xf numFmtId="0" fontId="2" fillId="0" borderId="0"/>
    <xf numFmtId="0" fontId="28" fillId="0" borderId="0"/>
    <xf numFmtId="0" fontId="28" fillId="0" borderId="0"/>
    <xf numFmtId="0" fontId="8" fillId="0" borderId="0"/>
    <xf numFmtId="0" fontId="2" fillId="0" borderId="0"/>
    <xf numFmtId="0" fontId="1" fillId="0" borderId="0"/>
    <xf numFmtId="0" fontId="2" fillId="0" borderId="0">
      <alignment wrapText="1"/>
    </xf>
    <xf numFmtId="0" fontId="2" fillId="0" borderId="0">
      <alignment wrapText="1"/>
    </xf>
    <xf numFmtId="0" fontId="2" fillId="0" borderId="0"/>
    <xf numFmtId="0" fontId="28" fillId="0" borderId="0"/>
    <xf numFmtId="0" fontId="28" fillId="0" borderId="0"/>
    <xf numFmtId="0" fontId="2" fillId="0" borderId="0"/>
    <xf numFmtId="0" fontId="1" fillId="0" borderId="0"/>
    <xf numFmtId="0" fontId="18" fillId="0" borderId="0">
      <alignment vertical="top"/>
    </xf>
    <xf numFmtId="0" fontId="2" fillId="0" borderId="0"/>
    <xf numFmtId="0" fontId="28" fillId="0" borderId="0"/>
    <xf numFmtId="0" fontId="28" fillId="0" borderId="0"/>
    <xf numFmtId="0" fontId="18" fillId="0" borderId="0">
      <alignment vertical="top"/>
    </xf>
    <xf numFmtId="0" fontId="1" fillId="0" borderId="0"/>
    <xf numFmtId="0" fontId="28"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1" fillId="0" borderId="0"/>
    <xf numFmtId="0" fontId="2" fillId="0" borderId="0"/>
    <xf numFmtId="0" fontId="6" fillId="0" borderId="0"/>
    <xf numFmtId="0" fontId="1" fillId="0" borderId="0"/>
    <xf numFmtId="0" fontId="6" fillId="0" borderId="0"/>
    <xf numFmtId="0" fontId="2" fillId="0" borderId="0"/>
    <xf numFmtId="0" fontId="6" fillId="0" borderId="0"/>
    <xf numFmtId="0" fontId="28" fillId="0" borderId="0"/>
    <xf numFmtId="0" fontId="18" fillId="0" borderId="0">
      <alignment vertical="top"/>
    </xf>
    <xf numFmtId="0" fontId="2" fillId="0" borderId="0"/>
    <xf numFmtId="0" fontId="1" fillId="0" borderId="0"/>
    <xf numFmtId="0" fontId="2" fillId="0" borderId="0"/>
    <xf numFmtId="0" fontId="2" fillId="0" borderId="0"/>
    <xf numFmtId="0" fontId="28" fillId="0" borderId="0"/>
    <xf numFmtId="0" fontId="1" fillId="0" borderId="0"/>
    <xf numFmtId="0" fontId="1" fillId="0" borderId="0"/>
    <xf numFmtId="0" fontId="2" fillId="0" borderId="0"/>
    <xf numFmtId="0"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8" fillId="0" borderId="0"/>
    <xf numFmtId="0" fontId="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8" fillId="0" borderId="0"/>
    <xf numFmtId="0" fontId="1" fillId="0" borderId="0"/>
    <xf numFmtId="0" fontId="28" fillId="0" borderId="0"/>
    <xf numFmtId="0" fontId="28" fillId="0" borderId="0"/>
    <xf numFmtId="0" fontId="1" fillId="0" borderId="0"/>
    <xf numFmtId="0" fontId="1" fillId="0" borderId="0"/>
    <xf numFmtId="0" fontId="8" fillId="0" borderId="0"/>
    <xf numFmtId="0" fontId="1" fillId="0" borderId="0"/>
    <xf numFmtId="0" fontId="8" fillId="0" borderId="0"/>
    <xf numFmtId="175" fontId="28" fillId="0" borderId="0"/>
    <xf numFmtId="0" fontId="1" fillId="0" borderId="0"/>
    <xf numFmtId="0" fontId="1" fillId="0" borderId="0"/>
    <xf numFmtId="0" fontId="1" fillId="0" borderId="0"/>
    <xf numFmtId="0" fontId="1" fillId="0" borderId="0"/>
    <xf numFmtId="0" fontId="28" fillId="0" borderId="0"/>
    <xf numFmtId="0" fontId="2" fillId="0" borderId="0">
      <alignment vertical="top"/>
    </xf>
    <xf numFmtId="0" fontId="1" fillId="0" borderId="0"/>
    <xf numFmtId="0" fontId="2" fillId="0" borderId="0"/>
    <xf numFmtId="0" fontId="28"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8" fillId="0" borderId="0"/>
    <xf numFmtId="0" fontId="2" fillId="0" borderId="0"/>
    <xf numFmtId="0" fontId="1" fillId="0" borderId="0"/>
    <xf numFmtId="0" fontId="2" fillId="0" borderId="0"/>
    <xf numFmtId="0"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9"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2" fillId="0" borderId="0"/>
    <xf numFmtId="0" fontId="28" fillId="0" borderId="0"/>
    <xf numFmtId="0" fontId="2" fillId="0" borderId="0"/>
    <xf numFmtId="0" fontId="8"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1" fillId="0" borderId="0"/>
    <xf numFmtId="0" fontId="1" fillId="0" borderId="0"/>
    <xf numFmtId="0" fontId="2"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8" fillId="0" borderId="0"/>
    <xf numFmtId="0" fontId="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2" fillId="0" borderId="0">
      <alignment wrapText="1"/>
    </xf>
    <xf numFmtId="0" fontId="2" fillId="0" borderId="0">
      <alignment wrapText="1"/>
    </xf>
    <xf numFmtId="0" fontId="1" fillId="0" borderId="0"/>
    <xf numFmtId="0" fontId="1" fillId="0" borderId="0"/>
    <xf numFmtId="0" fontId="2" fillId="0" borderId="0"/>
    <xf numFmtId="0" fontId="1" fillId="0" borderId="0"/>
    <xf numFmtId="0" fontId="28" fillId="0" borderId="0"/>
    <xf numFmtId="0" fontId="8" fillId="0" borderId="0"/>
    <xf numFmtId="0" fontId="1" fillId="0" borderId="0"/>
    <xf numFmtId="0" fontId="2" fillId="0" borderId="0"/>
    <xf numFmtId="0" fontId="28" fillId="0" borderId="0"/>
    <xf numFmtId="0" fontId="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8" fillId="0" borderId="0"/>
    <xf numFmtId="0" fontId="2" fillId="0" borderId="0"/>
    <xf numFmtId="0" fontId="2" fillId="0" borderId="0"/>
    <xf numFmtId="0" fontId="1" fillId="0" borderId="0"/>
    <xf numFmtId="0" fontId="76" fillId="0" borderId="0"/>
    <xf numFmtId="0" fontId="1" fillId="0" borderId="0"/>
    <xf numFmtId="0" fontId="2" fillId="0" borderId="0"/>
    <xf numFmtId="0" fontId="28" fillId="0" borderId="0"/>
    <xf numFmtId="0" fontId="1" fillId="0" borderId="0"/>
    <xf numFmtId="0" fontId="2" fillId="0" borderId="0"/>
    <xf numFmtId="0" fontId="1" fillId="0" borderId="0"/>
    <xf numFmtId="0" fontId="1" fillId="0" borderId="0"/>
    <xf numFmtId="0" fontId="2" fillId="0" borderId="0"/>
    <xf numFmtId="0" fontId="28" fillId="0" borderId="0"/>
    <xf numFmtId="0" fontId="1" fillId="0" borderId="0"/>
    <xf numFmtId="0" fontId="2" fillId="0" borderId="0"/>
    <xf numFmtId="0" fontId="2" fillId="0" borderId="0"/>
    <xf numFmtId="0" fontId="1" fillId="0" borderId="0"/>
    <xf numFmtId="0" fontId="28"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18" fillId="10" borderId="14" applyNumberFormat="0" applyFont="0" applyAlignment="0" applyProtection="0"/>
    <xf numFmtId="0" fontId="18" fillId="10" borderId="14" applyNumberFormat="0" applyFont="0" applyAlignment="0" applyProtection="0"/>
    <xf numFmtId="0" fontId="18" fillId="10" borderId="14" applyNumberFormat="0" applyFont="0" applyAlignment="0" applyProtection="0"/>
    <xf numFmtId="0" fontId="18" fillId="10" borderId="14" applyNumberFormat="0" applyFont="0" applyAlignment="0" applyProtection="0"/>
    <xf numFmtId="0" fontId="18" fillId="10" borderId="14" applyNumberFormat="0" applyFont="0" applyAlignment="0" applyProtection="0"/>
    <xf numFmtId="0" fontId="18" fillId="10" borderId="14" applyNumberFormat="0" applyFont="0" applyAlignment="0" applyProtection="0"/>
    <xf numFmtId="0" fontId="18"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28" fillId="0" borderId="0"/>
    <xf numFmtId="0" fontId="8"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8"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49" fillId="10" borderId="14" applyNumberFormat="0" applyFont="0" applyAlignment="0" applyProtection="0"/>
    <xf numFmtId="0" fontId="28" fillId="10" borderId="14" applyNumberFormat="0" applyFont="0" applyAlignment="0" applyProtection="0"/>
    <xf numFmtId="0" fontId="1" fillId="45" borderId="43"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28" fillId="10" borderId="14" applyNumberFormat="0" applyFont="0" applyAlignment="0" applyProtection="0"/>
    <xf numFmtId="0" fontId="28" fillId="0" borderId="0"/>
    <xf numFmtId="0" fontId="1" fillId="45" borderId="43" applyNumberFormat="0" applyFont="0" applyAlignment="0" applyProtection="0"/>
    <xf numFmtId="0" fontId="8" fillId="45" borderId="46" applyNumberFormat="0" applyFont="0" applyAlignment="0" applyProtection="0"/>
    <xf numFmtId="0" fontId="8" fillId="45" borderId="46" applyNumberFormat="0" applyFont="0" applyAlignment="0" applyProtection="0"/>
    <xf numFmtId="0" fontId="8" fillId="45" borderId="46" applyNumberFormat="0" applyFont="0" applyAlignment="0" applyProtection="0"/>
    <xf numFmtId="0" fontId="8" fillId="45" borderId="46" applyNumberFormat="0" applyFont="0" applyAlignment="0" applyProtection="0"/>
    <xf numFmtId="0" fontId="8" fillId="45" borderId="46" applyNumberFormat="0" applyFont="0" applyAlignment="0" applyProtection="0"/>
    <xf numFmtId="0" fontId="28" fillId="0" borderId="0"/>
    <xf numFmtId="0" fontId="28" fillId="0" borderId="0"/>
    <xf numFmtId="0" fontId="24" fillId="24" borderId="16" applyNumberFormat="0" applyAlignment="0" applyProtection="0"/>
    <xf numFmtId="0" fontId="29" fillId="24" borderId="15" applyNumberFormat="0" applyAlignment="0" applyProtection="0"/>
    <xf numFmtId="0" fontId="29" fillId="24" borderId="15" applyNumberFormat="0" applyAlignment="0" applyProtection="0"/>
    <xf numFmtId="0" fontId="29" fillId="24" borderId="15" applyNumberFormat="0" applyAlignment="0" applyProtection="0"/>
    <xf numFmtId="0" fontId="29" fillId="24" borderId="15" applyNumberFormat="0" applyAlignment="0" applyProtection="0"/>
    <xf numFmtId="0" fontId="29" fillId="24" borderId="15" applyNumberFormat="0" applyAlignment="0" applyProtection="0"/>
    <xf numFmtId="0" fontId="29" fillId="24" borderId="15" applyNumberFormat="0" applyAlignment="0" applyProtection="0"/>
    <xf numFmtId="0" fontId="29" fillId="24" borderId="15" applyNumberFormat="0" applyAlignment="0" applyProtection="0"/>
    <xf numFmtId="0" fontId="24" fillId="24" borderId="16" applyNumberFormat="0" applyAlignment="0" applyProtection="0"/>
    <xf numFmtId="0" fontId="24" fillId="24" borderId="16" applyNumberFormat="0" applyAlignment="0" applyProtection="0"/>
    <xf numFmtId="0" fontId="24" fillId="24" borderId="16" applyNumberFormat="0" applyAlignment="0" applyProtection="0"/>
    <xf numFmtId="0" fontId="24" fillId="24" borderId="16" applyNumberFormat="0" applyAlignment="0" applyProtection="0"/>
    <xf numFmtId="0" fontId="24" fillId="24" borderId="16" applyNumberFormat="0" applyAlignment="0" applyProtection="0"/>
    <xf numFmtId="0" fontId="24" fillId="24" borderId="16" applyNumberFormat="0" applyAlignment="0" applyProtection="0"/>
    <xf numFmtId="0" fontId="29" fillId="24" borderId="15" applyNumberFormat="0" applyAlignment="0" applyProtection="0"/>
    <xf numFmtId="0" fontId="29" fillId="24" borderId="15" applyNumberFormat="0" applyAlignment="0" applyProtection="0"/>
    <xf numFmtId="0" fontId="29" fillId="24" borderId="15" applyNumberFormat="0" applyAlignment="0" applyProtection="0"/>
    <xf numFmtId="0" fontId="29" fillId="24" borderId="15" applyNumberFormat="0" applyAlignment="0" applyProtection="0"/>
    <xf numFmtId="0" fontId="29" fillId="24" borderId="15" applyNumberFormat="0" applyAlignment="0" applyProtection="0"/>
    <xf numFmtId="0" fontId="29" fillId="24" borderId="15" applyNumberFormat="0" applyAlignment="0" applyProtection="0"/>
    <xf numFmtId="0" fontId="29" fillId="24" borderId="15" applyNumberFormat="0" applyAlignment="0" applyProtection="0"/>
    <xf numFmtId="0" fontId="24" fillId="24" borderId="16" applyNumberFormat="0" applyAlignment="0" applyProtection="0"/>
    <xf numFmtId="0" fontId="24" fillId="24" borderId="16" applyNumberFormat="0" applyAlignment="0" applyProtection="0"/>
    <xf numFmtId="0" fontId="24" fillId="24" borderId="16" applyNumberFormat="0" applyAlignment="0" applyProtection="0"/>
    <xf numFmtId="0" fontId="24" fillId="24" borderId="16" applyNumberFormat="0" applyAlignment="0" applyProtection="0"/>
    <xf numFmtId="0" fontId="24" fillId="24" borderId="16" applyNumberFormat="0" applyAlignment="0" applyProtection="0"/>
    <xf numFmtId="0" fontId="24" fillId="24" borderId="16" applyNumberFormat="0" applyAlignment="0" applyProtection="0"/>
    <xf numFmtId="0" fontId="24" fillId="24" borderId="16" applyNumberFormat="0" applyAlignment="0" applyProtection="0"/>
    <xf numFmtId="0" fontId="29" fillId="12" borderId="15" applyNumberFormat="0" applyAlignment="0" applyProtection="0"/>
    <xf numFmtId="0" fontId="29" fillId="24" borderId="15" applyNumberFormat="0" applyAlignment="0" applyProtection="0"/>
    <xf numFmtId="0" fontId="29" fillId="24" borderId="15" applyNumberFormat="0" applyAlignment="0" applyProtection="0"/>
    <xf numFmtId="0" fontId="29" fillId="24" borderId="15" applyNumberFormat="0" applyAlignment="0" applyProtection="0"/>
    <xf numFmtId="0" fontId="29" fillId="24" borderId="15" applyNumberFormat="0" applyAlignment="0" applyProtection="0"/>
    <xf numFmtId="0" fontId="29" fillId="24" borderId="15" applyNumberFormat="0" applyAlignment="0" applyProtection="0"/>
    <xf numFmtId="0" fontId="29" fillId="24" borderId="15" applyNumberFormat="0" applyAlignment="0" applyProtection="0"/>
    <xf numFmtId="0" fontId="29" fillId="24" borderId="15" applyNumberFormat="0" applyAlignment="0" applyProtection="0"/>
    <xf numFmtId="0" fontId="29" fillId="12" borderId="15" applyNumberFormat="0" applyAlignment="0" applyProtection="0"/>
    <xf numFmtId="0" fontId="29" fillId="12" borderId="15" applyNumberFormat="0" applyAlignment="0" applyProtection="0"/>
    <xf numFmtId="0" fontId="29" fillId="12" borderId="15" applyNumberFormat="0" applyAlignment="0" applyProtection="0"/>
    <xf numFmtId="0" fontId="29" fillId="12" borderId="15" applyNumberFormat="0" applyAlignment="0" applyProtection="0"/>
    <xf numFmtId="0" fontId="29" fillId="12" borderId="15" applyNumberFormat="0" applyAlignment="0" applyProtection="0"/>
    <xf numFmtId="0" fontId="29" fillId="12" borderId="15" applyNumberFormat="0" applyAlignment="0" applyProtection="0"/>
    <xf numFmtId="0" fontId="29" fillId="12" borderId="15" applyNumberFormat="0" applyAlignment="0" applyProtection="0"/>
    <xf numFmtId="0" fontId="29" fillId="12" borderId="15" applyNumberFormat="0" applyAlignment="0" applyProtection="0"/>
    <xf numFmtId="0" fontId="29" fillId="12" borderId="15" applyNumberFormat="0" applyAlignment="0" applyProtection="0"/>
    <xf numFmtId="0" fontId="29" fillId="12" borderId="15" applyNumberFormat="0" applyAlignment="0" applyProtection="0"/>
    <xf numFmtId="0" fontId="29" fillId="12" borderId="15" applyNumberFormat="0" applyAlignment="0" applyProtection="0"/>
    <xf numFmtId="0" fontId="29" fillId="12" borderId="15" applyNumberFormat="0" applyAlignment="0" applyProtection="0"/>
    <xf numFmtId="0" fontId="66" fillId="43" borderId="40" applyNumberFormat="0" applyAlignment="0" applyProtection="0"/>
    <xf numFmtId="0" fontId="28" fillId="0" borderId="0"/>
    <xf numFmtId="9" fontId="28" fillId="0" borderId="0" applyFont="0" applyFill="0" applyBorder="0" applyAlignment="0" applyProtection="0"/>
    <xf numFmtId="9" fontId="2" fillId="0" borderId="0" applyFont="0" applyFill="0" applyBorder="0" applyAlignment="0" applyProtection="0"/>
    <xf numFmtId="0" fontId="28" fillId="0" borderId="0"/>
    <xf numFmtId="9" fontId="2" fillId="0" borderId="0" applyFont="0" applyFill="0" applyBorder="0" applyAlignment="0" applyProtection="0">
      <alignment wrapText="1"/>
    </xf>
    <xf numFmtId="0" fontId="2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8" fillId="0" borderId="0" applyFont="0" applyFill="0" applyBorder="0" applyAlignment="0" applyProtection="0">
      <alignment vertical="top"/>
    </xf>
    <xf numFmtId="9" fontId="1" fillId="0" borderId="0" applyFont="0" applyFill="0" applyBorder="0" applyAlignment="0" applyProtection="0"/>
    <xf numFmtId="9" fontId="1" fillId="0" borderId="0" applyFont="0" applyFill="0" applyBorder="0" applyAlignment="0" applyProtection="0"/>
    <xf numFmtId="0" fontId="28" fillId="0" borderId="0"/>
    <xf numFmtId="9" fontId="28" fillId="0" borderId="0" applyFont="0" applyFill="0" applyBorder="0" applyAlignment="0" applyProtection="0"/>
    <xf numFmtId="9" fontId="1" fillId="0" borderId="0" applyFont="0" applyFill="0" applyBorder="0" applyAlignment="0" applyProtection="0"/>
    <xf numFmtId="0" fontId="28" fillId="0" borderId="0"/>
    <xf numFmtId="9" fontId="1" fillId="0" borderId="0" applyFont="0" applyFill="0" applyBorder="0" applyAlignment="0" applyProtection="0"/>
    <xf numFmtId="9" fontId="1" fillId="0" borderId="0" applyFont="0" applyFill="0" applyBorder="0" applyAlignment="0" applyProtection="0"/>
    <xf numFmtId="0" fontId="28" fillId="0" borderId="0"/>
    <xf numFmtId="9" fontId="8" fillId="0" borderId="0" applyFont="0" applyFill="0" applyBorder="0" applyAlignment="0" applyProtection="0"/>
    <xf numFmtId="9" fontId="49" fillId="0" borderId="0" applyFont="0" applyFill="0" applyBorder="0" applyAlignment="0" applyProtection="0"/>
    <xf numFmtId="10" fontId="19" fillId="72" borderId="0"/>
    <xf numFmtId="10" fontId="19" fillId="72" borderId="0"/>
    <xf numFmtId="9" fontId="1" fillId="0" borderId="0" applyFont="0" applyFill="0" applyBorder="0" applyAlignment="0" applyProtection="0"/>
    <xf numFmtId="9" fontId="2" fillId="0" borderId="0" applyFont="0" applyFill="0" applyBorder="0" applyAlignment="0" applyProtection="0"/>
    <xf numFmtId="0" fontId="28" fillId="0" borderId="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28" fillId="0" borderId="0"/>
    <xf numFmtId="9" fontId="8" fillId="0" borderId="0" applyFont="0" applyFill="0" applyBorder="0" applyAlignment="0" applyProtection="0"/>
    <xf numFmtId="9" fontId="75" fillId="0" borderId="0" applyFont="0" applyFill="0" applyBorder="0" applyAlignment="0" applyProtection="0"/>
    <xf numFmtId="9" fontId="46" fillId="0" borderId="0" applyFont="0" applyFill="0" applyBorder="0" applyAlignment="0" applyProtection="0"/>
    <xf numFmtId="9" fontId="8" fillId="0" borderId="0" applyFont="0" applyFill="0" applyBorder="0" applyAlignment="0" applyProtection="0"/>
    <xf numFmtId="0" fontId="28" fillId="0" borderId="0"/>
    <xf numFmtId="9" fontId="75" fillId="0" borderId="0" applyFont="0" applyFill="0" applyBorder="0" applyAlignment="0" applyProtection="0"/>
    <xf numFmtId="0" fontId="28"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alignment wrapText="1"/>
    </xf>
    <xf numFmtId="9" fontId="2" fillId="0" borderId="0" applyFont="0" applyFill="0" applyBorder="0" applyAlignment="0" applyProtection="0"/>
    <xf numFmtId="0" fontId="28" fillId="0" borderId="0"/>
    <xf numFmtId="0" fontId="28" fillId="0" borderId="0"/>
    <xf numFmtId="176" fontId="19" fillId="0" borderId="0">
      <alignment horizontal="center"/>
    </xf>
    <xf numFmtId="0" fontId="28" fillId="0" borderId="0"/>
    <xf numFmtId="0" fontId="28" fillId="0" borderId="0"/>
    <xf numFmtId="0" fontId="7" fillId="0" borderId="2">
      <alignment horizontal="center"/>
    </xf>
    <xf numFmtId="0" fontId="7" fillId="0" borderId="2">
      <alignment horizontal="center"/>
    </xf>
    <xf numFmtId="0" fontId="28" fillId="0" borderId="0"/>
    <xf numFmtId="0" fontId="28" fillId="0" borderId="0"/>
    <xf numFmtId="0" fontId="28" fillId="0" borderId="0"/>
    <xf numFmtId="0" fontId="18" fillId="0" borderId="0">
      <alignment vertical="top"/>
    </xf>
    <xf numFmtId="0" fontId="28" fillId="0" borderId="0"/>
    <xf numFmtId="0" fontId="18" fillId="0" borderId="0">
      <alignment vertical="top"/>
    </xf>
    <xf numFmtId="0" fontId="28" fillId="0" borderId="0"/>
    <xf numFmtId="0" fontId="18" fillId="0" borderId="0">
      <alignment vertical="top"/>
    </xf>
    <xf numFmtId="0" fontId="18" fillId="0" borderId="0" applyNumberFormat="0" applyBorder="0" applyAlignment="0"/>
    <xf numFmtId="0" fontId="28" fillId="0" borderId="0"/>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0" fontId="28" fillId="0" borderId="45"/>
    <xf numFmtId="177" fontId="91" fillId="72" borderId="0" applyFill="0" applyBorder="0" applyProtection="0">
      <alignment horizontal="center"/>
      <protection hidden="1"/>
    </xf>
    <xf numFmtId="0" fontId="92" fillId="74" borderId="0"/>
    <xf numFmtId="0" fontId="93" fillId="74"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5"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94" fillId="0" borderId="0" applyNumberFormat="0" applyFill="0" applyBorder="0" applyAlignment="0" applyProtection="0"/>
    <xf numFmtId="0" fontId="30" fillId="0" borderId="0" applyNumberFormat="0" applyFill="0" applyBorder="0" applyAlignment="0" applyProtection="0"/>
    <xf numFmtId="0" fontId="58"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31" fillId="0" borderId="29" applyNumberFormat="0" applyFill="0" applyAlignment="0" applyProtection="0"/>
    <xf numFmtId="0" fontId="28" fillId="0" borderId="0"/>
    <xf numFmtId="0" fontId="31" fillId="0" borderId="29"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17" applyNumberFormat="0" applyFill="0" applyAlignment="0" applyProtection="0"/>
    <xf numFmtId="0" fontId="3" fillId="0" borderId="44"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28" fillId="0" borderId="0"/>
    <xf numFmtId="0" fontId="85" fillId="0" borderId="47"/>
    <xf numFmtId="0" fontId="85" fillId="0" borderId="47"/>
    <xf numFmtId="0" fontId="85" fillId="0" borderId="45"/>
    <xf numFmtId="0" fontId="85" fillId="0" borderId="45"/>
    <xf numFmtId="0" fontId="85" fillId="0" borderId="45"/>
    <xf numFmtId="0" fontId="85" fillId="0" borderId="45"/>
    <xf numFmtId="0" fontId="85" fillId="0" borderId="45"/>
    <xf numFmtId="0" fontId="85" fillId="0" borderId="45"/>
    <xf numFmtId="0" fontId="85" fillId="0" borderId="45"/>
    <xf numFmtId="0" fontId="85" fillId="0" borderId="45"/>
    <xf numFmtId="0" fontId="85" fillId="0" borderId="45"/>
    <xf numFmtId="0" fontId="85" fillId="0" borderId="45"/>
    <xf numFmtId="0" fontId="95" fillId="0" borderId="0">
      <alignment horizontal="center"/>
    </xf>
    <xf numFmtId="0" fontId="9" fillId="0" borderId="0" applyNumberFormat="0" applyFill="0" applyBorder="0" applyAlignment="0" applyProtection="0"/>
    <xf numFmtId="0" fontId="28" fillId="0" borderId="0"/>
    <xf numFmtId="0" fontId="58" fillId="0" borderId="0" applyNumberFormat="0" applyFill="0" applyBorder="0" applyAlignment="0" applyProtection="0"/>
    <xf numFmtId="0" fontId="59" fillId="0" borderId="36" applyNumberFormat="0" applyFill="0" applyAlignment="0" applyProtection="0"/>
    <xf numFmtId="0" fontId="60" fillId="0" borderId="37" applyNumberFormat="0" applyFill="0" applyAlignment="0" applyProtection="0"/>
    <xf numFmtId="0" fontId="61" fillId="0" borderId="38" applyNumberFormat="0" applyFill="0" applyAlignment="0" applyProtection="0"/>
    <xf numFmtId="0" fontId="61" fillId="0" borderId="0" applyNumberFormat="0" applyFill="0" applyBorder="0" applyAlignment="0" applyProtection="0"/>
    <xf numFmtId="0" fontId="62" fillId="39" borderId="0" applyNumberFormat="0" applyBorder="0" applyAlignment="0" applyProtection="0"/>
    <xf numFmtId="0" fontId="63" fillId="40" borderId="0" applyNumberFormat="0" applyBorder="0" applyAlignment="0" applyProtection="0"/>
    <xf numFmtId="0" fontId="64" fillId="41" borderId="0" applyNumberFormat="0" applyBorder="0" applyAlignment="0" applyProtection="0"/>
    <xf numFmtId="0" fontId="65" fillId="42" borderId="39" applyNumberFormat="0" applyAlignment="0" applyProtection="0"/>
    <xf numFmtId="0" fontId="66" fillId="43" borderId="40" applyNumberFormat="0" applyAlignment="0" applyProtection="0"/>
    <xf numFmtId="0" fontId="67" fillId="43" borderId="39" applyNumberFormat="0" applyAlignment="0" applyProtection="0"/>
    <xf numFmtId="0" fontId="68" fillId="0" borderId="41" applyNumberFormat="0" applyFill="0" applyAlignment="0" applyProtection="0"/>
    <xf numFmtId="0" fontId="69" fillId="44" borderId="42" applyNumberFormat="0" applyAlignment="0" applyProtection="0"/>
    <xf numFmtId="0" fontId="9" fillId="0" borderId="0" applyNumberFormat="0" applyFill="0" applyBorder="0" applyAlignment="0" applyProtection="0"/>
    <xf numFmtId="0" fontId="1" fillId="45" borderId="43" applyNumberFormat="0" applyFont="0" applyAlignment="0" applyProtection="0"/>
    <xf numFmtId="0" fontId="70" fillId="0" borderId="0" applyNumberFormat="0" applyFill="0" applyBorder="0" applyAlignment="0" applyProtection="0"/>
    <xf numFmtId="0" fontId="3" fillId="0" borderId="44" applyNumberFormat="0" applyFill="0" applyAlignment="0" applyProtection="0"/>
    <xf numFmtId="0" fontId="71"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71" fillId="53" borderId="0" applyNumberFormat="0" applyBorder="0" applyAlignment="0" applyProtection="0"/>
    <xf numFmtId="0" fontId="71"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71" fillId="57" borderId="0" applyNumberFormat="0" applyBorder="0" applyAlignment="0" applyProtection="0"/>
    <xf numFmtId="0" fontId="7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71" fillId="61" borderId="0" applyNumberFormat="0" applyBorder="0" applyAlignment="0" applyProtection="0"/>
    <xf numFmtId="0" fontId="71" fillId="62"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71" fillId="65" borderId="0" applyNumberFormat="0" applyBorder="0" applyAlignment="0" applyProtection="0"/>
    <xf numFmtId="0" fontId="71" fillId="66"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71" fillId="69" borderId="0" applyNumberFormat="0" applyBorder="0" applyAlignment="0" applyProtection="0"/>
    <xf numFmtId="0" fontId="24" fillId="24" borderId="129" applyNumberFormat="0" applyAlignment="0" applyProtection="0"/>
    <xf numFmtId="0" fontId="48" fillId="24" borderId="95" applyNumberFormat="0" applyAlignment="0" applyProtection="0"/>
    <xf numFmtId="0" fontId="73" fillId="0" borderId="72" applyBorder="0">
      <alignment horizontal="center" vertical="center" wrapText="1"/>
    </xf>
    <xf numFmtId="0" fontId="29" fillId="24" borderId="101" applyNumberFormat="0" applyAlignment="0" applyProtection="0"/>
    <xf numFmtId="0" fontId="31" fillId="0" borderId="123" applyNumberFormat="0" applyFill="0" applyAlignment="0" applyProtection="0"/>
    <xf numFmtId="0" fontId="28" fillId="10" borderId="119" applyNumberFormat="0" applyFont="0" applyAlignment="0" applyProtection="0"/>
    <xf numFmtId="0" fontId="48" fillId="12" borderId="143" applyNumberFormat="0" applyAlignment="0" applyProtection="0"/>
    <xf numFmtId="0" fontId="31" fillId="0" borderId="116" applyNumberFormat="0" applyFill="0" applyAlignment="0" applyProtection="0"/>
    <xf numFmtId="0" fontId="8" fillId="45" borderId="125" applyNumberFormat="0" applyFont="0" applyAlignment="0" applyProtection="0"/>
    <xf numFmtId="0" fontId="48" fillId="24" borderId="127" applyNumberFormat="0" applyAlignment="0" applyProtection="0"/>
    <xf numFmtId="0" fontId="25" fillId="8" borderId="118" applyNumberFormat="0" applyAlignment="0" applyProtection="0"/>
    <xf numFmtId="0" fontId="31" fillId="0" borderId="200" applyNumberFormat="0" applyFill="0" applyAlignment="0" applyProtection="0"/>
    <xf numFmtId="0" fontId="28" fillId="10" borderId="103" applyNumberFormat="0" applyFont="0" applyAlignment="0" applyProtection="0"/>
    <xf numFmtId="0" fontId="25" fillId="8" borderId="102" applyNumberFormat="0" applyAlignment="0" applyProtection="0"/>
    <xf numFmtId="0" fontId="28" fillId="10" borderId="161" applyNumberFormat="0" applyFont="0" applyAlignment="0" applyProtection="0"/>
    <xf numFmtId="0" fontId="24" fillId="24" borderId="169" applyNumberFormat="0" applyAlignment="0" applyProtection="0"/>
    <xf numFmtId="0" fontId="16" fillId="24" borderId="67" applyNumberFormat="0" applyAlignment="0" applyProtection="0"/>
    <xf numFmtId="0" fontId="31" fillId="0" borderId="185" applyNumberFormat="0" applyFill="0" applyAlignment="0" applyProtection="0"/>
    <xf numFmtId="0" fontId="48" fillId="24" borderId="75" applyNumberFormat="0" applyAlignment="0" applyProtection="0"/>
    <xf numFmtId="0" fontId="31" fillId="0" borderId="163" applyNumberFormat="0" applyFill="0" applyAlignment="0" applyProtection="0"/>
    <xf numFmtId="0" fontId="31" fillId="0" borderId="166" applyNumberFormat="0" applyFill="0" applyAlignment="0" applyProtection="0"/>
    <xf numFmtId="0" fontId="73" fillId="0" borderId="198" applyBorder="0">
      <alignment horizontal="center" vertical="center" wrapText="1"/>
    </xf>
    <xf numFmtId="0" fontId="28" fillId="0" borderId="149"/>
    <xf numFmtId="0" fontId="16" fillId="24" borderId="176" applyNumberFormat="0" applyAlignment="0" applyProtection="0"/>
    <xf numFmtId="0" fontId="25" fillId="13" borderId="118" applyNumberFormat="0" applyAlignment="0" applyProtection="0"/>
    <xf numFmtId="0" fontId="85" fillId="0" borderId="88"/>
    <xf numFmtId="0" fontId="31" fillId="0" borderId="171" applyNumberFormat="0" applyFill="0" applyAlignment="0" applyProtection="0"/>
    <xf numFmtId="0" fontId="49" fillId="10" borderId="119" applyNumberFormat="0" applyFont="0" applyAlignment="0" applyProtection="0"/>
    <xf numFmtId="0" fontId="31" fillId="0" borderId="55" applyNumberFormat="0" applyFill="0" applyAlignment="0" applyProtection="0"/>
    <xf numFmtId="0" fontId="8" fillId="10" borderId="144" applyNumberFormat="0" applyFont="0" applyAlignment="0" applyProtection="0"/>
    <xf numFmtId="0" fontId="8" fillId="10" borderId="195" applyNumberFormat="0" applyFont="0" applyAlignment="0" applyProtection="0"/>
    <xf numFmtId="0" fontId="48" fillId="12" borderId="143" applyNumberFormat="0" applyAlignment="0" applyProtection="0"/>
    <xf numFmtId="0" fontId="29" fillId="24" borderId="146" applyNumberFormat="0" applyAlignment="0" applyProtection="0"/>
    <xf numFmtId="0" fontId="31" fillId="0" borderId="148" applyNumberFormat="0" applyFill="0" applyAlignment="0" applyProtection="0"/>
    <xf numFmtId="0" fontId="24" fillId="24" borderId="145" applyNumberFormat="0" applyAlignment="0" applyProtection="0"/>
    <xf numFmtId="0" fontId="28" fillId="0" borderId="174"/>
    <xf numFmtId="0" fontId="48" fillId="24" borderId="167" applyNumberFormat="0" applyAlignment="0" applyProtection="0"/>
    <xf numFmtId="0" fontId="16" fillId="24" borderId="118" applyNumberFormat="0" applyAlignment="0" applyProtection="0"/>
    <xf numFmtId="0" fontId="31" fillId="0" borderId="142" applyNumberFormat="0" applyFill="0" applyAlignment="0" applyProtection="0"/>
    <xf numFmtId="0" fontId="29" fillId="24" borderId="117" applyNumberFormat="0" applyAlignment="0" applyProtection="0"/>
    <xf numFmtId="0" fontId="31" fillId="0" borderId="151" applyNumberFormat="0" applyFill="0" applyAlignment="0" applyProtection="0"/>
    <xf numFmtId="0" fontId="41" fillId="13" borderId="111" applyNumberFormat="0" applyAlignment="0" applyProtection="0"/>
    <xf numFmtId="0" fontId="16" fillId="24" borderId="67" applyNumberFormat="0" applyAlignment="0" applyProtection="0"/>
    <xf numFmtId="0" fontId="31" fillId="0" borderId="107" applyNumberFormat="0" applyFill="0" applyAlignment="0" applyProtection="0"/>
    <xf numFmtId="0" fontId="32" fillId="24" borderId="160" applyNumberFormat="0" applyAlignment="0" applyProtection="0"/>
    <xf numFmtId="0" fontId="73" fillId="0" borderId="198" applyBorder="0">
      <alignment horizontal="center" vertical="center" wrapText="1"/>
    </xf>
    <xf numFmtId="0" fontId="31" fillId="0" borderId="199" applyNumberFormat="0" applyFill="0" applyAlignment="0" applyProtection="0"/>
    <xf numFmtId="0" fontId="31" fillId="0" borderId="100" applyNumberFormat="0" applyFill="0" applyAlignment="0" applyProtection="0"/>
    <xf numFmtId="0" fontId="29" fillId="12" borderId="101" applyNumberFormat="0" applyAlignment="0" applyProtection="0"/>
    <xf numFmtId="0" fontId="31" fillId="0" borderId="108" applyNumberFormat="0" applyFill="0" applyAlignment="0" applyProtection="0"/>
    <xf numFmtId="0" fontId="29" fillId="12" borderId="101" applyNumberFormat="0" applyAlignment="0" applyProtection="0"/>
    <xf numFmtId="0" fontId="24" fillId="24" borderId="169" applyNumberFormat="0" applyAlignment="0" applyProtection="0"/>
    <xf numFmtId="0" fontId="31" fillId="0" borderId="79" applyNumberFormat="0" applyFill="0" applyAlignment="0" applyProtection="0"/>
    <xf numFmtId="0" fontId="49" fillId="10" borderId="85" applyNumberFormat="0" applyFont="0" applyAlignment="0" applyProtection="0"/>
    <xf numFmtId="0" fontId="85" fillId="0" borderId="53"/>
    <xf numFmtId="0" fontId="25" fillId="13" borderId="187" applyNumberFormat="0" applyAlignment="0" applyProtection="0"/>
    <xf numFmtId="0" fontId="31" fillId="0" borderId="116" applyNumberFormat="0" applyFill="0" applyAlignment="0" applyProtection="0"/>
    <xf numFmtId="0" fontId="8" fillId="10" borderId="195" applyNumberFormat="0" applyFont="0" applyAlignment="0" applyProtection="0"/>
    <xf numFmtId="0" fontId="31" fillId="0" borderId="200" applyNumberFormat="0" applyFill="0" applyAlignment="0" applyProtection="0"/>
    <xf numFmtId="0" fontId="73" fillId="0" borderId="72" applyBorder="0">
      <alignment horizontal="center" vertical="center" wrapText="1"/>
    </xf>
    <xf numFmtId="0" fontId="48" fillId="24" borderId="60" applyNumberFormat="0" applyAlignment="0" applyProtection="0"/>
    <xf numFmtId="0" fontId="18" fillId="10" borderId="177" applyNumberFormat="0" applyFont="0" applyAlignment="0" applyProtection="0"/>
    <xf numFmtId="0" fontId="29" fillId="12" borderId="117" applyNumberFormat="0" applyAlignment="0" applyProtection="0"/>
    <xf numFmtId="0" fontId="18" fillId="10" borderId="195" applyNumberFormat="0" applyFont="0" applyAlignment="0" applyProtection="0"/>
    <xf numFmtId="0" fontId="48" fillId="24" borderId="118" applyNumberFormat="0" applyAlignment="0" applyProtection="0"/>
    <xf numFmtId="0" fontId="85" fillId="0" borderId="191"/>
    <xf numFmtId="0" fontId="29" fillId="24" borderId="146" applyNumberFormat="0" applyAlignment="0" applyProtection="0"/>
    <xf numFmtId="0" fontId="16" fillId="24" borderId="194" applyNumberFormat="0" applyAlignment="0" applyProtection="0"/>
    <xf numFmtId="0" fontId="25" fillId="13" borderId="194" applyNumberFormat="0" applyAlignment="0" applyProtection="0"/>
    <xf numFmtId="0" fontId="31" fillId="0" borderId="93" applyNumberFormat="0" applyFill="0" applyAlignment="0" applyProtection="0"/>
    <xf numFmtId="0" fontId="24" fillId="24" borderId="86" applyNumberFormat="0" applyAlignment="0" applyProtection="0"/>
    <xf numFmtId="0" fontId="31" fillId="0" borderId="108" applyNumberFormat="0" applyFill="0" applyAlignment="0" applyProtection="0"/>
    <xf numFmtId="0" fontId="31" fillId="0" borderId="197" applyNumberFormat="0" applyFill="0" applyAlignment="0" applyProtection="0"/>
    <xf numFmtId="0" fontId="16" fillId="24" borderId="102" applyNumberFormat="0" applyAlignment="0" applyProtection="0"/>
    <xf numFmtId="0" fontId="48" fillId="12" borderId="102" applyNumberFormat="0" applyAlignment="0" applyProtection="0"/>
    <xf numFmtId="0" fontId="48" fillId="12" borderId="118" applyNumberFormat="0" applyAlignment="0" applyProtection="0"/>
    <xf numFmtId="0" fontId="16" fillId="24" borderId="102" applyNumberFormat="0" applyAlignment="0" applyProtection="0"/>
    <xf numFmtId="0" fontId="16" fillId="24" borderId="118" applyNumberFormat="0" applyAlignment="0" applyProtection="0"/>
    <xf numFmtId="0" fontId="49" fillId="10" borderId="112" applyNumberFormat="0" applyFont="0" applyAlignment="0" applyProtection="0"/>
    <xf numFmtId="0" fontId="31" fillId="0" borderId="132" applyNumberFormat="0" applyFill="0" applyAlignment="0" applyProtection="0"/>
    <xf numFmtId="0" fontId="49" fillId="10" borderId="119" applyNumberFormat="0" applyFont="0" applyAlignment="0" applyProtection="0"/>
    <xf numFmtId="0" fontId="28" fillId="10" borderId="103" applyNumberFormat="0" applyFont="0" applyAlignment="0" applyProtection="0"/>
    <xf numFmtId="0" fontId="31" fillId="0" borderId="108" applyNumberFormat="0" applyFill="0" applyAlignment="0" applyProtection="0"/>
    <xf numFmtId="0" fontId="73" fillId="0" borderId="141" applyBorder="0">
      <alignment horizontal="center" vertical="center" wrapText="1"/>
    </xf>
    <xf numFmtId="0" fontId="16" fillId="24" borderId="67" applyNumberFormat="0" applyAlignment="0" applyProtection="0"/>
    <xf numFmtId="0" fontId="31" fillId="0" borderId="108" applyNumberFormat="0" applyFill="0" applyAlignment="0" applyProtection="0"/>
    <xf numFmtId="0" fontId="31" fillId="0" borderId="171" applyNumberFormat="0" applyFill="0" applyAlignment="0" applyProtection="0"/>
    <xf numFmtId="0" fontId="8" fillId="45" borderId="125" applyNumberFormat="0" applyFont="0" applyAlignment="0" applyProtection="0"/>
    <xf numFmtId="0" fontId="29" fillId="24" borderId="193" applyNumberFormat="0" applyAlignment="0" applyProtection="0"/>
    <xf numFmtId="0" fontId="28" fillId="10" borderId="112" applyNumberFormat="0" applyFont="0" applyAlignment="0" applyProtection="0"/>
    <xf numFmtId="0" fontId="31" fillId="0" borderId="116" applyNumberFormat="0" applyFill="0" applyAlignment="0" applyProtection="0"/>
    <xf numFmtId="0" fontId="49" fillId="10" borderId="103" applyNumberFormat="0" applyFont="0" applyAlignment="0" applyProtection="0"/>
    <xf numFmtId="0" fontId="48" fillId="24" borderId="102" applyNumberFormat="0" applyAlignment="0" applyProtection="0"/>
    <xf numFmtId="0" fontId="8" fillId="10" borderId="103" applyNumberFormat="0" applyFont="0" applyAlignment="0" applyProtection="0"/>
    <xf numFmtId="0" fontId="31" fillId="0" borderId="108" applyNumberFormat="0" applyFill="0" applyAlignment="0" applyProtection="0"/>
    <xf numFmtId="0" fontId="25" fillId="13" borderId="194" applyNumberFormat="0" applyAlignment="0" applyProtection="0"/>
    <xf numFmtId="0" fontId="8" fillId="45" borderId="83" applyNumberFormat="0" applyFont="0" applyAlignment="0" applyProtection="0"/>
    <xf numFmtId="0" fontId="24" fillId="24" borderId="120" applyNumberFormat="0" applyAlignment="0" applyProtection="0"/>
    <xf numFmtId="0" fontId="41" fillId="13" borderId="75" applyNumberFormat="0" applyAlignment="0" applyProtection="0"/>
    <xf numFmtId="0" fontId="25" fillId="13" borderId="75" applyNumberFormat="0" applyAlignment="0" applyProtection="0"/>
    <xf numFmtId="0" fontId="32" fillId="24" borderId="75" applyNumberFormat="0" applyAlignment="0" applyProtection="0"/>
    <xf numFmtId="0" fontId="32" fillId="24" borderId="84" applyNumberFormat="0" applyAlignment="0" applyProtection="0"/>
    <xf numFmtId="0" fontId="48" fillId="24" borderId="84" applyNumberFormat="0" applyAlignment="0" applyProtection="0"/>
    <xf numFmtId="0" fontId="48" fillId="24" borderId="102" applyNumberFormat="0" applyAlignment="0" applyProtection="0"/>
    <xf numFmtId="0" fontId="85" fillId="0" borderId="124"/>
    <xf numFmtId="0" fontId="28" fillId="10" borderId="119" applyNumberFormat="0" applyFont="0" applyAlignment="0" applyProtection="0"/>
    <xf numFmtId="0" fontId="28" fillId="0" borderId="174"/>
    <xf numFmtId="0" fontId="8" fillId="10" borderId="195" applyNumberFormat="0" applyFont="0" applyAlignment="0" applyProtection="0"/>
    <xf numFmtId="0" fontId="31" fillId="0" borderId="142" applyNumberFormat="0" applyFill="0" applyAlignment="0" applyProtection="0"/>
    <xf numFmtId="0" fontId="16" fillId="24" borderId="143" applyNumberFormat="0" applyAlignment="0" applyProtection="0"/>
    <xf numFmtId="0" fontId="31" fillId="0" borderId="200" applyNumberFormat="0" applyFill="0" applyAlignment="0" applyProtection="0"/>
    <xf numFmtId="0" fontId="8" fillId="10" borderId="177" applyNumberFormat="0" applyFont="0" applyAlignment="0" applyProtection="0"/>
    <xf numFmtId="0" fontId="31" fillId="0" borderId="148" applyNumberFormat="0" applyFill="0" applyAlignment="0" applyProtection="0"/>
    <xf numFmtId="0" fontId="8" fillId="10" borderId="144" applyNumberFormat="0" applyFont="0" applyAlignment="0" applyProtection="0"/>
    <xf numFmtId="0" fontId="31" fillId="0" borderId="142" applyNumberFormat="0" applyFill="0" applyAlignment="0" applyProtection="0"/>
    <xf numFmtId="0" fontId="31" fillId="0" borderId="184" applyNumberFormat="0" applyFill="0" applyAlignment="0" applyProtection="0"/>
    <xf numFmtId="0" fontId="48" fillId="24" borderId="118" applyNumberFormat="0" applyAlignment="0" applyProtection="0"/>
    <xf numFmtId="0" fontId="8" fillId="10" borderId="119" applyNumberFormat="0" applyFont="0" applyAlignment="0" applyProtection="0"/>
    <xf numFmtId="0" fontId="18" fillId="10" borderId="135" applyNumberFormat="0" applyFont="0" applyAlignment="0" applyProtection="0"/>
    <xf numFmtId="0" fontId="41" fillId="13" borderId="102" applyNumberFormat="0" applyAlignment="0" applyProtection="0"/>
    <xf numFmtId="0" fontId="29" fillId="24" borderId="101" applyNumberFormat="0" applyAlignment="0" applyProtection="0"/>
    <xf numFmtId="0" fontId="48" fillId="12" borderId="102" applyNumberFormat="0" applyAlignment="0" applyProtection="0"/>
    <xf numFmtId="0" fontId="32" fillId="24" borderId="111" applyNumberFormat="0" applyAlignment="0" applyProtection="0"/>
    <xf numFmtId="0" fontId="85" fillId="73" borderId="124"/>
    <xf numFmtId="0" fontId="16" fillId="24" borderId="118" applyNumberFormat="0" applyAlignment="0" applyProtection="0"/>
    <xf numFmtId="0" fontId="31" fillId="0" borderId="108" applyNumberFormat="0" applyFill="0" applyAlignment="0" applyProtection="0"/>
    <xf numFmtId="0" fontId="24" fillId="24" borderId="104" applyNumberFormat="0" applyAlignment="0" applyProtection="0"/>
    <xf numFmtId="0" fontId="8" fillId="10" borderId="103" applyNumberFormat="0" applyFont="0" applyAlignment="0" applyProtection="0"/>
    <xf numFmtId="0" fontId="16" fillId="24" borderId="194" applyNumberFormat="0" applyAlignment="0" applyProtection="0"/>
    <xf numFmtId="0" fontId="49" fillId="10" borderId="195" applyNumberFormat="0" applyFont="0" applyAlignment="0" applyProtection="0"/>
    <xf numFmtId="0" fontId="48" fillId="12" borderId="143" applyNumberFormat="0" applyAlignment="0" applyProtection="0"/>
    <xf numFmtId="0" fontId="32" fillId="24" borderId="67" applyNumberFormat="0" applyAlignment="0" applyProtection="0"/>
    <xf numFmtId="0" fontId="49" fillId="10" borderId="103" applyNumberFormat="0" applyFont="0" applyAlignment="0" applyProtection="0"/>
    <xf numFmtId="0" fontId="25" fillId="13" borderId="102" applyNumberFormat="0" applyAlignment="0" applyProtection="0"/>
    <xf numFmtId="0" fontId="48" fillId="24" borderId="111" applyNumberFormat="0" applyAlignment="0" applyProtection="0"/>
    <xf numFmtId="0" fontId="28" fillId="10" borderId="168" applyNumberFormat="0" applyFont="0" applyAlignment="0" applyProtection="0"/>
    <xf numFmtId="0" fontId="31" fillId="0" borderId="184" applyNumberFormat="0" applyFill="0" applyAlignment="0" applyProtection="0"/>
    <xf numFmtId="0" fontId="31" fillId="0" borderId="148" applyNumberFormat="0" applyFill="0" applyAlignment="0" applyProtection="0"/>
    <xf numFmtId="0" fontId="28" fillId="10" borderId="195" applyNumberFormat="0" applyFont="0" applyAlignment="0" applyProtection="0"/>
    <xf numFmtId="0" fontId="8" fillId="10" borderId="144" applyNumberFormat="0" applyFont="0" applyAlignment="0" applyProtection="0"/>
    <xf numFmtId="0" fontId="41" fillId="13" borderId="143" applyNumberFormat="0" applyAlignment="0" applyProtection="0"/>
    <xf numFmtId="0" fontId="41" fillId="13" borderId="167" applyNumberFormat="0" applyAlignment="0" applyProtection="0"/>
    <xf numFmtId="0" fontId="31" fillId="0" borderId="200" applyNumberFormat="0" applyFill="0" applyAlignment="0" applyProtection="0"/>
    <xf numFmtId="0" fontId="31" fillId="0" borderId="192" applyNumberFormat="0" applyFill="0" applyAlignment="0" applyProtection="0"/>
    <xf numFmtId="0" fontId="31" fillId="0" borderId="116" applyNumberFormat="0" applyFill="0" applyAlignment="0" applyProtection="0"/>
    <xf numFmtId="0" fontId="8" fillId="10" borderId="103" applyNumberFormat="0" applyFont="0" applyAlignment="0" applyProtection="0"/>
    <xf numFmtId="0" fontId="29" fillId="12" borderId="101" applyNumberFormat="0" applyAlignment="0" applyProtection="0"/>
    <xf numFmtId="0" fontId="28" fillId="0" borderId="99"/>
    <xf numFmtId="0" fontId="31" fillId="0" borderId="200" applyNumberFormat="0" applyFill="0" applyAlignment="0" applyProtection="0"/>
    <xf numFmtId="0" fontId="25" fillId="8" borderId="143" applyNumberFormat="0" applyAlignment="0" applyProtection="0"/>
    <xf numFmtId="0" fontId="29" fillId="24" borderId="78" applyNumberFormat="0" applyAlignment="0" applyProtection="0"/>
    <xf numFmtId="0" fontId="28" fillId="0" borderId="82"/>
    <xf numFmtId="0" fontId="85" fillId="73" borderId="82"/>
    <xf numFmtId="0" fontId="24" fillId="24" borderId="77" applyNumberFormat="0" applyAlignment="0" applyProtection="0"/>
    <xf numFmtId="0" fontId="8" fillId="45" borderId="83" applyNumberFormat="0" applyFont="0" applyAlignment="0" applyProtection="0"/>
    <xf numFmtId="0" fontId="85" fillId="0" borderId="82"/>
    <xf numFmtId="0" fontId="25" fillId="8" borderId="75" applyNumberFormat="0" applyAlignment="0" applyProtection="0"/>
    <xf numFmtId="0" fontId="73" fillId="0" borderId="72" applyBorder="0">
      <alignment horizontal="center" vertical="center" wrapText="1"/>
    </xf>
    <xf numFmtId="0" fontId="31" fillId="0" borderId="80" applyNumberFormat="0" applyFill="0" applyAlignment="0" applyProtection="0"/>
    <xf numFmtId="0" fontId="73" fillId="0" borderId="72" applyBorder="0">
      <alignment horizontal="center" vertical="center" wrapText="1"/>
    </xf>
    <xf numFmtId="0" fontId="31" fillId="0" borderId="74" applyNumberFormat="0" applyFill="0" applyAlignment="0" applyProtection="0"/>
    <xf numFmtId="0" fontId="29" fillId="24" borderId="78" applyNumberFormat="0" applyAlignment="0" applyProtection="0"/>
    <xf numFmtId="0" fontId="18" fillId="10" borderId="76" applyNumberFormat="0" applyFont="0" applyAlignment="0" applyProtection="0"/>
    <xf numFmtId="0" fontId="41" fillId="13" borderId="75" applyNumberFormat="0" applyAlignment="0" applyProtection="0"/>
    <xf numFmtId="0" fontId="73" fillId="0" borderId="81" applyBorder="0">
      <alignment horizontal="center" vertical="center" wrapText="1"/>
    </xf>
    <xf numFmtId="0" fontId="31" fillId="0" borderId="80" applyNumberFormat="0" applyFill="0" applyAlignment="0" applyProtection="0"/>
    <xf numFmtId="0" fontId="8" fillId="10" borderId="76" applyNumberFormat="0" applyFont="0" applyAlignment="0" applyProtection="0"/>
    <xf numFmtId="0" fontId="25" fillId="8" borderId="75" applyNumberFormat="0" applyAlignment="0" applyProtection="0"/>
    <xf numFmtId="0" fontId="48" fillId="12" borderId="75" applyNumberFormat="0" applyAlignment="0" applyProtection="0"/>
    <xf numFmtId="0" fontId="48" fillId="12" borderId="75" applyNumberFormat="0" applyAlignment="0" applyProtection="0"/>
    <xf numFmtId="0" fontId="31" fillId="0" borderId="80" applyNumberFormat="0" applyFill="0" applyAlignment="0" applyProtection="0"/>
    <xf numFmtId="0" fontId="28" fillId="10" borderId="76" applyNumberFormat="0" applyFont="0" applyAlignment="0" applyProtection="0"/>
    <xf numFmtId="0" fontId="8" fillId="10" borderId="177" applyNumberFormat="0" applyFont="0" applyAlignment="0" applyProtection="0"/>
    <xf numFmtId="0" fontId="28" fillId="10" borderId="85" applyNumberFormat="0" applyFont="0" applyAlignment="0" applyProtection="0"/>
    <xf numFmtId="0" fontId="85" fillId="0" borderId="99"/>
    <xf numFmtId="0" fontId="31" fillId="0" borderId="116" applyNumberFormat="0" applyFill="0" applyAlignment="0" applyProtection="0"/>
    <xf numFmtId="0" fontId="41" fillId="13" borderId="167" applyNumberFormat="0" applyAlignment="0" applyProtection="0"/>
    <xf numFmtId="0" fontId="25" fillId="8" borderId="167" applyNumberFormat="0" applyAlignment="0" applyProtection="0"/>
    <xf numFmtId="0" fontId="31" fillId="0" borderId="148" applyNumberFormat="0" applyFill="0" applyAlignment="0" applyProtection="0"/>
    <xf numFmtId="0" fontId="25" fillId="13" borderId="153" applyNumberFormat="0" applyAlignment="0" applyProtection="0"/>
    <xf numFmtId="0" fontId="28" fillId="10" borderId="144" applyNumberFormat="0" applyFont="0" applyAlignment="0" applyProtection="0"/>
    <xf numFmtId="0" fontId="18" fillId="10" borderId="161" applyNumberFormat="0" applyFont="0" applyAlignment="0" applyProtection="0"/>
    <xf numFmtId="0" fontId="29" fillId="12" borderId="146" applyNumberFormat="0" applyAlignment="0" applyProtection="0"/>
    <xf numFmtId="0" fontId="85" fillId="0" borderId="99"/>
    <xf numFmtId="0" fontId="48" fillId="12" borderId="102" applyNumberFormat="0" applyAlignment="0" applyProtection="0"/>
    <xf numFmtId="0" fontId="29" fillId="24" borderId="101" applyNumberFormat="0" applyAlignment="0" applyProtection="0"/>
    <xf numFmtId="0" fontId="31" fillId="0" borderId="151" applyNumberFormat="0" applyFill="0" applyAlignment="0" applyProtection="0"/>
    <xf numFmtId="0" fontId="73" fillId="0" borderId="173" applyBorder="0">
      <alignment horizontal="center" vertical="center" wrapText="1"/>
    </xf>
    <xf numFmtId="0" fontId="31" fillId="0" borderId="172" applyNumberFormat="0" applyFill="0" applyAlignment="0" applyProtection="0"/>
    <xf numFmtId="0" fontId="49" fillId="10" borderId="195" applyNumberFormat="0" applyFont="0" applyAlignment="0" applyProtection="0"/>
    <xf numFmtId="0" fontId="29" fillId="24" borderId="193" applyNumberFormat="0" applyAlignment="0" applyProtection="0"/>
    <xf numFmtId="0" fontId="31" fillId="0" borderId="142" applyNumberFormat="0" applyFill="0" applyAlignment="0" applyProtection="0"/>
    <xf numFmtId="0" fontId="18" fillId="10" borderId="144" applyNumberFormat="0" applyFont="0" applyAlignment="0" applyProtection="0"/>
    <xf numFmtId="0" fontId="31" fillId="0" borderId="123" applyNumberFormat="0" applyFill="0" applyAlignment="0" applyProtection="0"/>
    <xf numFmtId="0" fontId="31" fillId="0" borderId="123" applyNumberFormat="0" applyFill="0" applyAlignment="0" applyProtection="0"/>
    <xf numFmtId="0" fontId="31" fillId="0" borderId="121" applyNumberFormat="0" applyFill="0" applyAlignment="0" applyProtection="0"/>
    <xf numFmtId="0" fontId="32" fillId="24" borderId="203" applyNumberFormat="0" applyAlignment="0" applyProtection="0"/>
    <xf numFmtId="0" fontId="73" fillId="0" borderId="173" applyBorder="0">
      <alignment horizontal="center" vertical="center" wrapText="1"/>
    </xf>
    <xf numFmtId="0" fontId="16" fillId="24" borderId="160" applyNumberFormat="0" applyAlignment="0" applyProtection="0"/>
    <xf numFmtId="0" fontId="49" fillId="10" borderId="119" applyNumberFormat="0" applyFont="0" applyAlignment="0" applyProtection="0"/>
    <xf numFmtId="0" fontId="25" fillId="13" borderId="118" applyNumberFormat="0" applyAlignment="0" applyProtection="0"/>
    <xf numFmtId="0" fontId="8" fillId="10" borderId="119" applyNumberFormat="0" applyFont="0" applyAlignment="0" applyProtection="0"/>
    <xf numFmtId="0" fontId="48" fillId="12" borderId="167" applyNumberFormat="0" applyAlignment="0" applyProtection="0"/>
    <xf numFmtId="0" fontId="28" fillId="0" borderId="180"/>
    <xf numFmtId="0" fontId="48" fillId="12" borderId="194" applyNumberFormat="0" applyAlignment="0" applyProtection="0"/>
    <xf numFmtId="0" fontId="48" fillId="12" borderId="118" applyNumberFormat="0" applyAlignment="0" applyProtection="0"/>
    <xf numFmtId="0" fontId="29" fillId="24" borderId="117" applyNumberFormat="0" applyAlignment="0" applyProtection="0"/>
    <xf numFmtId="0" fontId="28" fillId="10" borderId="144" applyNumberFormat="0" applyFont="0" applyAlignment="0" applyProtection="0"/>
    <xf numFmtId="0" fontId="8" fillId="10" borderId="177" applyNumberFormat="0" applyFont="0" applyAlignment="0" applyProtection="0"/>
    <xf numFmtId="0" fontId="28" fillId="10" borderId="85" applyNumberFormat="0" applyFont="0" applyAlignment="0" applyProtection="0"/>
    <xf numFmtId="0" fontId="8" fillId="10" borderId="168" applyNumberFormat="0" applyFont="0" applyAlignment="0" applyProtection="0"/>
    <xf numFmtId="0" fontId="85" fillId="0" borderId="88"/>
    <xf numFmtId="0" fontId="18" fillId="10" borderId="96" applyNumberFormat="0" applyFont="0" applyAlignment="0" applyProtection="0"/>
    <xf numFmtId="0" fontId="31" fillId="0" borderId="200" applyNumberFormat="0" applyFill="0" applyAlignment="0" applyProtection="0"/>
    <xf numFmtId="0" fontId="28" fillId="0" borderId="53"/>
    <xf numFmtId="0" fontId="28" fillId="0" borderId="53"/>
    <xf numFmtId="0" fontId="8" fillId="45" borderId="59" applyNumberFormat="0" applyFont="0" applyAlignment="0" applyProtection="0"/>
    <xf numFmtId="0" fontId="49" fillId="10" borderId="50" applyNumberFormat="0" applyFont="0" applyAlignment="0" applyProtection="0"/>
    <xf numFmtId="0" fontId="29" fillId="24" borderId="56" applyNumberFormat="0" applyAlignment="0" applyProtection="0"/>
    <xf numFmtId="0" fontId="29" fillId="24" borderId="56" applyNumberFormat="0" applyAlignment="0" applyProtection="0"/>
    <xf numFmtId="0" fontId="31" fillId="0" borderId="55" applyNumberFormat="0" applyFill="0" applyAlignment="0" applyProtection="0"/>
    <xf numFmtId="0" fontId="8" fillId="10" borderId="50" applyNumberFormat="0" applyFont="0" applyAlignment="0" applyProtection="0"/>
    <xf numFmtId="0" fontId="8" fillId="10" borderId="50" applyNumberFormat="0" applyFont="0" applyAlignment="0" applyProtection="0"/>
    <xf numFmtId="0" fontId="25" fillId="13" borderId="118" applyNumberFormat="0" applyAlignment="0" applyProtection="0"/>
    <xf numFmtId="0" fontId="31" fillId="0" borderId="52" applyNumberFormat="0" applyFill="0" applyAlignment="0" applyProtection="0"/>
    <xf numFmtId="0" fontId="31" fillId="0" borderId="52" applyNumberFormat="0" applyFill="0" applyAlignment="0" applyProtection="0"/>
    <xf numFmtId="0" fontId="85" fillId="0" borderId="88"/>
    <xf numFmtId="0" fontId="28" fillId="10" borderId="195" applyNumberFormat="0" applyFont="0" applyAlignment="0" applyProtection="0"/>
    <xf numFmtId="0" fontId="28" fillId="10" borderId="195" applyNumberFormat="0" applyFont="0" applyAlignment="0" applyProtection="0"/>
    <xf numFmtId="0" fontId="18" fillId="10" borderId="144" applyNumberFormat="0" applyFont="0" applyAlignment="0" applyProtection="0"/>
    <xf numFmtId="0" fontId="31" fillId="0" borderId="200" applyNumberFormat="0" applyFill="0" applyAlignment="0" applyProtection="0"/>
    <xf numFmtId="0" fontId="16" fillId="24" borderId="95" applyNumberFormat="0" applyAlignment="0" applyProtection="0"/>
    <xf numFmtId="0" fontId="73" fillId="0" borderId="89" applyBorder="0">
      <alignment horizontal="center" vertical="center" wrapText="1"/>
    </xf>
    <xf numFmtId="0" fontId="49" fillId="10" borderId="144" applyNumberFormat="0" applyFont="0" applyAlignment="0" applyProtection="0"/>
    <xf numFmtId="0" fontId="31" fillId="0" borderId="148" applyNumberFormat="0" applyFill="0" applyAlignment="0" applyProtection="0"/>
    <xf numFmtId="0" fontId="31" fillId="0" borderId="166" applyNumberFormat="0" applyFill="0" applyAlignment="0" applyProtection="0"/>
    <xf numFmtId="0" fontId="85" fillId="0" borderId="180"/>
    <xf numFmtId="0" fontId="31" fillId="0" borderId="90" applyNumberFormat="0" applyFill="0" applyAlignment="0" applyProtection="0"/>
    <xf numFmtId="0" fontId="31" fillId="0" borderId="90" applyNumberFormat="0" applyFill="0" applyAlignment="0" applyProtection="0"/>
    <xf numFmtId="0" fontId="29" fillId="24" borderId="91" applyNumberFormat="0" applyAlignment="0" applyProtection="0"/>
    <xf numFmtId="0" fontId="73" fillId="0" borderId="109" applyBorder="0">
      <alignment horizontal="center" vertical="center" wrapText="1"/>
    </xf>
    <xf numFmtId="0" fontId="16" fillId="24" borderId="194" applyNumberFormat="0" applyAlignment="0" applyProtection="0"/>
    <xf numFmtId="0" fontId="29" fillId="12" borderId="193" applyNumberFormat="0" applyAlignment="0" applyProtection="0"/>
    <xf numFmtId="0" fontId="48" fillId="24" borderId="75" applyNumberFormat="0" applyAlignment="0" applyProtection="0"/>
    <xf numFmtId="0" fontId="28" fillId="10" borderId="103" applyNumberFormat="0" applyFont="0" applyAlignment="0" applyProtection="0"/>
    <xf numFmtId="0" fontId="31" fillId="0" borderId="172" applyNumberFormat="0" applyFill="0" applyAlignment="0" applyProtection="0"/>
    <xf numFmtId="0" fontId="49" fillId="10" borderId="128" applyNumberFormat="0" applyFont="0" applyAlignment="0" applyProtection="0"/>
    <xf numFmtId="0" fontId="16" fillId="24" borderId="143" applyNumberFormat="0" applyAlignment="0" applyProtection="0"/>
    <xf numFmtId="0" fontId="48" fillId="12" borderId="167" applyNumberFormat="0" applyAlignment="0" applyProtection="0"/>
    <xf numFmtId="0" fontId="31" fillId="0" borderId="185" applyNumberFormat="0" applyFill="0" applyAlignment="0" applyProtection="0"/>
    <xf numFmtId="0" fontId="28" fillId="10" borderId="144" applyNumberFormat="0" applyFont="0" applyAlignment="0" applyProtection="0"/>
    <xf numFmtId="0" fontId="41" fillId="13" borderId="194" applyNumberFormat="0" applyAlignment="0" applyProtection="0"/>
    <xf numFmtId="0" fontId="24" fillId="24" borderId="162" applyNumberFormat="0" applyAlignment="0" applyProtection="0"/>
    <xf numFmtId="0" fontId="24" fillId="24" borderId="113" applyNumberFormat="0" applyAlignment="0" applyProtection="0"/>
    <xf numFmtId="0" fontId="29" fillId="24" borderId="193" applyNumberFormat="0" applyAlignment="0" applyProtection="0"/>
    <xf numFmtId="0" fontId="28" fillId="10" borderId="144" applyNumberFormat="0" applyFont="0" applyAlignment="0" applyProtection="0"/>
    <xf numFmtId="0" fontId="73" fillId="0" borderId="48" applyBorder="0">
      <alignment horizontal="center" vertical="center" wrapText="1"/>
    </xf>
    <xf numFmtId="0" fontId="73" fillId="0" borderId="48" applyBorder="0">
      <alignment horizontal="center" vertical="center" wrapText="1"/>
    </xf>
    <xf numFmtId="0" fontId="24" fillId="24" borderId="178" applyNumberFormat="0" applyAlignment="0" applyProtection="0"/>
    <xf numFmtId="0" fontId="85" fillId="0" borderId="149"/>
    <xf numFmtId="0" fontId="41" fillId="13" borderId="194" applyNumberFormat="0" applyAlignment="0" applyProtection="0"/>
    <xf numFmtId="0" fontId="31" fillId="0" borderId="171" applyNumberFormat="0" applyFill="0" applyAlignment="0" applyProtection="0"/>
    <xf numFmtId="0" fontId="29" fillId="24" borderId="91" applyNumberFormat="0" applyAlignment="0" applyProtection="0"/>
    <xf numFmtId="0" fontId="28" fillId="10" borderId="85" applyNumberFormat="0" applyFont="0" applyAlignment="0" applyProtection="0"/>
    <xf numFmtId="0" fontId="31" fillId="0" borderId="121" applyNumberFormat="0" applyFill="0" applyAlignment="0" applyProtection="0"/>
    <xf numFmtId="0" fontId="25" fillId="13" borderId="67" applyNumberFormat="0" applyAlignment="0" applyProtection="0"/>
    <xf numFmtId="0" fontId="24" fillId="24" borderId="145" applyNumberFormat="0" applyAlignment="0" applyProtection="0"/>
    <xf numFmtId="0" fontId="25" fillId="13" borderId="102" applyNumberFormat="0" applyAlignment="0" applyProtection="0"/>
    <xf numFmtId="0" fontId="31" fillId="0" borderId="185" applyNumberFormat="0" applyFill="0" applyAlignment="0" applyProtection="0"/>
    <xf numFmtId="0" fontId="16" fillId="24" borderId="118" applyNumberFormat="0" applyAlignment="0" applyProtection="0"/>
    <xf numFmtId="0" fontId="31" fillId="0" borderId="192" applyNumberFormat="0" applyFill="0" applyAlignment="0" applyProtection="0"/>
    <xf numFmtId="0" fontId="73" fillId="0" borderId="109" applyBorder="0">
      <alignment horizontal="center" vertical="center" wrapText="1"/>
    </xf>
    <xf numFmtId="0" fontId="24" fillId="24" borderId="145" applyNumberFormat="0" applyAlignment="0" applyProtection="0"/>
    <xf numFmtId="0" fontId="48" fillId="24" borderId="102" applyNumberFormat="0" applyAlignment="0" applyProtection="0"/>
    <xf numFmtId="0" fontId="29" fillId="12" borderId="101" applyNumberFormat="0" applyAlignment="0" applyProtection="0"/>
    <xf numFmtId="0" fontId="31" fillId="0" borderId="179" applyNumberFormat="0" applyFill="0" applyAlignment="0" applyProtection="0"/>
    <xf numFmtId="0" fontId="31" fillId="0" borderId="147" applyNumberFormat="0" applyFill="0" applyAlignment="0" applyProtection="0"/>
    <xf numFmtId="0" fontId="28" fillId="10" borderId="168" applyNumberFormat="0" applyFont="0" applyAlignment="0" applyProtection="0"/>
    <xf numFmtId="0" fontId="25" fillId="8" borderId="102" applyNumberFormat="0" applyAlignment="0" applyProtection="0"/>
    <xf numFmtId="0" fontId="29" fillId="24" borderId="133" applyNumberFormat="0" applyAlignment="0" applyProtection="0"/>
    <xf numFmtId="0" fontId="16" fillId="24" borderId="167" applyNumberFormat="0" applyAlignment="0" applyProtection="0"/>
    <xf numFmtId="0" fontId="31" fillId="0" borderId="108" applyNumberFormat="0" applyFill="0" applyAlignment="0" applyProtection="0"/>
    <xf numFmtId="0" fontId="29" fillId="24" borderId="170" applyNumberFormat="0" applyAlignment="0" applyProtection="0"/>
    <xf numFmtId="0" fontId="41" fillId="13" borderId="118" applyNumberFormat="0" applyAlignment="0" applyProtection="0"/>
    <xf numFmtId="0" fontId="8" fillId="10" borderId="177" applyNumberFormat="0" applyFont="0" applyAlignment="0" applyProtection="0"/>
    <xf numFmtId="0" fontId="28" fillId="10" borderId="177" applyNumberFormat="0" applyFont="0" applyAlignment="0" applyProtection="0"/>
    <xf numFmtId="0" fontId="8" fillId="10" borderId="195" applyNumberFormat="0" applyFont="0" applyAlignment="0" applyProtection="0"/>
    <xf numFmtId="0" fontId="48" fillId="12" borderId="118" applyNumberFormat="0" applyAlignment="0" applyProtection="0"/>
    <xf numFmtId="0" fontId="41" fillId="13" borderId="102" applyNumberFormat="0" applyAlignment="0" applyProtection="0"/>
    <xf numFmtId="0" fontId="31" fillId="0" borderId="185" applyNumberFormat="0" applyFill="0" applyAlignment="0" applyProtection="0"/>
    <xf numFmtId="0" fontId="8" fillId="10" borderId="85" applyNumberFormat="0" applyFont="0" applyAlignment="0" applyProtection="0"/>
    <xf numFmtId="0" fontId="31" fillId="0" borderId="142" applyNumberFormat="0" applyFill="0" applyAlignment="0" applyProtection="0"/>
    <xf numFmtId="0" fontId="24" fillId="24" borderId="77" applyNumberFormat="0" applyAlignment="0" applyProtection="0"/>
    <xf numFmtId="0" fontId="31" fillId="0" borderId="105" applyNumberFormat="0" applyFill="0" applyAlignment="0" applyProtection="0"/>
    <xf numFmtId="0" fontId="41" fillId="13" borderId="111" applyNumberFormat="0" applyAlignment="0" applyProtection="0"/>
    <xf numFmtId="0" fontId="28" fillId="10" borderId="85" applyNumberFormat="0" applyFont="0" applyAlignment="0" applyProtection="0"/>
    <xf numFmtId="0" fontId="28" fillId="0" borderId="99"/>
    <xf numFmtId="0" fontId="31" fillId="0" borderId="192" applyNumberFormat="0" applyFill="0" applyAlignment="0" applyProtection="0"/>
    <xf numFmtId="0" fontId="28" fillId="0" borderId="191"/>
    <xf numFmtId="0" fontId="18" fillId="10" borderId="168" applyNumberFormat="0" applyFont="0" applyAlignment="0" applyProtection="0"/>
    <xf numFmtId="0" fontId="73" fillId="0" borderId="164" applyBorder="0">
      <alignment horizontal="center" vertical="center" wrapText="1"/>
    </xf>
    <xf numFmtId="0" fontId="16" fillId="24" borderId="167" applyNumberFormat="0" applyAlignment="0" applyProtection="0"/>
    <xf numFmtId="0" fontId="31" fillId="0" borderId="166" applyNumberFormat="0" applyFill="0" applyAlignment="0" applyProtection="0"/>
    <xf numFmtId="0" fontId="48" fillId="12" borderId="194" applyNumberFormat="0" applyAlignment="0" applyProtection="0"/>
    <xf numFmtId="0" fontId="29" fillId="24" borderId="193" applyNumberFormat="0" applyAlignment="0" applyProtection="0"/>
    <xf numFmtId="0" fontId="49" fillId="10" borderId="76" applyNumberFormat="0" applyFont="0" applyAlignment="0" applyProtection="0"/>
    <xf numFmtId="0" fontId="29" fillId="24" borderId="117" applyNumberFormat="0" applyAlignment="0" applyProtection="0"/>
    <xf numFmtId="0" fontId="25" fillId="8" borderId="194" applyNumberFormat="0" applyAlignment="0" applyProtection="0"/>
    <xf numFmtId="0" fontId="85" fillId="73" borderId="124"/>
    <xf numFmtId="0" fontId="28" fillId="0" borderId="82"/>
    <xf numFmtId="0" fontId="24" fillId="24" borderId="120" applyNumberFormat="0" applyAlignment="0" applyProtection="0"/>
    <xf numFmtId="0" fontId="31" fillId="0" borderId="79" applyNumberFormat="0" applyFill="0" applyAlignment="0" applyProtection="0"/>
    <xf numFmtId="0" fontId="28" fillId="0" borderId="149"/>
    <xf numFmtId="0" fontId="85" fillId="0" borderId="82"/>
    <xf numFmtId="0" fontId="85" fillId="0" borderId="82"/>
    <xf numFmtId="0" fontId="48" fillId="12" borderId="75" applyNumberFormat="0" applyAlignment="0" applyProtection="0"/>
    <xf numFmtId="0" fontId="29" fillId="12" borderId="78" applyNumberFormat="0" applyAlignment="0" applyProtection="0"/>
    <xf numFmtId="0" fontId="31" fillId="0" borderId="80" applyNumberFormat="0" applyFill="0" applyAlignment="0" applyProtection="0"/>
    <xf numFmtId="0" fontId="31" fillId="0" borderId="166" applyNumberFormat="0" applyFill="0" applyAlignment="0" applyProtection="0"/>
    <xf numFmtId="0" fontId="16" fillId="24" borderId="143" applyNumberFormat="0" applyAlignment="0" applyProtection="0"/>
    <xf numFmtId="0" fontId="73" fillId="0" borderId="81" applyBorder="0">
      <alignment horizontal="center" vertical="center" wrapText="1"/>
    </xf>
    <xf numFmtId="0" fontId="29" fillId="24" borderId="78" applyNumberFormat="0" applyAlignment="0" applyProtection="0"/>
    <xf numFmtId="0" fontId="29" fillId="24" borderId="78" applyNumberFormat="0" applyAlignment="0" applyProtection="0"/>
    <xf numFmtId="0" fontId="31" fillId="0" borderId="74" applyNumberFormat="0" applyFill="0" applyAlignment="0" applyProtection="0"/>
    <xf numFmtId="0" fontId="31" fillId="0" borderId="74" applyNumberFormat="0" applyFill="0" applyAlignment="0" applyProtection="0"/>
    <xf numFmtId="0" fontId="48" fillId="24" borderId="75" applyNumberFormat="0" applyAlignment="0" applyProtection="0"/>
    <xf numFmtId="0" fontId="48" fillId="12" borderId="75" applyNumberFormat="0" applyAlignment="0" applyProtection="0"/>
    <xf numFmtId="0" fontId="48" fillId="12" borderId="75" applyNumberFormat="0" applyAlignment="0" applyProtection="0"/>
    <xf numFmtId="0" fontId="25" fillId="8" borderId="75" applyNumberFormat="0" applyAlignment="0" applyProtection="0"/>
    <xf numFmtId="0" fontId="8" fillId="10" borderId="76" applyNumberFormat="0" applyFont="0" applyAlignment="0" applyProtection="0"/>
    <xf numFmtId="0" fontId="8" fillId="10" borderId="76" applyNumberFormat="0" applyFont="0" applyAlignment="0" applyProtection="0"/>
    <xf numFmtId="0" fontId="24" fillId="24" borderId="77" applyNumberFormat="0" applyAlignment="0" applyProtection="0"/>
    <xf numFmtId="0" fontId="31" fillId="0" borderId="79" applyNumberFormat="0" applyFill="0" applyAlignment="0" applyProtection="0"/>
    <xf numFmtId="0" fontId="31" fillId="0" borderId="79" applyNumberFormat="0" applyFill="0" applyAlignment="0" applyProtection="0"/>
    <xf numFmtId="0" fontId="31" fillId="0" borderId="80" applyNumberFormat="0" applyFill="0" applyAlignment="0" applyProtection="0"/>
    <xf numFmtId="0" fontId="32" fillId="24" borderId="75" applyNumberFormat="0" applyAlignment="0" applyProtection="0"/>
    <xf numFmtId="0" fontId="16" fillId="24" borderId="75" applyNumberFormat="0" applyAlignment="0" applyProtection="0"/>
    <xf numFmtId="0" fontId="41" fillId="13" borderId="75" applyNumberFormat="0" applyAlignment="0" applyProtection="0"/>
    <xf numFmtId="0" fontId="25" fillId="13" borderId="75" applyNumberFormat="0" applyAlignment="0" applyProtection="0"/>
    <xf numFmtId="0" fontId="25" fillId="13" borderId="75" applyNumberFormat="0" applyAlignment="0" applyProtection="0"/>
    <xf numFmtId="0" fontId="18" fillId="10" borderId="76" applyNumberFormat="0" applyFont="0" applyAlignment="0" applyProtection="0"/>
    <xf numFmtId="0" fontId="28" fillId="10" borderId="76" applyNumberFormat="0" applyFont="0" applyAlignment="0" applyProtection="0"/>
    <xf numFmtId="0" fontId="8" fillId="10" borderId="76" applyNumberFormat="0" applyFont="0" applyAlignment="0" applyProtection="0"/>
    <xf numFmtId="0" fontId="24" fillId="24" borderId="77" applyNumberFormat="0" applyAlignment="0" applyProtection="0"/>
    <xf numFmtId="0" fontId="29" fillId="24" borderId="78" applyNumberFormat="0" applyAlignment="0" applyProtection="0"/>
    <xf numFmtId="0" fontId="29" fillId="24" borderId="78" applyNumberFormat="0" applyAlignment="0" applyProtection="0"/>
    <xf numFmtId="0" fontId="31" fillId="0" borderId="73" applyNumberFormat="0" applyFill="0" applyAlignment="0" applyProtection="0"/>
    <xf numFmtId="0" fontId="31" fillId="0" borderId="74" applyNumberFormat="0" applyFill="0" applyAlignment="0" applyProtection="0"/>
    <xf numFmtId="0" fontId="48" fillId="24" borderId="75" applyNumberFormat="0" applyAlignment="0" applyProtection="0"/>
    <xf numFmtId="0" fontId="28" fillId="0" borderId="82"/>
    <xf numFmtId="0" fontId="8" fillId="10" borderId="76" applyNumberFormat="0" applyFont="0" applyAlignment="0" applyProtection="0"/>
    <xf numFmtId="0" fontId="49" fillId="10" borderId="76" applyNumberFormat="0" applyFont="0" applyAlignment="0" applyProtection="0"/>
    <xf numFmtId="0" fontId="8" fillId="45" borderId="83" applyNumberFormat="0" applyFont="0" applyAlignment="0" applyProtection="0"/>
    <xf numFmtId="0" fontId="48" fillId="12" borderId="75" applyNumberFormat="0" applyAlignment="0" applyProtection="0"/>
    <xf numFmtId="0" fontId="29" fillId="12" borderId="78" applyNumberFormat="0" applyAlignment="0" applyProtection="0"/>
    <xf numFmtId="0" fontId="31" fillId="0" borderId="80" applyNumberFormat="0" applyFill="0" applyAlignment="0" applyProtection="0"/>
    <xf numFmtId="0" fontId="16" fillId="24" borderId="75" applyNumberFormat="0" applyAlignment="0" applyProtection="0"/>
    <xf numFmtId="0" fontId="31" fillId="0" borderId="73" applyNumberFormat="0" applyFill="0" applyAlignment="0" applyProtection="0"/>
    <xf numFmtId="0" fontId="31" fillId="0" borderId="74" applyNumberFormat="0" applyFill="0" applyAlignment="0" applyProtection="0"/>
    <xf numFmtId="0" fontId="31" fillId="0" borderId="74" applyNumberFormat="0" applyFill="0" applyAlignment="0" applyProtection="0"/>
    <xf numFmtId="0" fontId="73" fillId="0" borderId="81" applyBorder="0">
      <alignment horizontal="center" vertical="center" wrapText="1"/>
    </xf>
    <xf numFmtId="0" fontId="31" fillId="0" borderId="74" applyNumberFormat="0" applyFill="0" applyAlignment="0" applyProtection="0"/>
    <xf numFmtId="0" fontId="31" fillId="0" borderId="73" applyNumberFormat="0" applyFill="0" applyAlignment="0" applyProtection="0"/>
    <xf numFmtId="0" fontId="31" fillId="0" borderId="74" applyNumberFormat="0" applyFill="0" applyAlignment="0" applyProtection="0"/>
    <xf numFmtId="0" fontId="41" fillId="13" borderId="75" applyNumberFormat="0" applyAlignment="0" applyProtection="0"/>
    <xf numFmtId="0" fontId="25" fillId="8" borderId="75" applyNumberFormat="0" applyAlignment="0" applyProtection="0"/>
    <xf numFmtId="0" fontId="8" fillId="10" borderId="76" applyNumberFormat="0" applyFont="0" applyAlignment="0" applyProtection="0"/>
    <xf numFmtId="0" fontId="49" fillId="10" borderId="76" applyNumberFormat="0" applyFont="0" applyAlignment="0" applyProtection="0"/>
    <xf numFmtId="0" fontId="31" fillId="0" borderId="79" applyNumberFormat="0" applyFill="0" applyAlignment="0" applyProtection="0"/>
    <xf numFmtId="0" fontId="31" fillId="0" borderId="79" applyNumberFormat="0" applyFill="0" applyAlignment="0" applyProtection="0"/>
    <xf numFmtId="0" fontId="73" fillId="0" borderId="72" applyBorder="0">
      <alignment horizontal="center" vertical="center" wrapText="1"/>
    </xf>
    <xf numFmtId="0" fontId="49" fillId="10" borderId="76" applyNumberFormat="0" applyFont="0" applyAlignment="0" applyProtection="0"/>
    <xf numFmtId="0" fontId="48" fillId="24" borderId="75" applyNumberFormat="0" applyAlignment="0" applyProtection="0"/>
    <xf numFmtId="0" fontId="8" fillId="10" borderId="76" applyNumberFormat="0" applyFont="0" applyAlignment="0" applyProtection="0"/>
    <xf numFmtId="0" fontId="25" fillId="13" borderId="75" applyNumberFormat="0" applyAlignment="0" applyProtection="0"/>
    <xf numFmtId="0" fontId="31" fillId="0" borderId="73" applyNumberFormat="0" applyFill="0" applyAlignment="0" applyProtection="0"/>
    <xf numFmtId="0" fontId="31" fillId="0" borderId="80" applyNumberFormat="0" applyFill="0" applyAlignment="0" applyProtection="0"/>
    <xf numFmtId="0" fontId="8" fillId="10" borderId="76" applyNumberFormat="0" applyFont="0" applyAlignment="0" applyProtection="0"/>
    <xf numFmtId="0" fontId="49" fillId="10" borderId="76" applyNumberFormat="0" applyFont="0" applyAlignment="0" applyProtection="0"/>
    <xf numFmtId="0" fontId="24" fillId="24" borderId="77" applyNumberFormat="0" applyAlignment="0" applyProtection="0"/>
    <xf numFmtId="0" fontId="31" fillId="0" borderId="79" applyNumberFormat="0" applyFill="0" applyAlignment="0" applyProtection="0"/>
    <xf numFmtId="0" fontId="32" fillId="24" borderId="75" applyNumberFormat="0" applyAlignment="0" applyProtection="0"/>
    <xf numFmtId="0" fontId="16" fillId="24" borderId="75" applyNumberFormat="0" applyAlignment="0" applyProtection="0"/>
    <xf numFmtId="0" fontId="25" fillId="13" borderId="75" applyNumberFormat="0" applyAlignment="0" applyProtection="0"/>
    <xf numFmtId="0" fontId="28" fillId="10" borderId="76" applyNumberFormat="0" applyFont="0" applyAlignment="0" applyProtection="0"/>
    <xf numFmtId="0" fontId="29" fillId="24" borderId="78" applyNumberFormat="0" applyAlignment="0" applyProtection="0"/>
    <xf numFmtId="0" fontId="29" fillId="24" borderId="78" applyNumberFormat="0" applyAlignment="0" applyProtection="0"/>
    <xf numFmtId="0" fontId="16" fillId="24" borderId="75" applyNumberFormat="0" applyAlignment="0" applyProtection="0"/>
    <xf numFmtId="0" fontId="25" fillId="13" borderId="75" applyNumberFormat="0" applyAlignment="0" applyProtection="0"/>
    <xf numFmtId="0" fontId="25" fillId="13" borderId="75" applyNumberFormat="0" applyAlignment="0" applyProtection="0"/>
    <xf numFmtId="0" fontId="18" fillId="10" borderId="76" applyNumberFormat="0" applyFont="0" applyAlignment="0" applyProtection="0"/>
    <xf numFmtId="0" fontId="24" fillId="24" borderId="77" applyNumberFormat="0" applyAlignment="0" applyProtection="0"/>
    <xf numFmtId="0" fontId="48" fillId="12" borderId="194" applyNumberFormat="0" applyAlignment="0" applyProtection="0"/>
    <xf numFmtId="0" fontId="31" fillId="0" borderId="166" applyNumberFormat="0" applyFill="0" applyAlignment="0" applyProtection="0"/>
    <xf numFmtId="0" fontId="25" fillId="13" borderId="134" applyNumberFormat="0" applyAlignment="0" applyProtection="0"/>
    <xf numFmtId="0" fontId="28" fillId="0" borderId="149"/>
    <xf numFmtId="0" fontId="28" fillId="10" borderId="119" applyNumberFormat="0" applyFont="0" applyAlignment="0" applyProtection="0"/>
    <xf numFmtId="0" fontId="48" fillId="12" borderId="118" applyNumberFormat="0" applyAlignment="0" applyProtection="0"/>
    <xf numFmtId="0" fontId="24" fillId="24" borderId="169" applyNumberFormat="0" applyAlignment="0" applyProtection="0"/>
    <xf numFmtId="0" fontId="48" fillId="24" borderId="102" applyNumberFormat="0" applyAlignment="0" applyProtection="0"/>
    <xf numFmtId="0" fontId="25" fillId="13" borderId="118" applyNumberFormat="0" applyAlignment="0" applyProtection="0"/>
    <xf numFmtId="0" fontId="31" fillId="0" borderId="172" applyNumberFormat="0" applyFill="0" applyAlignment="0" applyProtection="0"/>
    <xf numFmtId="0" fontId="49" fillId="10" borderId="177" applyNumberFormat="0" applyFont="0" applyAlignment="0" applyProtection="0"/>
    <xf numFmtId="0" fontId="48" fillId="12" borderId="118" applyNumberFormat="0" applyAlignment="0" applyProtection="0"/>
    <xf numFmtId="0" fontId="32" fillId="24" borderId="194" applyNumberFormat="0" applyAlignment="0" applyProtection="0"/>
    <xf numFmtId="0" fontId="16" fillId="24" borderId="143" applyNumberFormat="0" applyAlignment="0" applyProtection="0"/>
    <xf numFmtId="0" fontId="28" fillId="10" borderId="168" applyNumberFormat="0" applyFont="0" applyAlignment="0" applyProtection="0"/>
    <xf numFmtId="0" fontId="49" fillId="10" borderId="177" applyNumberFormat="0" applyFont="0" applyAlignment="0" applyProtection="0"/>
    <xf numFmtId="0" fontId="48" fillId="24" borderId="102" applyNumberFormat="0" applyAlignment="0" applyProtection="0"/>
    <xf numFmtId="0" fontId="31" fillId="0" borderId="105" applyNumberFormat="0" applyFill="0" applyAlignment="0" applyProtection="0"/>
    <xf numFmtId="0" fontId="28" fillId="10" borderId="188" applyNumberFormat="0" applyFont="0" applyAlignment="0" applyProtection="0"/>
    <xf numFmtId="0" fontId="24" fillId="24" borderId="145" applyNumberFormat="0" applyAlignment="0" applyProtection="0"/>
    <xf numFmtId="0" fontId="16" fillId="24" borderId="194" applyNumberFormat="0" applyAlignment="0" applyProtection="0"/>
    <xf numFmtId="0" fontId="85" fillId="0" borderId="191"/>
    <xf numFmtId="0" fontId="8" fillId="10" borderId="177" applyNumberFormat="0" applyFont="0" applyAlignment="0" applyProtection="0"/>
    <xf numFmtId="0" fontId="48" fillId="12" borderId="143" applyNumberFormat="0" applyAlignment="0" applyProtection="0"/>
    <xf numFmtId="0" fontId="29" fillId="24" borderId="146" applyNumberFormat="0" applyAlignment="0" applyProtection="0"/>
    <xf numFmtId="0" fontId="32" fillId="24" borderId="194" applyNumberFormat="0" applyAlignment="0" applyProtection="0"/>
    <xf numFmtId="0" fontId="16" fillId="24" borderId="194" applyNumberFormat="0" applyAlignment="0" applyProtection="0"/>
    <xf numFmtId="0" fontId="25" fillId="8" borderId="102" applyNumberFormat="0" applyAlignment="0" applyProtection="0"/>
    <xf numFmtId="0" fontId="25" fillId="13" borderId="102" applyNumberFormat="0" applyAlignment="0" applyProtection="0"/>
    <xf numFmtId="0" fontId="29" fillId="24" borderId="101" applyNumberFormat="0" applyAlignment="0" applyProtection="0"/>
    <xf numFmtId="0" fontId="25" fillId="8" borderId="102" applyNumberFormat="0" applyAlignment="0" applyProtection="0"/>
    <xf numFmtId="0" fontId="24" fillId="24" borderId="104" applyNumberFormat="0" applyAlignment="0" applyProtection="0"/>
    <xf numFmtId="0" fontId="31" fillId="0" borderId="108" applyNumberFormat="0" applyFill="0" applyAlignment="0" applyProtection="0"/>
    <xf numFmtId="0" fontId="8" fillId="10" borderId="103" applyNumberFormat="0" applyFont="0" applyAlignment="0" applyProtection="0"/>
    <xf numFmtId="0" fontId="31" fillId="0" borderId="100" applyNumberFormat="0" applyFill="0" applyAlignment="0" applyProtection="0"/>
    <xf numFmtId="0" fontId="31" fillId="0" borderId="105" applyNumberFormat="0" applyFill="0" applyAlignment="0" applyProtection="0"/>
    <xf numFmtId="0" fontId="25" fillId="13" borderId="102" applyNumberFormat="0" applyAlignment="0" applyProtection="0"/>
    <xf numFmtId="0" fontId="31" fillId="0" borderId="100" applyNumberFormat="0" applyFill="0" applyAlignment="0" applyProtection="0"/>
    <xf numFmtId="0" fontId="25" fillId="13" borderId="102" applyNumberFormat="0" applyAlignment="0" applyProtection="0"/>
    <xf numFmtId="0" fontId="8" fillId="10" borderId="103" applyNumberFormat="0" applyFont="0" applyAlignment="0" applyProtection="0"/>
    <xf numFmtId="0" fontId="28" fillId="0" borderId="99"/>
    <xf numFmtId="0" fontId="41" fillId="13" borderId="194" applyNumberFormat="0" applyAlignment="0" applyProtection="0"/>
    <xf numFmtId="0" fontId="28" fillId="0" borderId="124"/>
    <xf numFmtId="0" fontId="25" fillId="8" borderId="118" applyNumberFormat="0" applyAlignment="0" applyProtection="0"/>
    <xf numFmtId="0" fontId="29" fillId="24" borderId="117" applyNumberFormat="0" applyAlignment="0" applyProtection="0"/>
    <xf numFmtId="0" fontId="31" fillId="0" borderId="148" applyNumberFormat="0" applyFill="0" applyAlignment="0" applyProtection="0"/>
    <xf numFmtId="0" fontId="85" fillId="73" borderId="124"/>
    <xf numFmtId="0" fontId="49" fillId="10" borderId="195" applyNumberFormat="0" applyFont="0" applyAlignment="0" applyProtection="0"/>
    <xf numFmtId="0" fontId="85" fillId="0" borderId="124"/>
    <xf numFmtId="0" fontId="8" fillId="45" borderId="94" applyNumberFormat="0" applyFont="0" applyAlignment="0" applyProtection="0"/>
    <xf numFmtId="0" fontId="31" fillId="0" borderId="166" applyNumberFormat="0" applyFill="0" applyAlignment="0" applyProtection="0"/>
    <xf numFmtId="0" fontId="16" fillId="24" borderId="118" applyNumberFormat="0" applyAlignment="0" applyProtection="0"/>
    <xf numFmtId="0" fontId="29" fillId="12" borderId="91" applyNumberFormat="0" applyAlignment="0" applyProtection="0"/>
    <xf numFmtId="0" fontId="48" fillId="12" borderId="118" applyNumberFormat="0" applyAlignment="0" applyProtection="0"/>
    <xf numFmtId="0" fontId="28" fillId="10" borderId="177" applyNumberFormat="0" applyFont="0" applyAlignment="0" applyProtection="0"/>
    <xf numFmtId="0" fontId="31" fillId="0" borderId="58" applyNumberFormat="0" applyFill="0" applyAlignment="0" applyProtection="0"/>
    <xf numFmtId="0" fontId="31" fillId="0" borderId="57" applyNumberFormat="0" applyFill="0" applyAlignment="0" applyProtection="0"/>
    <xf numFmtId="0" fontId="29" fillId="24" borderId="56" applyNumberFormat="0" applyAlignment="0" applyProtection="0"/>
    <xf numFmtId="0" fontId="24" fillId="24" borderId="51" applyNumberFormat="0" applyAlignment="0" applyProtection="0"/>
    <xf numFmtId="0" fontId="18" fillId="10" borderId="50" applyNumberFormat="0" applyFont="0" applyAlignment="0" applyProtection="0"/>
    <xf numFmtId="0" fontId="31" fillId="0" borderId="92" applyNumberFormat="0" applyFill="0" applyAlignment="0" applyProtection="0"/>
    <xf numFmtId="0" fontId="8" fillId="10" borderId="119" applyNumberFormat="0" applyFont="0" applyAlignment="0" applyProtection="0"/>
    <xf numFmtId="0" fontId="29" fillId="24" borderId="117" applyNumberFormat="0" applyAlignment="0" applyProtection="0"/>
    <xf numFmtId="0" fontId="31" fillId="0" borderId="55" applyNumberFormat="0" applyFill="0" applyAlignment="0" applyProtection="0"/>
    <xf numFmtId="0" fontId="31" fillId="0" borderId="55" applyNumberFormat="0" applyFill="0" applyAlignment="0" applyProtection="0"/>
    <xf numFmtId="0" fontId="31" fillId="0" borderId="52" applyNumberFormat="0" applyFill="0" applyAlignment="0" applyProtection="0"/>
    <xf numFmtId="0" fontId="31" fillId="0" borderId="52" applyNumberFormat="0" applyFill="0" applyAlignment="0" applyProtection="0"/>
    <xf numFmtId="0" fontId="29" fillId="12" borderId="56" applyNumberFormat="0" applyAlignment="0" applyProtection="0"/>
    <xf numFmtId="0" fontId="24" fillId="24" borderId="51" applyNumberFormat="0" applyAlignment="0" applyProtection="0"/>
    <xf numFmtId="0" fontId="49" fillId="10" borderId="50" applyNumberFormat="0" applyFont="0" applyAlignment="0" applyProtection="0"/>
    <xf numFmtId="0" fontId="49" fillId="10" borderId="50" applyNumberFormat="0" applyFont="0" applyAlignment="0" applyProtection="0"/>
    <xf numFmtId="0" fontId="8" fillId="10" borderId="50" applyNumberFormat="0" applyFont="0" applyAlignment="0" applyProtection="0"/>
    <xf numFmtId="0" fontId="8" fillId="10" borderId="50" applyNumberFormat="0" applyFont="0" applyAlignment="0" applyProtection="0"/>
    <xf numFmtId="0" fontId="49" fillId="10" borderId="103" applyNumberFormat="0" applyFont="0" applyAlignment="0" applyProtection="0"/>
    <xf numFmtId="0" fontId="73" fillId="0" borderId="198" applyBorder="0">
      <alignment horizontal="center" vertical="center" wrapText="1"/>
    </xf>
    <xf numFmtId="0" fontId="31" fillId="0" borderId="121" applyNumberFormat="0" applyFill="0" applyAlignment="0" applyProtection="0"/>
    <xf numFmtId="0" fontId="31" fillId="0" borderId="123" applyNumberFormat="0" applyFill="0" applyAlignment="0" applyProtection="0"/>
    <xf numFmtId="0" fontId="31" fillId="0" borderId="116" applyNumberFormat="0" applyFill="0" applyAlignment="0" applyProtection="0"/>
    <xf numFmtId="0" fontId="31" fillId="0" borderId="58" applyNumberFormat="0" applyFill="0" applyAlignment="0" applyProtection="0"/>
    <xf numFmtId="0" fontId="31" fillId="0" borderId="58" applyNumberFormat="0" applyFill="0" applyAlignment="0" applyProtection="0"/>
    <xf numFmtId="0" fontId="31" fillId="0" borderId="58" applyNumberFormat="0" applyFill="0" applyAlignment="0" applyProtection="0"/>
    <xf numFmtId="0" fontId="31" fillId="0" borderId="57" applyNumberFormat="0" applyFill="0" applyAlignment="0" applyProtection="0"/>
    <xf numFmtId="0" fontId="29" fillId="24" borderId="146" applyNumberFormat="0" applyAlignment="0" applyProtection="0"/>
    <xf numFmtId="0" fontId="28" fillId="10" borderId="144" applyNumberFormat="0" applyFont="0" applyAlignment="0" applyProtection="0"/>
    <xf numFmtId="0" fontId="28" fillId="0" borderId="149"/>
    <xf numFmtId="0" fontId="85" fillId="0" borderId="174"/>
    <xf numFmtId="0" fontId="32" fillId="24" borderId="143" applyNumberFormat="0" applyAlignment="0" applyProtection="0"/>
    <xf numFmtId="0" fontId="48" fillId="12" borderId="167" applyNumberFormat="0" applyAlignment="0" applyProtection="0"/>
    <xf numFmtId="0" fontId="48" fillId="12" borderId="143" applyNumberFormat="0" applyAlignment="0" applyProtection="0"/>
    <xf numFmtId="0" fontId="16" fillId="24" borderId="153" applyNumberFormat="0" applyAlignment="0" applyProtection="0"/>
    <xf numFmtId="0" fontId="31" fillId="0" borderId="100" applyNumberFormat="0" applyFill="0" applyAlignment="0" applyProtection="0"/>
    <xf numFmtId="0" fontId="48" fillId="12" borderId="194" applyNumberFormat="0" applyAlignment="0" applyProtection="0"/>
    <xf numFmtId="0" fontId="85" fillId="0" borderId="174"/>
    <xf numFmtId="0" fontId="85" fillId="0" borderId="99"/>
    <xf numFmtId="0" fontId="49" fillId="10" borderId="76" applyNumberFormat="0" applyFont="0" applyAlignment="0" applyProtection="0"/>
    <xf numFmtId="0" fontId="31" fillId="0" borderId="79" applyNumberFormat="0" applyFill="0" applyAlignment="0" applyProtection="0"/>
    <xf numFmtId="0" fontId="32" fillId="24" borderId="75" applyNumberFormat="0" applyAlignment="0" applyProtection="0"/>
    <xf numFmtId="0" fontId="24" fillId="24" borderId="77" applyNumberFormat="0" applyAlignment="0" applyProtection="0"/>
    <xf numFmtId="0" fontId="28" fillId="0" borderId="82"/>
    <xf numFmtId="0" fontId="31" fillId="0" borderId="165" applyNumberFormat="0" applyFill="0" applyAlignment="0" applyProtection="0"/>
    <xf numFmtId="0" fontId="31" fillId="0" borderId="179" applyNumberFormat="0" applyFill="0" applyAlignment="0" applyProtection="0"/>
    <xf numFmtId="0" fontId="31" fillId="0" borderId="200" applyNumberFormat="0" applyFill="0" applyAlignment="0" applyProtection="0"/>
    <xf numFmtId="0" fontId="8" fillId="10" borderId="168" applyNumberFormat="0" applyFont="0" applyAlignment="0" applyProtection="0"/>
    <xf numFmtId="0" fontId="31" fillId="0" borderId="166" applyNumberFormat="0" applyFill="0" applyAlignment="0" applyProtection="0"/>
    <xf numFmtId="0" fontId="16" fillId="24" borderId="118" applyNumberFormat="0" applyAlignment="0" applyProtection="0"/>
    <xf numFmtId="0" fontId="16" fillId="24" borderId="118" applyNumberFormat="0" applyAlignment="0" applyProtection="0"/>
    <xf numFmtId="0" fontId="31" fillId="0" borderId="105" applyNumberFormat="0" applyFill="0" applyAlignment="0" applyProtection="0"/>
    <xf numFmtId="0" fontId="16" fillId="24" borderId="102" applyNumberFormat="0" applyAlignment="0" applyProtection="0"/>
    <xf numFmtId="0" fontId="31" fillId="0" borderId="100" applyNumberFormat="0" applyFill="0" applyAlignment="0" applyProtection="0"/>
    <xf numFmtId="0" fontId="28" fillId="0" borderId="174"/>
    <xf numFmtId="0" fontId="31" fillId="0" borderId="166" applyNumberFormat="0" applyFill="0" applyAlignment="0" applyProtection="0"/>
    <xf numFmtId="0" fontId="25" fillId="13" borderId="203" applyNumberFormat="0" applyAlignment="0" applyProtection="0"/>
    <xf numFmtId="0" fontId="48" fillId="24" borderId="194" applyNumberFormat="0" applyAlignment="0" applyProtection="0"/>
    <xf numFmtId="0" fontId="29" fillId="24" borderId="193" applyNumberFormat="0" applyAlignment="0" applyProtection="0"/>
    <xf numFmtId="0" fontId="29" fillId="24" borderId="133" applyNumberFormat="0" applyAlignment="0" applyProtection="0"/>
    <xf numFmtId="0" fontId="48" fillId="24" borderId="75" applyNumberFormat="0" applyAlignment="0" applyProtection="0"/>
    <xf numFmtId="0" fontId="49" fillId="10" borderId="195" applyNumberFormat="0" applyFont="0" applyAlignment="0" applyProtection="0"/>
    <xf numFmtId="0" fontId="28" fillId="10" borderId="119" applyNumberFormat="0" applyFont="0" applyAlignment="0" applyProtection="0"/>
    <xf numFmtId="0" fontId="28" fillId="0" borderId="88"/>
    <xf numFmtId="0" fontId="73" fillId="0" borderId="48" applyBorder="0">
      <alignment horizontal="center" vertical="center" wrapText="1"/>
    </xf>
    <xf numFmtId="0" fontId="49" fillId="10" borderId="96" applyNumberFormat="0" applyFont="0" applyAlignment="0" applyProtection="0"/>
    <xf numFmtId="0" fontId="48" fillId="12" borderId="167" applyNumberFormat="0" applyAlignment="0" applyProtection="0"/>
    <xf numFmtId="0" fontId="29" fillId="24" borderId="193" applyNumberFormat="0" applyAlignment="0" applyProtection="0"/>
    <xf numFmtId="0" fontId="31" fillId="0" borderId="200" applyNumberFormat="0" applyFill="0" applyAlignment="0" applyProtection="0"/>
    <xf numFmtId="0" fontId="8" fillId="10" borderId="177" applyNumberFormat="0" applyFont="0" applyAlignment="0" applyProtection="0"/>
    <xf numFmtId="0" fontId="48" fillId="24" borderId="167" applyNumberFormat="0" applyAlignment="0" applyProtection="0"/>
    <xf numFmtId="0" fontId="16" fillId="24" borderId="118" applyNumberFormat="0" applyAlignment="0" applyProtection="0"/>
    <xf numFmtId="0" fontId="31" fillId="0" borderId="171" applyNumberFormat="0" applyFill="0" applyAlignment="0" applyProtection="0"/>
    <xf numFmtId="0" fontId="29" fillId="12" borderId="117" applyNumberFormat="0" applyAlignment="0" applyProtection="0"/>
    <xf numFmtId="0" fontId="25" fillId="13" borderId="167" applyNumberFormat="0" applyAlignment="0" applyProtection="0"/>
    <xf numFmtId="0" fontId="25" fillId="13" borderId="67" applyNumberFormat="0" applyAlignment="0" applyProtection="0"/>
    <xf numFmtId="0" fontId="28" fillId="10" borderId="154" applyNumberFormat="0" applyFont="0" applyAlignment="0" applyProtection="0"/>
    <xf numFmtId="0" fontId="73" fillId="0" borderId="48" applyBorder="0">
      <alignment horizontal="center" vertical="center" wrapText="1"/>
    </xf>
    <xf numFmtId="0" fontId="41" fillId="13" borderId="67" applyNumberFormat="0" applyAlignment="0" applyProtection="0"/>
    <xf numFmtId="0" fontId="49" fillId="10" borderId="85" applyNumberFormat="0" applyFont="0" applyAlignment="0" applyProtection="0"/>
    <xf numFmtId="0" fontId="8" fillId="10" borderId="85" applyNumberFormat="0" applyFont="0" applyAlignment="0" applyProtection="0"/>
    <xf numFmtId="0" fontId="85" fillId="0" borderId="174"/>
    <xf numFmtId="0" fontId="85" fillId="0" borderId="88"/>
    <xf numFmtId="0" fontId="73" fillId="0" borderId="126" applyBorder="0">
      <alignment horizontal="center" vertical="center" wrapText="1"/>
    </xf>
    <xf numFmtId="0" fontId="73" fillId="0" borderId="48" applyBorder="0">
      <alignment horizontal="center" vertical="center" wrapText="1"/>
    </xf>
    <xf numFmtId="0" fontId="28" fillId="0" borderId="124"/>
    <xf numFmtId="0" fontId="18" fillId="10" borderId="119" applyNumberFormat="0" applyFont="0" applyAlignment="0" applyProtection="0"/>
    <xf numFmtId="0" fontId="28" fillId="0" borderId="149"/>
    <xf numFmtId="0" fontId="25" fillId="13" borderId="153" applyNumberFormat="0" applyAlignment="0" applyProtection="0"/>
    <xf numFmtId="0" fontId="8" fillId="10" borderId="177" applyNumberFormat="0" applyFont="0" applyAlignment="0" applyProtection="0"/>
    <xf numFmtId="0" fontId="31" fillId="0" borderId="123" applyNumberFormat="0" applyFill="0" applyAlignment="0" applyProtection="0"/>
    <xf numFmtId="0" fontId="73" fillId="0" borderId="48" applyBorder="0">
      <alignment horizontal="center" vertical="center" wrapText="1"/>
    </xf>
    <xf numFmtId="0" fontId="73" fillId="0" borderId="48" applyBorder="0">
      <alignment horizontal="center" vertical="center" wrapText="1"/>
    </xf>
    <xf numFmtId="0" fontId="31" fillId="0" borderId="93" applyNumberFormat="0" applyFill="0" applyAlignment="0" applyProtection="0"/>
    <xf numFmtId="0" fontId="25" fillId="13" borderId="167" applyNumberFormat="0" applyAlignment="0" applyProtection="0"/>
    <xf numFmtId="0" fontId="31" fillId="0" borderId="93" applyNumberFormat="0" applyFill="0" applyAlignment="0" applyProtection="0"/>
    <xf numFmtId="0" fontId="24" fillId="24" borderId="86" applyNumberFormat="0" applyAlignment="0" applyProtection="0"/>
    <xf numFmtId="0" fontId="25" fillId="8" borderId="167" applyNumberFormat="0" applyAlignment="0" applyProtection="0"/>
    <xf numFmtId="0" fontId="16" fillId="24" borderId="118" applyNumberFormat="0" applyAlignment="0" applyProtection="0"/>
    <xf numFmtId="0" fontId="31" fillId="0" borderId="185" applyNumberFormat="0" applyFill="0" applyAlignment="0" applyProtection="0"/>
    <xf numFmtId="0" fontId="28" fillId="10" borderId="85" applyNumberFormat="0" applyFont="0" applyAlignment="0" applyProtection="0"/>
    <xf numFmtId="0" fontId="31" fillId="0" borderId="184" applyNumberFormat="0" applyFill="0" applyAlignment="0" applyProtection="0"/>
    <xf numFmtId="0" fontId="28" fillId="0" borderId="99"/>
    <xf numFmtId="0" fontId="32" fillId="24" borderId="102" applyNumberFormat="0" applyAlignment="0" applyProtection="0"/>
    <xf numFmtId="0" fontId="31" fillId="0" borderId="122" applyNumberFormat="0" applyFill="0" applyAlignment="0" applyProtection="0"/>
    <xf numFmtId="0" fontId="28" fillId="0" borderId="99"/>
    <xf numFmtId="0" fontId="31" fillId="0" borderId="74" applyNumberFormat="0" applyFill="0" applyAlignment="0" applyProtection="0"/>
    <xf numFmtId="0" fontId="28" fillId="10" borderId="76" applyNumberFormat="0" applyFont="0" applyAlignment="0" applyProtection="0"/>
    <xf numFmtId="0" fontId="28" fillId="10" borderId="177" applyNumberFormat="0" applyFont="0" applyAlignment="0" applyProtection="0"/>
    <xf numFmtId="0" fontId="31" fillId="0" borderId="166" applyNumberFormat="0" applyFill="0" applyAlignment="0" applyProtection="0"/>
    <xf numFmtId="0" fontId="32" fillId="24" borderId="49" applyNumberFormat="0" applyAlignment="0" applyProtection="0"/>
    <xf numFmtId="0" fontId="16" fillId="24" borderId="49" applyNumberFormat="0" applyAlignment="0" applyProtection="0"/>
    <xf numFmtId="0" fontId="48"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29" fillId="12" borderId="193" applyNumberFormat="0" applyAlignment="0" applyProtection="0"/>
    <xf numFmtId="0" fontId="24" fillId="24" borderId="196" applyNumberFormat="0" applyAlignment="0" applyProtection="0"/>
    <xf numFmtId="0" fontId="8" fillId="10" borderId="85" applyNumberFormat="0" applyFont="0" applyAlignment="0" applyProtection="0"/>
    <xf numFmtId="0" fontId="25" fillId="8" borderId="194" applyNumberFormat="0" applyAlignment="0" applyProtection="0"/>
    <xf numFmtId="0" fontId="25" fillId="13" borderId="49" applyNumberFormat="0" applyAlignment="0" applyProtection="0"/>
    <xf numFmtId="0" fontId="41" fillId="13" borderId="49" applyNumberFormat="0" applyAlignment="0" applyProtection="0"/>
    <xf numFmtId="0" fontId="25" fillId="13" borderId="49" applyNumberFormat="0" applyAlignment="0" applyProtection="0"/>
    <xf numFmtId="0" fontId="41" fillId="13" borderId="49" applyNumberFormat="0" applyAlignment="0" applyProtection="0"/>
    <xf numFmtId="0" fontId="25" fillId="13" borderId="49" applyNumberFormat="0" applyAlignment="0" applyProtection="0"/>
    <xf numFmtId="0" fontId="85" fillId="0" borderId="174"/>
    <xf numFmtId="0" fontId="41" fillId="13" borderId="153" applyNumberFormat="0" applyAlignment="0" applyProtection="0"/>
    <xf numFmtId="0" fontId="25" fillId="13" borderId="194" applyNumberFormat="0" applyAlignment="0" applyProtection="0"/>
    <xf numFmtId="0" fontId="29" fillId="24" borderId="117" applyNumberFormat="0" applyAlignment="0" applyProtection="0"/>
    <xf numFmtId="0" fontId="25" fillId="13" borderId="60" applyNumberFormat="0" applyAlignment="0" applyProtection="0"/>
    <xf numFmtId="0" fontId="29" fillId="12" borderId="56" applyNumberFormat="0" applyAlignment="0" applyProtection="0"/>
    <xf numFmtId="0" fontId="31" fillId="0" borderId="151" applyNumberFormat="0" applyFill="0" applyAlignment="0" applyProtection="0"/>
    <xf numFmtId="0" fontId="29" fillId="24" borderId="146" applyNumberFormat="0" applyAlignment="0" applyProtection="0"/>
    <xf numFmtId="0" fontId="8" fillId="45" borderId="150" applyNumberFormat="0" applyFont="0" applyAlignment="0" applyProtection="0"/>
    <xf numFmtId="0" fontId="18" fillId="10" borderId="50" applyNumberFormat="0" applyFont="0" applyAlignment="0" applyProtection="0"/>
    <xf numFmtId="0" fontId="28" fillId="10" borderId="50" applyNumberFormat="0" applyFont="0" applyAlignment="0" applyProtection="0"/>
    <xf numFmtId="0" fontId="8" fillId="10" borderId="50" applyNumberFormat="0" applyFont="0" applyAlignment="0" applyProtection="0"/>
    <xf numFmtId="0" fontId="28" fillId="10" borderId="50" applyNumberFormat="0" applyFont="0" applyAlignment="0" applyProtection="0"/>
    <xf numFmtId="0" fontId="8" fillId="10" borderId="50" applyNumberFormat="0" applyFont="0" applyAlignment="0" applyProtection="0"/>
    <xf numFmtId="0" fontId="49" fillId="10" borderId="50" applyNumberFormat="0" applyFont="0" applyAlignment="0" applyProtection="0"/>
    <xf numFmtId="0" fontId="28" fillId="10" borderId="50" applyNumberFormat="0" applyFont="0" applyAlignment="0" applyProtection="0"/>
    <xf numFmtId="0" fontId="24" fillId="24" borderId="51" applyNumberFormat="0" applyAlignment="0" applyProtection="0"/>
    <xf numFmtId="0" fontId="24" fillId="24" borderId="51" applyNumberFormat="0" applyAlignment="0" applyProtection="0"/>
    <xf numFmtId="0" fontId="31" fillId="0" borderId="52" applyNumberFormat="0" applyFill="0" applyAlignment="0" applyProtection="0"/>
    <xf numFmtId="0" fontId="31" fillId="0" borderId="192" applyNumberFormat="0" applyFill="0" applyAlignment="0" applyProtection="0"/>
    <xf numFmtId="0" fontId="29" fillId="12" borderId="117" applyNumberFormat="0" applyAlignment="0" applyProtection="0"/>
    <xf numFmtId="0" fontId="8" fillId="10" borderId="177" applyNumberFormat="0" applyFont="0" applyAlignment="0" applyProtection="0"/>
    <xf numFmtId="0" fontId="48" fillId="24" borderId="102" applyNumberFormat="0" applyAlignment="0" applyProtection="0"/>
    <xf numFmtId="0" fontId="24" fillId="24" borderId="69" applyNumberFormat="0" applyAlignment="0" applyProtection="0"/>
    <xf numFmtId="0" fontId="31" fillId="0" borderId="74" applyNumberFormat="0" applyFill="0" applyAlignment="0" applyProtection="0"/>
    <xf numFmtId="0" fontId="31" fillId="0" borderId="74" applyNumberFormat="0" applyFill="0" applyAlignment="0" applyProtection="0"/>
    <xf numFmtId="0" fontId="48" fillId="12" borderId="75" applyNumberFormat="0" applyAlignment="0" applyProtection="0"/>
    <xf numFmtId="0" fontId="8" fillId="10" borderId="76" applyNumberFormat="0" applyFont="0" applyAlignment="0" applyProtection="0"/>
    <xf numFmtId="0" fontId="29" fillId="12" borderId="78" applyNumberFormat="0" applyAlignment="0" applyProtection="0"/>
    <xf numFmtId="0" fontId="31" fillId="0" borderId="80" applyNumberFormat="0" applyFill="0" applyAlignment="0" applyProtection="0"/>
    <xf numFmtId="0" fontId="73" fillId="0" borderId="81" applyBorder="0">
      <alignment horizontal="center" vertical="center" wrapText="1"/>
    </xf>
    <xf numFmtId="0" fontId="41" fillId="13" borderId="75" applyNumberFormat="0" applyAlignment="0" applyProtection="0"/>
    <xf numFmtId="0" fontId="24" fillId="24" borderId="77" applyNumberFormat="0" applyAlignment="0" applyProtection="0"/>
    <xf numFmtId="0" fontId="29" fillId="24" borderId="78" applyNumberFormat="0" applyAlignment="0" applyProtection="0"/>
    <xf numFmtId="0" fontId="49" fillId="10" borderId="144" applyNumberFormat="0" applyFont="0" applyAlignment="0" applyProtection="0"/>
    <xf numFmtId="0" fontId="24" fillId="24" borderId="145" applyNumberFormat="0" applyAlignment="0" applyProtection="0"/>
    <xf numFmtId="0" fontId="49" fillId="10" borderId="144" applyNumberFormat="0" applyFont="0" applyAlignment="0" applyProtection="0"/>
    <xf numFmtId="0" fontId="41" fillId="13" borderId="167" applyNumberFormat="0" applyAlignment="0" applyProtection="0"/>
    <xf numFmtId="0" fontId="8" fillId="10" borderId="168" applyNumberFormat="0" applyFont="0" applyAlignment="0" applyProtection="0"/>
    <xf numFmtId="0" fontId="18" fillId="10" borderId="168" applyNumberFormat="0" applyFont="0" applyAlignment="0" applyProtection="0"/>
    <xf numFmtId="0" fontId="16" fillId="24" borderId="102" applyNumberFormat="0" applyAlignment="0" applyProtection="0"/>
    <xf numFmtId="0" fontId="28" fillId="0" borderId="82"/>
    <xf numFmtId="0" fontId="24" fillId="24" borderId="104" applyNumberFormat="0" applyAlignment="0" applyProtection="0"/>
    <xf numFmtId="0" fontId="48" fillId="12" borderId="102" applyNumberFormat="0" applyAlignment="0" applyProtection="0"/>
    <xf numFmtId="0" fontId="25" fillId="8" borderId="102" applyNumberFormat="0" applyAlignment="0" applyProtection="0"/>
    <xf numFmtId="0" fontId="24" fillId="24" borderId="104" applyNumberFormat="0" applyAlignment="0" applyProtection="0"/>
    <xf numFmtId="0" fontId="31" fillId="0" borderId="108" applyNumberFormat="0" applyFill="0" applyAlignment="0" applyProtection="0"/>
    <xf numFmtId="0" fontId="48" fillId="24" borderId="102" applyNumberFormat="0" applyAlignment="0" applyProtection="0"/>
    <xf numFmtId="0" fontId="28" fillId="10" borderId="103" applyNumberFormat="0" applyFont="0" applyAlignment="0" applyProtection="0"/>
    <xf numFmtId="0" fontId="31" fillId="0" borderId="107" applyNumberFormat="0" applyFill="0" applyAlignment="0" applyProtection="0"/>
    <xf numFmtId="0" fontId="29" fillId="12" borderId="101" applyNumberFormat="0" applyAlignment="0" applyProtection="0"/>
    <xf numFmtId="0" fontId="8" fillId="45" borderId="110" applyNumberFormat="0" applyFont="0" applyAlignment="0" applyProtection="0"/>
    <xf numFmtId="0" fontId="29" fillId="12" borderId="101" applyNumberFormat="0" applyAlignment="0" applyProtection="0"/>
    <xf numFmtId="0" fontId="16" fillId="24" borderId="111" applyNumberFormat="0" applyAlignment="0" applyProtection="0"/>
    <xf numFmtId="0" fontId="29" fillId="12" borderId="146" applyNumberFormat="0" applyAlignment="0" applyProtection="0"/>
    <xf numFmtId="0" fontId="25" fillId="13" borderId="111" applyNumberFormat="0" applyAlignment="0" applyProtection="0"/>
    <xf numFmtId="0" fontId="8" fillId="10" borderId="144" applyNumberFormat="0" applyFont="0" applyAlignment="0" applyProtection="0"/>
    <xf numFmtId="0" fontId="16" fillId="24" borderId="167" applyNumberFormat="0" applyAlignment="0" applyProtection="0"/>
    <xf numFmtId="0" fontId="8" fillId="45" borderId="175" applyNumberFormat="0" applyFont="0" applyAlignment="0" applyProtection="0"/>
    <xf numFmtId="0" fontId="49" fillId="10" borderId="144" applyNumberFormat="0" applyFont="0" applyAlignment="0" applyProtection="0"/>
    <xf numFmtId="0" fontId="31" fillId="0" borderId="163" applyNumberFormat="0" applyFill="0" applyAlignment="0" applyProtection="0"/>
    <xf numFmtId="0" fontId="31" fillId="0" borderId="192" applyNumberFormat="0" applyFill="0" applyAlignment="0" applyProtection="0"/>
    <xf numFmtId="0" fontId="8" fillId="10" borderId="168" applyNumberFormat="0" applyFont="0" applyAlignment="0" applyProtection="0"/>
    <xf numFmtId="0" fontId="29" fillId="12" borderId="193" applyNumberFormat="0" applyAlignment="0" applyProtection="0"/>
    <xf numFmtId="0" fontId="28" fillId="0" borderId="82"/>
    <xf numFmtId="0" fontId="48" fillId="12" borderId="75" applyNumberFormat="0" applyAlignment="0" applyProtection="0"/>
    <xf numFmtId="0" fontId="25" fillId="8" borderId="75" applyNumberFormat="0" applyAlignment="0" applyProtection="0"/>
    <xf numFmtId="0" fontId="29" fillId="12" borderId="78" applyNumberFormat="0" applyAlignment="0" applyProtection="0"/>
    <xf numFmtId="0" fontId="29" fillId="24" borderId="78" applyNumberFormat="0" applyAlignment="0" applyProtection="0"/>
    <xf numFmtId="0" fontId="31" fillId="0" borderId="74" applyNumberFormat="0" applyFill="0" applyAlignment="0" applyProtection="0"/>
    <xf numFmtId="0" fontId="41" fillId="13" borderId="75" applyNumberFormat="0" applyAlignment="0" applyProtection="0"/>
    <xf numFmtId="0" fontId="49" fillId="10" borderId="76" applyNumberFormat="0" applyFont="0" applyAlignment="0" applyProtection="0"/>
    <xf numFmtId="0" fontId="29" fillId="12" borderId="78" applyNumberFormat="0" applyAlignment="0" applyProtection="0"/>
    <xf numFmtId="0" fontId="16" fillId="24" borderId="75" applyNumberFormat="0" applyAlignment="0" applyProtection="0"/>
    <xf numFmtId="0" fontId="16" fillId="24" borderId="75" applyNumberFormat="0" applyAlignment="0" applyProtection="0"/>
    <xf numFmtId="0" fontId="28" fillId="10" borderId="76" applyNumberFormat="0" applyFont="0" applyAlignment="0" applyProtection="0"/>
    <xf numFmtId="0" fontId="29" fillId="24" borderId="78" applyNumberFormat="0" applyAlignment="0" applyProtection="0"/>
    <xf numFmtId="0" fontId="31" fillId="0" borderId="74" applyNumberFormat="0" applyFill="0" applyAlignment="0" applyProtection="0"/>
    <xf numFmtId="0" fontId="85" fillId="73" borderId="82"/>
    <xf numFmtId="0" fontId="85" fillId="0" borderId="82"/>
    <xf numFmtId="0" fontId="31" fillId="0" borderId="80" applyNumberFormat="0" applyFill="0" applyAlignment="0" applyProtection="0"/>
    <xf numFmtId="0" fontId="31" fillId="0" borderId="74" applyNumberFormat="0" applyFill="0" applyAlignment="0" applyProtection="0"/>
    <xf numFmtId="0" fontId="85" fillId="73" borderId="82"/>
    <xf numFmtId="0" fontId="8" fillId="10" borderId="76" applyNumberFormat="0" applyFont="0" applyAlignment="0" applyProtection="0"/>
    <xf numFmtId="0" fontId="24" fillId="24" borderId="77" applyNumberFormat="0" applyAlignment="0" applyProtection="0"/>
    <xf numFmtId="0" fontId="8" fillId="10" borderId="76" applyNumberFormat="0" applyFont="0" applyAlignment="0" applyProtection="0"/>
    <xf numFmtId="0" fontId="16" fillId="24" borderId="75" applyNumberFormat="0" applyAlignment="0" applyProtection="0"/>
    <xf numFmtId="0" fontId="31" fillId="0" borderId="74" applyNumberFormat="0" applyFill="0" applyAlignment="0" applyProtection="0"/>
    <xf numFmtId="0" fontId="48" fillId="12" borderId="75" applyNumberFormat="0" applyAlignment="0" applyProtection="0"/>
    <xf numFmtId="0" fontId="8" fillId="10" borderId="76" applyNumberFormat="0" applyFont="0" applyAlignment="0" applyProtection="0"/>
    <xf numFmtId="0" fontId="29" fillId="12" borderId="78" applyNumberFormat="0" applyAlignment="0" applyProtection="0"/>
    <xf numFmtId="0" fontId="16" fillId="24" borderId="75" applyNumberFormat="0" applyAlignment="0" applyProtection="0"/>
    <xf numFmtId="0" fontId="41" fillId="13" borderId="75" applyNumberFormat="0" applyAlignment="0" applyProtection="0"/>
    <xf numFmtId="0" fontId="25" fillId="13" borderId="75" applyNumberFormat="0" applyAlignment="0" applyProtection="0"/>
    <xf numFmtId="0" fontId="28" fillId="10" borderId="76" applyNumberFormat="0" applyFont="0" applyAlignment="0" applyProtection="0"/>
    <xf numFmtId="0" fontId="73" fillId="0" borderId="81" applyBorder="0">
      <alignment horizontal="center" vertical="center" wrapText="1"/>
    </xf>
    <xf numFmtId="0" fontId="25" fillId="13" borderId="75" applyNumberFormat="0" applyAlignment="0" applyProtection="0"/>
    <xf numFmtId="0" fontId="28" fillId="10" borderId="76" applyNumberFormat="0" applyFont="0" applyAlignment="0" applyProtection="0"/>
    <xf numFmtId="0" fontId="29" fillId="24" borderId="78" applyNumberFormat="0" applyAlignment="0" applyProtection="0"/>
    <xf numFmtId="0" fontId="28" fillId="0" borderId="82"/>
    <xf numFmtId="0" fontId="31" fillId="0" borderId="74" applyNumberFormat="0" applyFill="0" applyAlignment="0" applyProtection="0"/>
    <xf numFmtId="0" fontId="31" fillId="0" borderId="74" applyNumberFormat="0" applyFill="0" applyAlignment="0" applyProtection="0"/>
    <xf numFmtId="0" fontId="31" fillId="0" borderId="80" applyNumberFormat="0" applyFill="0" applyAlignment="0" applyProtection="0"/>
    <xf numFmtId="0" fontId="41" fillId="13" borderId="75" applyNumberFormat="0" applyAlignment="0" applyProtection="0"/>
    <xf numFmtId="0" fontId="48" fillId="12" borderId="75" applyNumberFormat="0" applyAlignment="0" applyProtection="0"/>
    <xf numFmtId="0" fontId="48" fillId="12" borderId="75" applyNumberFormat="0" applyAlignment="0" applyProtection="0"/>
    <xf numFmtId="0" fontId="29" fillId="12" borderId="78" applyNumberFormat="0" applyAlignment="0" applyProtection="0"/>
    <xf numFmtId="0" fontId="25" fillId="13" borderId="75" applyNumberFormat="0" applyAlignment="0" applyProtection="0"/>
    <xf numFmtId="0" fontId="8" fillId="10" borderId="76" applyNumberFormat="0" applyFont="0" applyAlignment="0" applyProtection="0"/>
    <xf numFmtId="0" fontId="85" fillId="0" borderId="82"/>
    <xf numFmtId="0" fontId="25" fillId="8" borderId="75" applyNumberFormat="0" applyAlignment="0" applyProtection="0"/>
    <xf numFmtId="0" fontId="31" fillId="0" borderId="80" applyNumberFormat="0" applyFill="0" applyAlignment="0" applyProtection="0"/>
    <xf numFmtId="0" fontId="28" fillId="0" borderId="82"/>
    <xf numFmtId="0" fontId="48" fillId="12" borderId="75" applyNumberFormat="0" applyAlignment="0" applyProtection="0"/>
    <xf numFmtId="0" fontId="31" fillId="0" borderId="80" applyNumberFormat="0" applyFill="0" applyAlignment="0" applyProtection="0"/>
    <xf numFmtId="0" fontId="28" fillId="10" borderId="154" applyNumberFormat="0" applyFont="0" applyAlignment="0" applyProtection="0"/>
    <xf numFmtId="0" fontId="48" fillId="24" borderId="102" applyNumberFormat="0" applyAlignment="0" applyProtection="0"/>
    <xf numFmtId="0" fontId="41" fillId="13" borderId="84" applyNumberFormat="0" applyAlignment="0" applyProtection="0"/>
    <xf numFmtId="0" fontId="31" fillId="0" borderId="163" applyNumberFormat="0" applyFill="0" applyAlignment="0" applyProtection="0"/>
    <xf numFmtId="0" fontId="8" fillId="10" borderId="85" applyNumberFormat="0" applyFont="0" applyAlignment="0" applyProtection="0"/>
    <xf numFmtId="0" fontId="49" fillId="10" borderId="85" applyNumberFormat="0" applyFont="0" applyAlignment="0" applyProtection="0"/>
    <xf numFmtId="0" fontId="24" fillId="24" borderId="196" applyNumberFormat="0" applyAlignment="0" applyProtection="0"/>
    <xf numFmtId="0" fontId="8" fillId="10" borderId="177" applyNumberFormat="0" applyFont="0" applyAlignment="0" applyProtection="0"/>
    <xf numFmtId="0" fontId="29" fillId="12" borderId="146" applyNumberFormat="0" applyAlignment="0" applyProtection="0"/>
    <xf numFmtId="0" fontId="25" fillId="13" borderId="194" applyNumberFormat="0" applyAlignment="0" applyProtection="0"/>
    <xf numFmtId="0" fontId="29" fillId="12" borderId="193" applyNumberFormat="0" applyAlignment="0" applyProtection="0"/>
    <xf numFmtId="0" fontId="48" fillId="12" borderId="102" applyNumberFormat="0" applyAlignment="0" applyProtection="0"/>
    <xf numFmtId="0" fontId="28" fillId="10" borderId="103" applyNumberFormat="0" applyFont="0" applyAlignment="0" applyProtection="0"/>
    <xf numFmtId="0" fontId="28" fillId="10" borderId="103" applyNumberFormat="0" applyFont="0" applyAlignment="0" applyProtection="0"/>
    <xf numFmtId="0" fontId="25" fillId="13" borderId="102" applyNumberFormat="0" applyAlignment="0" applyProtection="0"/>
    <xf numFmtId="0" fontId="29" fillId="24" borderId="101" applyNumberFormat="0" applyAlignment="0" applyProtection="0"/>
    <xf numFmtId="0" fontId="73" fillId="0" borderId="106" applyBorder="0">
      <alignment horizontal="center" vertical="center" wrapText="1"/>
    </xf>
    <xf numFmtId="0" fontId="85" fillId="0" borderId="99"/>
    <xf numFmtId="0" fontId="25" fillId="13" borderId="167" applyNumberFormat="0" applyAlignment="0" applyProtection="0"/>
    <xf numFmtId="0" fontId="31" fillId="0" borderId="166" applyNumberFormat="0" applyFill="0" applyAlignment="0" applyProtection="0"/>
    <xf numFmtId="0" fontId="28" fillId="10" borderId="177" applyNumberFormat="0" applyFont="0" applyAlignment="0" applyProtection="0"/>
    <xf numFmtId="0" fontId="41" fillId="13" borderId="134" applyNumberFormat="0" applyAlignment="0" applyProtection="0"/>
    <xf numFmtId="0" fontId="73" fillId="0" borderId="152" applyBorder="0">
      <alignment horizontal="center" vertical="center" wrapText="1"/>
    </xf>
    <xf numFmtId="0" fontId="28" fillId="10" borderId="177" applyNumberFormat="0" applyFont="0" applyAlignment="0" applyProtection="0"/>
    <xf numFmtId="0" fontId="48" fillId="24" borderId="187" applyNumberFormat="0" applyAlignment="0" applyProtection="0"/>
    <xf numFmtId="0" fontId="31" fillId="0" borderId="158" applyNumberFormat="0" applyFill="0" applyAlignment="0" applyProtection="0"/>
    <xf numFmtId="0" fontId="48" fillId="12" borderId="194" applyNumberFormat="0" applyAlignment="0" applyProtection="0"/>
    <xf numFmtId="0" fontId="16" fillId="24" borderId="118" applyNumberFormat="0" applyAlignment="0" applyProtection="0"/>
    <xf numFmtId="0" fontId="48" fillId="24" borderId="118" applyNumberFormat="0" applyAlignment="0" applyProtection="0"/>
    <xf numFmtId="0" fontId="31" fillId="0" borderId="123" applyNumberFormat="0" applyFill="0" applyAlignment="0" applyProtection="0"/>
    <xf numFmtId="0" fontId="8" fillId="10" borderId="119" applyNumberFormat="0" applyFont="0" applyAlignment="0" applyProtection="0"/>
    <xf numFmtId="0" fontId="31" fillId="0" borderId="123" applyNumberFormat="0" applyFill="0" applyAlignment="0" applyProtection="0"/>
    <xf numFmtId="0" fontId="31" fillId="0" borderId="171" applyNumberFormat="0" applyFill="0" applyAlignment="0" applyProtection="0"/>
    <xf numFmtId="0" fontId="29" fillId="24" borderId="170" applyNumberFormat="0" applyAlignment="0" applyProtection="0"/>
    <xf numFmtId="0" fontId="49" fillId="10" borderId="195" applyNumberFormat="0" applyFont="0" applyAlignment="0" applyProtection="0"/>
    <xf numFmtId="0" fontId="31" fillId="0" borderId="166" applyNumberFormat="0" applyFill="0" applyAlignment="0" applyProtection="0"/>
    <xf numFmtId="0" fontId="16" fillId="24" borderId="118" applyNumberFormat="0" applyAlignment="0" applyProtection="0"/>
    <xf numFmtId="0" fontId="29" fillId="12" borderId="170" applyNumberFormat="0" applyAlignment="0" applyProtection="0"/>
    <xf numFmtId="0" fontId="29" fillId="24" borderId="146" applyNumberFormat="0" applyAlignment="0" applyProtection="0"/>
    <xf numFmtId="0" fontId="31" fillId="0" borderId="172" applyNumberFormat="0" applyFill="0" applyAlignment="0" applyProtection="0"/>
    <xf numFmtId="0" fontId="16" fillId="24" borderId="167" applyNumberFormat="0" applyAlignment="0" applyProtection="0"/>
    <xf numFmtId="0" fontId="31" fillId="0" borderId="142" applyNumberFormat="0" applyFill="0" applyAlignment="0" applyProtection="0"/>
    <xf numFmtId="0" fontId="31" fillId="0" borderId="151" applyNumberFormat="0" applyFill="0" applyAlignment="0" applyProtection="0"/>
    <xf numFmtId="0" fontId="25" fillId="8" borderId="194" applyNumberFormat="0" applyAlignment="0" applyProtection="0"/>
    <xf numFmtId="0" fontId="31" fillId="0" borderId="123" applyNumberFormat="0" applyFill="0" applyAlignment="0" applyProtection="0"/>
    <xf numFmtId="0" fontId="31" fillId="0" borderId="116" applyNumberFormat="0" applyFill="0" applyAlignment="0" applyProtection="0"/>
    <xf numFmtId="0" fontId="16" fillId="24" borderId="167" applyNumberFormat="0" applyAlignment="0" applyProtection="0"/>
    <xf numFmtId="0" fontId="28" fillId="10" borderId="195" applyNumberFormat="0" applyFont="0" applyAlignment="0" applyProtection="0"/>
    <xf numFmtId="0" fontId="28" fillId="10" borderId="135" applyNumberFormat="0" applyFont="0" applyAlignment="0" applyProtection="0"/>
    <xf numFmtId="0" fontId="8" fillId="45" borderId="186" applyNumberFormat="0" applyFont="0" applyAlignment="0" applyProtection="0"/>
    <xf numFmtId="0" fontId="16" fillId="24" borderId="143" applyNumberFormat="0" applyAlignment="0" applyProtection="0"/>
    <xf numFmtId="0" fontId="48" fillId="24" borderId="143" applyNumberFormat="0" applyAlignment="0" applyProtection="0"/>
    <xf numFmtId="0" fontId="28" fillId="10" borderId="144" applyNumberFormat="0" applyFont="0" applyAlignment="0" applyProtection="0"/>
    <xf numFmtId="0" fontId="18" fillId="10" borderId="154" applyNumberFormat="0" applyFont="0" applyAlignment="0" applyProtection="0"/>
    <xf numFmtId="0" fontId="18" fillId="10" borderId="195" applyNumberFormat="0" applyFont="0" applyAlignment="0" applyProtection="0"/>
    <xf numFmtId="0" fontId="8" fillId="10" borderId="144" applyNumberFormat="0" applyFont="0" applyAlignment="0" applyProtection="0"/>
    <xf numFmtId="0" fontId="8" fillId="10" borderId="195" applyNumberFormat="0" applyFont="0" applyAlignment="0" applyProtection="0"/>
    <xf numFmtId="0" fontId="49" fillId="10" borderId="103" applyNumberFormat="0" applyFont="0" applyAlignment="0" applyProtection="0"/>
    <xf numFmtId="0" fontId="48" fillId="12" borderId="102" applyNumberFormat="0" applyAlignment="0" applyProtection="0"/>
    <xf numFmtId="0" fontId="31" fillId="0" borderId="108" applyNumberFormat="0" applyFill="0" applyAlignment="0" applyProtection="0"/>
    <xf numFmtId="0" fontId="31" fillId="0" borderId="105" applyNumberFormat="0" applyFill="0" applyAlignment="0" applyProtection="0"/>
    <xf numFmtId="0" fontId="48" fillId="12" borderId="102" applyNumberFormat="0" applyAlignment="0" applyProtection="0"/>
    <xf numFmtId="0" fontId="25" fillId="13" borderId="102" applyNumberFormat="0" applyAlignment="0" applyProtection="0"/>
    <xf numFmtId="0" fontId="29" fillId="24" borderId="101" applyNumberFormat="0" applyAlignment="0" applyProtection="0"/>
    <xf numFmtId="0" fontId="18" fillId="10" borderId="103" applyNumberFormat="0" applyFont="0" applyAlignment="0" applyProtection="0"/>
    <xf numFmtId="0" fontId="48" fillId="12" borderId="102" applyNumberFormat="0" applyAlignment="0" applyProtection="0"/>
    <xf numFmtId="0" fontId="16" fillId="24" borderId="143" applyNumberFormat="0" applyAlignment="0" applyProtection="0"/>
    <xf numFmtId="0" fontId="31" fillId="0" borderId="148" applyNumberFormat="0" applyFill="0" applyAlignment="0" applyProtection="0"/>
    <xf numFmtId="0" fontId="31" fillId="0" borderId="166" applyNumberFormat="0" applyFill="0" applyAlignment="0" applyProtection="0"/>
    <xf numFmtId="0" fontId="16" fillId="24" borderId="167" applyNumberFormat="0" applyAlignment="0" applyProtection="0"/>
    <xf numFmtId="0" fontId="85" fillId="73" borderId="174"/>
    <xf numFmtId="0" fontId="49" fillId="10" borderId="195" applyNumberFormat="0" applyFont="0" applyAlignment="0" applyProtection="0"/>
    <xf numFmtId="0" fontId="31" fillId="0" borderId="158" applyNumberFormat="0" applyFill="0" applyAlignment="0" applyProtection="0"/>
    <xf numFmtId="0" fontId="48" fillId="12" borderId="167" applyNumberFormat="0" applyAlignment="0" applyProtection="0"/>
    <xf numFmtId="0" fontId="48" fillId="24" borderId="167" applyNumberFormat="0" applyAlignment="0" applyProtection="0"/>
    <xf numFmtId="0" fontId="31" fillId="0" borderId="142" applyNumberFormat="0" applyFill="0" applyAlignment="0" applyProtection="0"/>
    <xf numFmtId="0" fontId="41" fillId="13" borderId="143" applyNumberFormat="0" applyAlignment="0" applyProtection="0"/>
    <xf numFmtId="0" fontId="18" fillId="10" borderId="177" applyNumberFormat="0" applyFont="0" applyAlignment="0" applyProtection="0"/>
    <xf numFmtId="0" fontId="31" fillId="0" borderId="192" applyNumberFormat="0" applyFill="0" applyAlignment="0" applyProtection="0"/>
    <xf numFmtId="0" fontId="31" fillId="0" borderId="121" applyNumberFormat="0" applyFill="0" applyAlignment="0" applyProtection="0"/>
    <xf numFmtId="0" fontId="29" fillId="24" borderId="117" applyNumberFormat="0" applyAlignment="0" applyProtection="0"/>
    <xf numFmtId="0" fontId="31" fillId="0" borderId="121" applyNumberFormat="0" applyFill="0" applyAlignment="0" applyProtection="0"/>
    <xf numFmtId="0" fontId="85" fillId="0" borderId="124"/>
    <xf numFmtId="0" fontId="24" fillId="24" borderId="120" applyNumberFormat="0" applyAlignment="0" applyProtection="0"/>
    <xf numFmtId="0" fontId="31" fillId="0" borderId="121" applyNumberFormat="0" applyFill="0" applyAlignment="0" applyProtection="0"/>
    <xf numFmtId="0" fontId="8" fillId="10" borderId="119" applyNumberFormat="0" applyFont="0" applyAlignment="0" applyProtection="0"/>
    <xf numFmtId="0" fontId="29" fillId="12" borderId="170" applyNumberFormat="0" applyAlignment="0" applyProtection="0"/>
    <xf numFmtId="0" fontId="49" fillId="10" borderId="168" applyNumberFormat="0" applyFont="0" applyAlignment="0" applyProtection="0"/>
    <xf numFmtId="0" fontId="25" fillId="13" borderId="167" applyNumberFormat="0" applyAlignment="0" applyProtection="0"/>
    <xf numFmtId="0" fontId="28" fillId="10" borderId="195" applyNumberFormat="0" applyFont="0" applyAlignment="0" applyProtection="0"/>
    <xf numFmtId="0" fontId="31" fillId="0" borderId="184" applyNumberFormat="0" applyFill="0" applyAlignment="0" applyProtection="0"/>
    <xf numFmtId="0" fontId="25" fillId="13" borderId="194" applyNumberFormat="0" applyAlignment="0" applyProtection="0"/>
    <xf numFmtId="0" fontId="25" fillId="8" borderId="143" applyNumberFormat="0" applyAlignment="0" applyProtection="0"/>
    <xf numFmtId="0" fontId="25" fillId="8" borderId="143" applyNumberFormat="0" applyAlignment="0" applyProtection="0"/>
    <xf numFmtId="0" fontId="31" fillId="0" borderId="172" applyNumberFormat="0" applyFill="0" applyAlignment="0" applyProtection="0"/>
    <xf numFmtId="0" fontId="25" fillId="13" borderId="160" applyNumberFormat="0" applyAlignment="0" applyProtection="0"/>
    <xf numFmtId="0" fontId="85" fillId="0" borderId="149"/>
    <xf numFmtId="0" fontId="28" fillId="0" borderId="149"/>
    <xf numFmtId="0" fontId="73" fillId="0" borderId="201" applyBorder="0">
      <alignment horizontal="center" vertical="center" wrapText="1"/>
    </xf>
    <xf numFmtId="0" fontId="29" fillId="12" borderId="170" applyNumberFormat="0" applyAlignment="0" applyProtection="0"/>
    <xf numFmtId="0" fontId="8" fillId="10" borderId="168" applyNumberFormat="0" applyFont="0" applyAlignment="0" applyProtection="0"/>
    <xf numFmtId="0" fontId="28" fillId="10" borderId="177" applyNumberFormat="0" applyFont="0" applyAlignment="0" applyProtection="0"/>
    <xf numFmtId="0" fontId="16" fillId="24" borderId="118" applyNumberFormat="0" applyAlignment="0" applyProtection="0"/>
    <xf numFmtId="0" fontId="29" fillId="24" borderId="117" applyNumberFormat="0" applyAlignment="0" applyProtection="0"/>
    <xf numFmtId="0" fontId="49" fillId="10" borderId="119" applyNumberFormat="0" applyFont="0" applyAlignment="0" applyProtection="0"/>
    <xf numFmtId="0" fontId="16" fillId="24" borderId="194" applyNumberFormat="0" applyAlignment="0" applyProtection="0"/>
    <xf numFmtId="0" fontId="29" fillId="24" borderId="91" applyNumberFormat="0" applyAlignment="0" applyProtection="0"/>
    <xf numFmtId="0" fontId="8" fillId="45" borderId="94" applyNumberFormat="0" applyFont="0" applyAlignment="0" applyProtection="0"/>
    <xf numFmtId="0" fontId="29" fillId="24" borderId="170" applyNumberFormat="0" applyAlignment="0" applyProtection="0"/>
    <xf numFmtId="0" fontId="18" fillId="10" borderId="85" applyNumberFormat="0" applyFont="0" applyAlignment="0" applyProtection="0"/>
    <xf numFmtId="0" fontId="48" fillId="12" borderId="167" applyNumberFormat="0" applyAlignment="0" applyProtection="0"/>
    <xf numFmtId="0" fontId="31" fillId="0" borderId="87" applyNumberFormat="0" applyFill="0" applyAlignment="0" applyProtection="0"/>
    <xf numFmtId="0" fontId="31" fillId="0" borderId="90" applyNumberFormat="0" applyFill="0" applyAlignment="0" applyProtection="0"/>
    <xf numFmtId="0" fontId="8" fillId="10" borderId="85" applyNumberFormat="0" applyFont="0" applyAlignment="0" applyProtection="0"/>
    <xf numFmtId="0" fontId="49" fillId="10" borderId="85" applyNumberFormat="0" applyFont="0" applyAlignment="0" applyProtection="0"/>
    <xf numFmtId="0" fontId="32" fillId="24" borderId="118" applyNumberFormat="0" applyAlignment="0" applyProtection="0"/>
    <xf numFmtId="0" fontId="31" fillId="0" borderId="93" applyNumberFormat="0" applyFill="0" applyAlignment="0" applyProtection="0"/>
    <xf numFmtId="0" fontId="31" fillId="0" borderId="172" applyNumberFormat="0" applyFill="0" applyAlignment="0" applyProtection="0"/>
    <xf numFmtId="0" fontId="8" fillId="10" borderId="85" applyNumberFormat="0" applyFont="0" applyAlignment="0" applyProtection="0"/>
    <xf numFmtId="0" fontId="18" fillId="10" borderId="85" applyNumberFormat="0" applyFont="0" applyAlignment="0" applyProtection="0"/>
    <xf numFmtId="0" fontId="8" fillId="10" borderId="177" applyNumberFormat="0" applyFont="0" applyAlignment="0" applyProtection="0"/>
    <xf numFmtId="0" fontId="24" fillId="24" borderId="86" applyNumberFormat="0" applyAlignment="0" applyProtection="0"/>
    <xf numFmtId="0" fontId="31" fillId="0" borderId="93" applyNumberFormat="0" applyFill="0" applyAlignment="0" applyProtection="0"/>
    <xf numFmtId="0" fontId="29" fillId="12" borderId="91" applyNumberFormat="0" applyAlignment="0" applyProtection="0"/>
    <xf numFmtId="0" fontId="85" fillId="0" borderId="88"/>
    <xf numFmtId="0" fontId="28" fillId="10" borderId="177" applyNumberFormat="0" applyFont="0" applyAlignment="0" applyProtection="0"/>
    <xf numFmtId="0" fontId="49" fillId="10" borderId="119" applyNumberFormat="0" applyFont="0" applyAlignment="0" applyProtection="0"/>
    <xf numFmtId="0" fontId="29" fillId="12" borderId="117" applyNumberFormat="0" applyAlignment="0" applyProtection="0"/>
    <xf numFmtId="0" fontId="48" fillId="24" borderId="118" applyNumberFormat="0" applyAlignment="0" applyProtection="0"/>
    <xf numFmtId="0" fontId="48" fillId="24" borderId="118" applyNumberFormat="0" applyAlignment="0" applyProtection="0"/>
    <xf numFmtId="0" fontId="49" fillId="10" borderId="195" applyNumberFormat="0" applyFont="0" applyAlignment="0" applyProtection="0"/>
    <xf numFmtId="0" fontId="28" fillId="10" borderId="195" applyNumberFormat="0" applyFont="0" applyAlignment="0" applyProtection="0"/>
    <xf numFmtId="0" fontId="31" fillId="0" borderId="163" applyNumberFormat="0" applyFill="0" applyAlignment="0" applyProtection="0"/>
    <xf numFmtId="0" fontId="31" fillId="0" borderId="130" applyNumberFormat="0" applyFill="0" applyAlignment="0" applyProtection="0"/>
    <xf numFmtId="0" fontId="28" fillId="10" borderId="128" applyNumberFormat="0" applyFont="0" applyAlignment="0" applyProtection="0"/>
    <xf numFmtId="0" fontId="25" fillId="13" borderId="127" applyNumberFormat="0" applyAlignment="0" applyProtection="0"/>
    <xf numFmtId="0" fontId="16" fillId="24" borderId="167" applyNumberFormat="0" applyAlignment="0" applyProtection="0"/>
    <xf numFmtId="0" fontId="32" fillId="24" borderId="127" applyNumberFormat="0" applyAlignment="0" applyProtection="0"/>
    <xf numFmtId="0" fontId="31" fillId="0" borderId="200" applyNumberFormat="0" applyFill="0" applyAlignment="0" applyProtection="0"/>
    <xf numFmtId="0" fontId="48" fillId="12" borderId="118" applyNumberFormat="0" applyAlignment="0" applyProtection="0"/>
    <xf numFmtId="0" fontId="16" fillId="24" borderId="118" applyNumberFormat="0" applyAlignment="0" applyProtection="0"/>
    <xf numFmtId="0" fontId="31" fillId="0" borderId="121" applyNumberFormat="0" applyFill="0" applyAlignment="0" applyProtection="0"/>
    <xf numFmtId="0" fontId="41" fillId="13" borderId="118" applyNumberFormat="0" applyAlignment="0" applyProtection="0"/>
    <xf numFmtId="0" fontId="8" fillId="10" borderId="119" applyNumberFormat="0" applyFont="0" applyAlignment="0" applyProtection="0"/>
    <xf numFmtId="0" fontId="29" fillId="24" borderId="170" applyNumberFormat="0" applyAlignment="0" applyProtection="0"/>
    <xf numFmtId="0" fontId="48" fillId="24" borderId="118" applyNumberFormat="0" applyAlignment="0" applyProtection="0"/>
    <xf numFmtId="0" fontId="48" fillId="12" borderId="143" applyNumberFormat="0" applyAlignment="0" applyProtection="0"/>
    <xf numFmtId="0" fontId="29" fillId="24" borderId="193" applyNumberFormat="0" applyAlignment="0" applyProtection="0"/>
    <xf numFmtId="0" fontId="31" fillId="0" borderId="147" applyNumberFormat="0" applyFill="0" applyAlignment="0" applyProtection="0"/>
    <xf numFmtId="0" fontId="28" fillId="0" borderId="174"/>
    <xf numFmtId="0" fontId="16" fillId="24" borderId="127" applyNumberFormat="0" applyAlignment="0" applyProtection="0"/>
    <xf numFmtId="0" fontId="31" fillId="0" borderId="147" applyNumberFormat="0" applyFill="0" applyAlignment="0" applyProtection="0"/>
    <xf numFmtId="0" fontId="8" fillId="10" borderId="168" applyNumberFormat="0" applyFont="0" applyAlignment="0" applyProtection="0"/>
    <xf numFmtId="0" fontId="24" fillId="24" borderId="196" applyNumberFormat="0" applyAlignment="0" applyProtection="0"/>
    <xf numFmtId="0" fontId="31" fillId="0" borderId="200" applyNumberFormat="0" applyFill="0" applyAlignment="0" applyProtection="0"/>
    <xf numFmtId="0" fontId="29" fillId="24" borderId="193" applyNumberFormat="0" applyAlignment="0" applyProtection="0"/>
    <xf numFmtId="0" fontId="31" fillId="0" borderId="185" applyNumberFormat="0" applyFill="0" applyAlignment="0" applyProtection="0"/>
    <xf numFmtId="0" fontId="16" fillId="24" borderId="187" applyNumberFormat="0" applyAlignment="0" applyProtection="0"/>
    <xf numFmtId="0" fontId="85" fillId="0" borderId="149"/>
    <xf numFmtId="0" fontId="48" fillId="12" borderId="167" applyNumberFormat="0" applyAlignment="0" applyProtection="0"/>
    <xf numFmtId="0" fontId="28" fillId="0" borderId="174"/>
    <xf numFmtId="0" fontId="8" fillId="10" borderId="195" applyNumberFormat="0" applyFont="0" applyAlignment="0" applyProtection="0"/>
    <xf numFmtId="0" fontId="48" fillId="24" borderId="167" applyNumberFormat="0" applyAlignment="0" applyProtection="0"/>
    <xf numFmtId="0" fontId="73" fillId="0" borderId="173" applyBorder="0">
      <alignment horizontal="center" vertical="center" wrapText="1"/>
    </xf>
    <xf numFmtId="0" fontId="25" fillId="13" borderId="118" applyNumberFormat="0" applyAlignment="0" applyProtection="0"/>
    <xf numFmtId="0" fontId="31" fillId="0" borderId="200" applyNumberFormat="0" applyFill="0" applyAlignment="0" applyProtection="0"/>
    <xf numFmtId="0" fontId="28" fillId="0" borderId="191"/>
    <xf numFmtId="0" fontId="73" fillId="0" borderId="141" applyBorder="0">
      <alignment horizontal="center" vertical="center" wrapText="1"/>
    </xf>
    <xf numFmtId="0" fontId="85" fillId="0" borderId="191"/>
    <xf numFmtId="0" fontId="48" fillId="12" borderId="167" applyNumberFormat="0" applyAlignment="0" applyProtection="0"/>
    <xf numFmtId="0" fontId="8" fillId="10" borderId="168" applyNumberFormat="0" applyFont="0" applyAlignment="0" applyProtection="0"/>
    <xf numFmtId="0" fontId="31" fillId="0" borderId="166" applyNumberFormat="0" applyFill="0" applyAlignment="0" applyProtection="0"/>
    <xf numFmtId="0" fontId="49" fillId="10" borderId="195" applyNumberFormat="0" applyFont="0" applyAlignment="0" applyProtection="0"/>
    <xf numFmtId="0" fontId="29" fillId="24" borderId="117" applyNumberFormat="0" applyAlignment="0" applyProtection="0"/>
    <xf numFmtId="0" fontId="32" fillId="24" borderId="167" applyNumberFormat="0" applyAlignment="0" applyProtection="0"/>
    <xf numFmtId="0" fontId="24" fillId="24" borderId="136" applyNumberFormat="0" applyAlignment="0" applyProtection="0"/>
    <xf numFmtId="0" fontId="31" fillId="0" borderId="123" applyNumberFormat="0" applyFill="0" applyAlignment="0" applyProtection="0"/>
    <xf numFmtId="0" fontId="32" fillId="24" borderId="143" applyNumberFormat="0" applyAlignment="0" applyProtection="0"/>
    <xf numFmtId="0" fontId="24" fillId="24" borderId="189" applyNumberFormat="0" applyAlignment="0" applyProtection="0"/>
    <xf numFmtId="0" fontId="48" fillId="12" borderId="143" applyNumberFormat="0" applyAlignment="0" applyProtection="0"/>
    <xf numFmtId="0" fontId="48" fillId="24" borderId="194" applyNumberFormat="0" applyAlignment="0" applyProtection="0"/>
    <xf numFmtId="0" fontId="32" fillId="24" borderId="143" applyNumberFormat="0" applyAlignment="0" applyProtection="0"/>
    <xf numFmtId="0" fontId="8" fillId="45" borderId="150" applyNumberFormat="0" applyFont="0" applyAlignment="0" applyProtection="0"/>
    <xf numFmtId="0" fontId="31" fillId="0" borderId="151" applyNumberFormat="0" applyFill="0" applyAlignment="0" applyProtection="0"/>
    <xf numFmtId="0" fontId="29" fillId="24" borderId="193" applyNumberFormat="0" applyAlignment="0" applyProtection="0"/>
    <xf numFmtId="0" fontId="49" fillId="10" borderId="177" applyNumberFormat="0" applyFont="0" applyAlignment="0" applyProtection="0"/>
    <xf numFmtId="0" fontId="48" fillId="24" borderId="102" applyNumberFormat="0" applyAlignment="0" applyProtection="0"/>
    <xf numFmtId="0" fontId="31" fillId="0" borderId="108" applyNumberFormat="0" applyFill="0" applyAlignment="0" applyProtection="0"/>
    <xf numFmtId="0" fontId="49" fillId="10" borderId="103" applyNumberFormat="0" applyFont="0" applyAlignment="0" applyProtection="0"/>
    <xf numFmtId="0" fontId="41" fillId="13" borderId="102" applyNumberFormat="0" applyAlignment="0" applyProtection="0"/>
    <xf numFmtId="0" fontId="25" fillId="13" borderId="102" applyNumberFormat="0" applyAlignment="0" applyProtection="0"/>
    <xf numFmtId="0" fontId="73" fillId="0" borderId="106" applyBorder="0">
      <alignment horizontal="center" vertical="center" wrapText="1"/>
    </xf>
    <xf numFmtId="0" fontId="29" fillId="12" borderId="146" applyNumberFormat="0" applyAlignment="0" applyProtection="0"/>
    <xf numFmtId="0" fontId="32" fillId="24" borderId="143" applyNumberFormat="0" applyAlignment="0" applyProtection="0"/>
    <xf numFmtId="0" fontId="31" fillId="0" borderId="197" applyNumberFormat="0" applyFill="0" applyAlignment="0" applyProtection="0"/>
    <xf numFmtId="0" fontId="31" fillId="0" borderId="171" applyNumberFormat="0" applyFill="0" applyAlignment="0" applyProtection="0"/>
    <xf numFmtId="0" fontId="8" fillId="10" borderId="177" applyNumberFormat="0" applyFont="0" applyAlignment="0" applyProtection="0"/>
    <xf numFmtId="0" fontId="31" fillId="0" borderId="185" applyNumberFormat="0" applyFill="0" applyAlignment="0" applyProtection="0"/>
    <xf numFmtId="0" fontId="31" fillId="0" borderId="151" applyNumberFormat="0" applyFill="0" applyAlignment="0" applyProtection="0"/>
    <xf numFmtId="0" fontId="16" fillId="24" borderId="143" applyNumberFormat="0" applyAlignment="0" applyProtection="0"/>
    <xf numFmtId="0" fontId="31" fillId="0" borderId="166" applyNumberFormat="0" applyFill="0" applyAlignment="0" applyProtection="0"/>
    <xf numFmtId="0" fontId="73" fillId="0" borderId="126" applyBorder="0">
      <alignment horizontal="center" vertical="center" wrapText="1"/>
    </xf>
    <xf numFmtId="0" fontId="41" fillId="13" borderId="118" applyNumberFormat="0" applyAlignment="0" applyProtection="0"/>
    <xf numFmtId="0" fontId="16" fillId="24" borderId="118" applyNumberFormat="0" applyAlignment="0" applyProtection="0"/>
    <xf numFmtId="0" fontId="48" fillId="12" borderId="118" applyNumberFormat="0" applyAlignment="0" applyProtection="0"/>
    <xf numFmtId="0" fontId="73" fillId="0" borderId="201" applyBorder="0">
      <alignment horizontal="center" vertical="center" wrapText="1"/>
    </xf>
    <xf numFmtId="0" fontId="31" fillId="0" borderId="172" applyNumberFormat="0" applyFill="0" applyAlignment="0" applyProtection="0"/>
    <xf numFmtId="0" fontId="28" fillId="0" borderId="191"/>
    <xf numFmtId="0" fontId="48" fillId="24" borderId="203" applyNumberFormat="0" applyAlignment="0" applyProtection="0"/>
    <xf numFmtId="0" fontId="28" fillId="0" borderId="191"/>
    <xf numFmtId="0" fontId="85" fillId="0" borderId="180"/>
    <xf numFmtId="0" fontId="24" fillId="24" borderId="162" applyNumberFormat="0" applyAlignment="0" applyProtection="0"/>
    <xf numFmtId="0" fontId="28" fillId="0" borderId="149"/>
    <xf numFmtId="0" fontId="25" fillId="13" borderId="143" applyNumberFormat="0" applyAlignment="0" applyProtection="0"/>
    <xf numFmtId="0" fontId="73" fillId="0" borderId="141" applyBorder="0">
      <alignment horizontal="center" vertical="center" wrapText="1"/>
    </xf>
    <xf numFmtId="0" fontId="85" fillId="73" borderId="174"/>
    <xf numFmtId="0" fontId="31" fillId="0" borderId="192" applyNumberFormat="0" applyFill="0" applyAlignment="0" applyProtection="0"/>
    <xf numFmtId="0" fontId="31" fillId="0" borderId="158" applyNumberFormat="0" applyFill="0" applyAlignment="0" applyProtection="0"/>
    <xf numFmtId="0" fontId="31" fillId="0" borderId="197" applyNumberFormat="0" applyFill="0" applyAlignment="0" applyProtection="0"/>
    <xf numFmtId="0" fontId="85" fillId="0" borderId="191"/>
    <xf numFmtId="0" fontId="28" fillId="0" borderId="124"/>
    <xf numFmtId="0" fontId="32" fillId="24" borderId="118" applyNumberFormat="0" applyAlignment="0" applyProtection="0"/>
    <xf numFmtId="0" fontId="28" fillId="10" borderId="85" applyNumberFormat="0" applyFont="0" applyAlignment="0" applyProtection="0"/>
    <xf numFmtId="0" fontId="49" fillId="10" borderId="85" applyNumberFormat="0" applyFont="0" applyAlignment="0" applyProtection="0"/>
    <xf numFmtId="0" fontId="29" fillId="12" borderId="170" applyNumberFormat="0" applyAlignment="0" applyProtection="0"/>
    <xf numFmtId="0" fontId="31" fillId="0" borderId="90" applyNumberFormat="0" applyFill="0" applyAlignment="0" applyProtection="0"/>
    <xf numFmtId="0" fontId="31" fillId="0" borderId="93" applyNumberFormat="0" applyFill="0" applyAlignment="0" applyProtection="0"/>
    <xf numFmtId="0" fontId="31" fillId="0" borderId="171" applyNumberFormat="0" applyFill="0" applyAlignment="0" applyProtection="0"/>
    <xf numFmtId="0" fontId="29" fillId="12" borderId="91" applyNumberFormat="0" applyAlignment="0" applyProtection="0"/>
    <xf numFmtId="0" fontId="29" fillId="24" borderId="91" applyNumberFormat="0" applyAlignment="0" applyProtection="0"/>
    <xf numFmtId="0" fontId="31" fillId="0" borderId="123" applyNumberFormat="0" applyFill="0" applyAlignment="0" applyProtection="0"/>
    <xf numFmtId="0" fontId="28" fillId="0" borderId="180"/>
    <xf numFmtId="0" fontId="8" fillId="10" borderId="119" applyNumberFormat="0" applyFont="0" applyAlignment="0" applyProtection="0"/>
    <xf numFmtId="0" fontId="48" fillId="12" borderId="118" applyNumberFormat="0" applyAlignment="0" applyProtection="0"/>
    <xf numFmtId="0" fontId="28" fillId="10" borderId="177" applyNumberFormat="0" applyFont="0" applyAlignment="0" applyProtection="0"/>
    <xf numFmtId="0" fontId="85" fillId="0" borderId="174"/>
    <xf numFmtId="0" fontId="18" fillId="10" borderId="103" applyNumberFormat="0" applyFont="0" applyAlignment="0" applyProtection="0"/>
    <xf numFmtId="0" fontId="16" fillId="24" borderId="102" applyNumberFormat="0" applyAlignment="0" applyProtection="0"/>
    <xf numFmtId="0" fontId="31" fillId="0" borderId="107" applyNumberFormat="0" applyFill="0" applyAlignment="0" applyProtection="0"/>
    <xf numFmtId="0" fontId="41" fillId="13" borderId="118" applyNumberFormat="0" applyAlignment="0" applyProtection="0"/>
    <xf numFmtId="0" fontId="31" fillId="0" borderId="87" applyNumberFormat="0" applyFill="0" applyAlignment="0" applyProtection="0"/>
    <xf numFmtId="0" fontId="31" fillId="0" borderId="93" applyNumberFormat="0" applyFill="0" applyAlignment="0" applyProtection="0"/>
    <xf numFmtId="0" fontId="29" fillId="24" borderId="91" applyNumberFormat="0" applyAlignment="0" applyProtection="0"/>
    <xf numFmtId="0" fontId="18" fillId="10" borderId="85" applyNumberFormat="0" applyFont="0" applyAlignment="0" applyProtection="0"/>
    <xf numFmtId="0" fontId="8" fillId="10" borderId="144" applyNumberFormat="0" applyFont="0" applyAlignment="0" applyProtection="0"/>
    <xf numFmtId="0" fontId="49" fillId="10" borderId="119" applyNumberFormat="0" applyFont="0" applyAlignment="0" applyProtection="0"/>
    <xf numFmtId="0" fontId="48" fillId="12" borderId="118" applyNumberFormat="0" applyAlignment="0" applyProtection="0"/>
    <xf numFmtId="0" fontId="29" fillId="24" borderId="117" applyNumberFormat="0" applyAlignment="0" applyProtection="0"/>
    <xf numFmtId="0" fontId="29" fillId="24" borderId="117" applyNumberFormat="0" applyAlignment="0" applyProtection="0"/>
    <xf numFmtId="0" fontId="25" fillId="8" borderId="143" applyNumberFormat="0" applyAlignment="0" applyProtection="0"/>
    <xf numFmtId="0" fontId="29" fillId="24" borderId="101" applyNumberFormat="0" applyAlignment="0" applyProtection="0"/>
    <xf numFmtId="0" fontId="28" fillId="10" borderId="168" applyNumberFormat="0" applyFont="0" applyAlignment="0" applyProtection="0"/>
    <xf numFmtId="0" fontId="25" fillId="13" borderId="167" applyNumberFormat="0" applyAlignment="0" applyProtection="0"/>
    <xf numFmtId="0" fontId="31" fillId="0" borderId="192" applyNumberFormat="0" applyFill="0" applyAlignment="0" applyProtection="0"/>
    <xf numFmtId="0" fontId="25" fillId="13" borderId="102" applyNumberFormat="0" applyAlignment="0" applyProtection="0"/>
    <xf numFmtId="0" fontId="8" fillId="10" borderId="135" applyNumberFormat="0" applyFont="0" applyAlignment="0" applyProtection="0"/>
    <xf numFmtId="0" fontId="31" fillId="0" borderId="147" applyNumberFormat="0" applyFill="0" applyAlignment="0" applyProtection="0"/>
    <xf numFmtId="0" fontId="31" fillId="0" borderId="92" applyNumberFormat="0" applyFill="0" applyAlignment="0" applyProtection="0"/>
    <xf numFmtId="0" fontId="48" fillId="24" borderId="143" applyNumberFormat="0" applyAlignment="0" applyProtection="0"/>
    <xf numFmtId="0" fontId="29" fillId="24" borderId="101" applyNumberFormat="0" applyAlignment="0" applyProtection="0"/>
    <xf numFmtId="0" fontId="29" fillId="24" borderId="101" applyNumberFormat="0" applyAlignment="0" applyProtection="0"/>
    <xf numFmtId="0" fontId="16" fillId="24" borderId="143" applyNumberFormat="0" applyAlignment="0" applyProtection="0"/>
    <xf numFmtId="0" fontId="48" fillId="12" borderId="102" applyNumberFormat="0" applyAlignment="0" applyProtection="0"/>
    <xf numFmtId="0" fontId="73" fillId="0" borderId="89" applyBorder="0">
      <alignment horizontal="center" vertical="center" wrapText="1"/>
    </xf>
    <xf numFmtId="0" fontId="31" fillId="0" borderId="108" applyNumberFormat="0" applyFill="0" applyAlignment="0" applyProtection="0"/>
    <xf numFmtId="0" fontId="29" fillId="24" borderId="101" applyNumberFormat="0" applyAlignment="0" applyProtection="0"/>
    <xf numFmtId="0" fontId="48" fillId="12" borderId="134" applyNumberFormat="0" applyAlignment="0" applyProtection="0"/>
    <xf numFmtId="0" fontId="28" fillId="0" borderId="149"/>
    <xf numFmtId="0" fontId="48" fillId="24" borderId="194" applyNumberFormat="0" applyAlignment="0" applyProtection="0"/>
    <xf numFmtId="0" fontId="8" fillId="10" borderId="119" applyNumberFormat="0" applyFont="0" applyAlignment="0" applyProtection="0"/>
    <xf numFmtId="0" fontId="31" fillId="0" borderId="158" applyNumberFormat="0" applyFill="0" applyAlignment="0" applyProtection="0"/>
    <xf numFmtId="0" fontId="31" fillId="0" borderId="158" applyNumberFormat="0" applyFill="0" applyAlignment="0" applyProtection="0"/>
    <xf numFmtId="0" fontId="31" fillId="0" borderId="116" applyNumberFormat="0" applyFill="0" applyAlignment="0" applyProtection="0"/>
    <xf numFmtId="0" fontId="85" fillId="0" borderId="124"/>
    <xf numFmtId="0" fontId="25" fillId="13" borderId="127" applyNumberFormat="0" applyAlignment="0" applyProtection="0"/>
    <xf numFmtId="0" fontId="31" fillId="0" borderId="166" applyNumberFormat="0" applyFill="0" applyAlignment="0" applyProtection="0"/>
    <xf numFmtId="0" fontId="41" fillId="13" borderId="75" applyNumberFormat="0" applyAlignment="0" applyProtection="0"/>
    <xf numFmtId="0" fontId="8" fillId="10" borderId="76" applyNumberFormat="0" applyFont="0" applyAlignment="0" applyProtection="0"/>
    <xf numFmtId="0" fontId="31" fillId="0" borderId="79" applyNumberFormat="0" applyFill="0" applyAlignment="0" applyProtection="0"/>
    <xf numFmtId="0" fontId="31" fillId="0" borderId="80" applyNumberFormat="0" applyFill="0" applyAlignment="0" applyProtection="0"/>
    <xf numFmtId="0" fontId="32" fillId="24" borderId="75" applyNumberFormat="0" applyAlignment="0" applyProtection="0"/>
    <xf numFmtId="0" fontId="16" fillId="24" borderId="75" applyNumberFormat="0" applyAlignment="0" applyProtection="0"/>
    <xf numFmtId="0" fontId="25" fillId="13" borderId="75" applyNumberFormat="0" applyAlignment="0" applyProtection="0"/>
    <xf numFmtId="0" fontId="25" fillId="13" borderId="75" applyNumberFormat="0" applyAlignment="0" applyProtection="0"/>
    <xf numFmtId="0" fontId="29" fillId="24" borderId="78" applyNumberFormat="0" applyAlignment="0" applyProtection="0"/>
    <xf numFmtId="0" fontId="31" fillId="0" borderId="73" applyNumberFormat="0" applyFill="0" applyAlignment="0" applyProtection="0"/>
    <xf numFmtId="0" fontId="31" fillId="0" borderId="74" applyNumberFormat="0" applyFill="0" applyAlignment="0" applyProtection="0"/>
    <xf numFmtId="0" fontId="24" fillId="24" borderId="104" applyNumberFormat="0" applyAlignment="0" applyProtection="0"/>
    <xf numFmtId="0" fontId="41" fillId="13" borderId="102" applyNumberFormat="0" applyAlignment="0" applyProtection="0"/>
    <xf numFmtId="0" fontId="48" fillId="24" borderId="75" applyNumberFormat="0" applyAlignment="0" applyProtection="0"/>
    <xf numFmtId="0" fontId="31" fillId="0" borderId="147" applyNumberFormat="0" applyFill="0" applyAlignment="0" applyProtection="0"/>
    <xf numFmtId="0" fontId="8" fillId="45" borderId="175" applyNumberFormat="0" applyFont="0" applyAlignment="0" applyProtection="0"/>
    <xf numFmtId="0" fontId="16" fillId="24" borderId="167" applyNumberFormat="0" applyAlignment="0" applyProtection="0"/>
    <xf numFmtId="0" fontId="29" fillId="12" borderId="170" applyNumberFormat="0" applyAlignment="0" applyProtection="0"/>
    <xf numFmtId="0" fontId="29" fillId="24" borderId="193" applyNumberFormat="0" applyAlignment="0" applyProtection="0"/>
    <xf numFmtId="0" fontId="31" fillId="0" borderId="151" applyNumberFormat="0" applyFill="0" applyAlignment="0" applyProtection="0"/>
    <xf numFmtId="0" fontId="31" fillId="0" borderId="151" applyNumberFormat="0" applyFill="0" applyAlignment="0" applyProtection="0"/>
    <xf numFmtId="0" fontId="28" fillId="0" borderId="180"/>
    <xf numFmtId="0" fontId="29" fillId="12" borderId="193" applyNumberFormat="0" applyAlignment="0" applyProtection="0"/>
    <xf numFmtId="0" fontId="48" fillId="12" borderId="167" applyNumberFormat="0" applyAlignment="0" applyProtection="0"/>
    <xf numFmtId="0" fontId="32" fillId="24" borderId="102" applyNumberFormat="0" applyAlignment="0" applyProtection="0"/>
    <xf numFmtId="0" fontId="28" fillId="10" borderId="103" applyNumberFormat="0" applyFont="0" applyAlignment="0" applyProtection="0"/>
    <xf numFmtId="0" fontId="28" fillId="0" borderId="149"/>
    <xf numFmtId="0" fontId="24" fillId="24" borderId="196" applyNumberFormat="0" applyAlignment="0" applyProtection="0"/>
    <xf numFmtId="0" fontId="48" fillId="12" borderId="102" applyNumberFormat="0" applyAlignment="0" applyProtection="0"/>
    <xf numFmtId="0" fontId="31" fillId="0" borderId="107" applyNumberFormat="0" applyFill="0" applyAlignment="0" applyProtection="0"/>
    <xf numFmtId="0" fontId="73" fillId="0" borderId="106" applyBorder="0">
      <alignment horizontal="center" vertical="center" wrapText="1"/>
    </xf>
    <xf numFmtId="0" fontId="31" fillId="0" borderId="105" applyNumberFormat="0" applyFill="0" applyAlignment="0" applyProtection="0"/>
    <xf numFmtId="0" fontId="8" fillId="10" borderId="103" applyNumberFormat="0" applyFont="0" applyAlignment="0" applyProtection="0"/>
    <xf numFmtId="0" fontId="73" fillId="0" borderId="106" applyBorder="0">
      <alignment horizontal="center" vertical="center" wrapText="1"/>
    </xf>
    <xf numFmtId="0" fontId="31" fillId="0" borderId="100" applyNumberFormat="0" applyFill="0" applyAlignment="0" applyProtection="0"/>
    <xf numFmtId="0" fontId="48" fillId="12" borderId="102" applyNumberFormat="0" applyAlignment="0" applyProtection="0"/>
    <xf numFmtId="0" fontId="28" fillId="0" borderId="99"/>
    <xf numFmtId="0" fontId="31" fillId="0" borderId="100" applyNumberFormat="0" applyFill="0" applyAlignment="0" applyProtection="0"/>
    <xf numFmtId="0" fontId="16" fillId="24" borderId="102" applyNumberFormat="0" applyAlignment="0" applyProtection="0"/>
    <xf numFmtId="0" fontId="16" fillId="24" borderId="102" applyNumberFormat="0" applyAlignment="0" applyProtection="0"/>
    <xf numFmtId="0" fontId="49" fillId="10" borderId="103" applyNumberFormat="0" applyFont="0" applyAlignment="0" applyProtection="0"/>
    <xf numFmtId="0" fontId="8" fillId="45" borderId="110" applyNumberFormat="0" applyFont="0" applyAlignment="0" applyProtection="0"/>
    <xf numFmtId="0" fontId="48" fillId="12" borderId="102" applyNumberFormat="0" applyAlignment="0" applyProtection="0"/>
    <xf numFmtId="0" fontId="25" fillId="8" borderId="102" applyNumberFormat="0" applyAlignment="0" applyProtection="0"/>
    <xf numFmtId="0" fontId="31" fillId="0" borderId="100" applyNumberFormat="0" applyFill="0" applyAlignment="0" applyProtection="0"/>
    <xf numFmtId="0" fontId="28" fillId="0" borderId="180"/>
    <xf numFmtId="0" fontId="16" fillId="24" borderId="111" applyNumberFormat="0" applyAlignment="0" applyProtection="0"/>
    <xf numFmtId="0" fontId="16" fillId="24" borderId="111" applyNumberFormat="0" applyAlignment="0" applyProtection="0"/>
    <xf numFmtId="0" fontId="28" fillId="10" borderId="112" applyNumberFormat="0" applyFont="0" applyAlignment="0" applyProtection="0"/>
    <xf numFmtId="0" fontId="8" fillId="10" borderId="112" applyNumberFormat="0" applyFont="0" applyAlignment="0" applyProtection="0"/>
    <xf numFmtId="0" fontId="24" fillId="24" borderId="113" applyNumberFormat="0" applyAlignment="0" applyProtection="0"/>
    <xf numFmtId="0" fontId="31" fillId="0" borderId="114" applyNumberFormat="0" applyFill="0" applyAlignment="0" applyProtection="0"/>
    <xf numFmtId="0" fontId="25" fillId="8" borderId="194" applyNumberFormat="0" applyAlignment="0" applyProtection="0"/>
    <xf numFmtId="0" fontId="48" fillId="24" borderId="167" applyNumberFormat="0" applyAlignment="0" applyProtection="0"/>
    <xf numFmtId="0" fontId="8" fillId="45" borderId="175" applyNumberFormat="0" applyFont="0" applyAlignment="0" applyProtection="0"/>
    <xf numFmtId="0" fontId="73" fillId="0" borderId="152" applyBorder="0">
      <alignment horizontal="center" vertical="center" wrapText="1"/>
    </xf>
    <xf numFmtId="0" fontId="85" fillId="0" borderId="191"/>
    <xf numFmtId="0" fontId="31" fillId="0" borderId="163" applyNumberFormat="0" applyFill="0" applyAlignment="0" applyProtection="0"/>
    <xf numFmtId="0" fontId="49" fillId="10" borderId="168" applyNumberFormat="0" applyFont="0" applyAlignment="0" applyProtection="0"/>
    <xf numFmtId="0" fontId="29" fillId="24" borderId="101" applyNumberFormat="0" applyAlignment="0" applyProtection="0"/>
    <xf numFmtId="0" fontId="25" fillId="13" borderId="102" applyNumberFormat="0" applyAlignment="0" applyProtection="0"/>
    <xf numFmtId="0" fontId="31" fillId="0" borderId="105" applyNumberFormat="0" applyFill="0" applyAlignment="0" applyProtection="0"/>
    <xf numFmtId="0" fontId="31" fillId="0" borderId="108" applyNumberFormat="0" applyFill="0" applyAlignment="0" applyProtection="0"/>
    <xf numFmtId="0" fontId="29" fillId="12" borderId="101" applyNumberFormat="0" applyAlignment="0" applyProtection="0"/>
    <xf numFmtId="0" fontId="31" fillId="0" borderId="108" applyNumberFormat="0" applyFill="0" applyAlignment="0" applyProtection="0"/>
    <xf numFmtId="0" fontId="31" fillId="0" borderId="108" applyNumberFormat="0" applyFill="0" applyAlignment="0" applyProtection="0"/>
    <xf numFmtId="0" fontId="31" fillId="0" borderId="108" applyNumberFormat="0" applyFill="0" applyAlignment="0" applyProtection="0"/>
    <xf numFmtId="0" fontId="28" fillId="0" borderId="174"/>
    <xf numFmtId="0" fontId="85" fillId="0" borderId="191"/>
    <xf numFmtId="0" fontId="31" fillId="0" borderId="73" applyNumberFormat="0" applyFill="0" applyAlignment="0" applyProtection="0"/>
    <xf numFmtId="0" fontId="48" fillId="24" borderId="75" applyNumberFormat="0" applyAlignment="0" applyProtection="0"/>
    <xf numFmtId="0" fontId="41" fillId="13" borderId="75" applyNumberFormat="0" applyAlignment="0" applyProtection="0"/>
    <xf numFmtId="0" fontId="31" fillId="0" borderId="79" applyNumberFormat="0" applyFill="0" applyAlignment="0" applyProtection="0"/>
    <xf numFmtId="0" fontId="25" fillId="13" borderId="75" applyNumberFormat="0" applyAlignment="0" applyProtection="0"/>
    <xf numFmtId="0" fontId="8" fillId="10" borderId="76" applyNumberFormat="0" applyFont="0" applyAlignment="0" applyProtection="0"/>
    <xf numFmtId="0" fontId="28" fillId="10" borderId="76" applyNumberFormat="0" applyFont="0" applyAlignment="0" applyProtection="0"/>
    <xf numFmtId="0" fontId="48" fillId="24" borderId="75" applyNumberFormat="0" applyAlignment="0" applyProtection="0"/>
    <xf numFmtId="0" fontId="16" fillId="24" borderId="75" applyNumberFormat="0" applyAlignment="0" applyProtection="0"/>
    <xf numFmtId="0" fontId="31" fillId="0" borderId="73" applyNumberFormat="0" applyFill="0" applyAlignment="0" applyProtection="0"/>
    <xf numFmtId="0" fontId="28" fillId="10" borderId="76" applyNumberFormat="0" applyFont="0" applyAlignment="0" applyProtection="0"/>
    <xf numFmtId="0" fontId="31" fillId="0" borderId="79" applyNumberFormat="0" applyFill="0" applyAlignment="0" applyProtection="0"/>
    <xf numFmtId="0" fontId="49" fillId="10" borderId="76" applyNumberFormat="0" applyFont="0" applyAlignment="0" applyProtection="0"/>
    <xf numFmtId="0" fontId="8" fillId="45" borderId="83" applyNumberFormat="0" applyFont="0" applyAlignment="0" applyProtection="0"/>
    <xf numFmtId="0" fontId="85" fillId="0" borderId="82"/>
    <xf numFmtId="0" fontId="48" fillId="12" borderId="75" applyNumberFormat="0" applyAlignment="0" applyProtection="0"/>
    <xf numFmtId="0" fontId="29" fillId="12" borderId="78" applyNumberFormat="0" applyAlignment="0" applyProtection="0"/>
    <xf numFmtId="0" fontId="31" fillId="0" borderId="80" applyNumberFormat="0" applyFill="0" applyAlignment="0" applyProtection="0"/>
    <xf numFmtId="0" fontId="49" fillId="10" borderId="76" applyNumberFormat="0" applyFont="0" applyAlignment="0" applyProtection="0"/>
    <xf numFmtId="0" fontId="28" fillId="0" borderId="82"/>
    <xf numFmtId="0" fontId="31" fillId="0" borderId="79" applyNumberFormat="0" applyFill="0" applyAlignment="0" applyProtection="0"/>
    <xf numFmtId="0" fontId="85" fillId="0" borderId="82"/>
    <xf numFmtId="0" fontId="25" fillId="8" borderId="75" applyNumberFormat="0" applyAlignment="0" applyProtection="0"/>
    <xf numFmtId="0" fontId="29" fillId="12" borderId="78" applyNumberFormat="0" applyAlignment="0" applyProtection="0"/>
    <xf numFmtId="0" fontId="16" fillId="24" borderId="84" applyNumberFormat="0" applyAlignment="0" applyProtection="0"/>
    <xf numFmtId="0" fontId="16" fillId="24" borderId="84" applyNumberFormat="0" applyAlignment="0" applyProtection="0"/>
    <xf numFmtId="0" fontId="41" fillId="13" borderId="102" applyNumberFormat="0" applyAlignment="0" applyProtection="0"/>
    <xf numFmtId="0" fontId="25" fillId="13" borderId="84" applyNumberFormat="0" applyAlignment="0" applyProtection="0"/>
    <xf numFmtId="0" fontId="25" fillId="13" borderId="84" applyNumberFormat="0" applyAlignment="0" applyProtection="0"/>
    <xf numFmtId="0" fontId="41" fillId="13" borderId="84" applyNumberFormat="0" applyAlignment="0" applyProtection="0"/>
    <xf numFmtId="0" fontId="24" fillId="24" borderId="162" applyNumberFormat="0" applyAlignment="0" applyProtection="0"/>
    <xf numFmtId="0" fontId="31" fillId="0" borderId="165" applyNumberFormat="0" applyFill="0" applyAlignment="0" applyProtection="0"/>
    <xf numFmtId="0" fontId="31" fillId="0" borderId="132" applyNumberFormat="0" applyFill="0" applyAlignment="0" applyProtection="0"/>
    <xf numFmtId="0" fontId="28" fillId="10" borderId="85" applyNumberFormat="0" applyFont="0" applyAlignment="0" applyProtection="0"/>
    <xf numFmtId="0" fontId="24" fillId="24" borderId="86" applyNumberFormat="0" applyAlignment="0" applyProtection="0"/>
    <xf numFmtId="0" fontId="24" fillId="24" borderId="86" applyNumberFormat="0" applyAlignment="0" applyProtection="0"/>
    <xf numFmtId="0" fontId="25" fillId="13" borderId="194" applyNumberFormat="0" applyAlignment="0" applyProtection="0"/>
    <xf numFmtId="0" fontId="29" fillId="12" borderId="193" applyNumberFormat="0" applyAlignment="0" applyProtection="0"/>
    <xf numFmtId="0" fontId="31" fillId="0" borderId="140" applyNumberFormat="0" applyFill="0" applyAlignment="0" applyProtection="0"/>
    <xf numFmtId="0" fontId="29" fillId="12" borderId="146" applyNumberFormat="0" applyAlignment="0" applyProtection="0"/>
    <xf numFmtId="0" fontId="8" fillId="10" borderId="195" applyNumberFormat="0" applyFont="0" applyAlignment="0" applyProtection="0"/>
    <xf numFmtId="0" fontId="8" fillId="10" borderId="103" applyNumberFormat="0" applyFont="0" applyAlignment="0" applyProtection="0"/>
    <xf numFmtId="0" fontId="85" fillId="0" borderId="174"/>
    <xf numFmtId="0" fontId="31" fillId="0" borderId="100" applyNumberFormat="0" applyFill="0" applyAlignment="0" applyProtection="0"/>
    <xf numFmtId="0" fontId="31" fillId="0" borderId="100" applyNumberFormat="0" applyFill="0" applyAlignment="0" applyProtection="0"/>
    <xf numFmtId="0" fontId="28" fillId="10" borderId="103" applyNumberFormat="0" applyFont="0" applyAlignment="0" applyProtection="0"/>
    <xf numFmtId="0" fontId="31" fillId="0" borderId="100" applyNumberFormat="0" applyFill="0" applyAlignment="0" applyProtection="0"/>
    <xf numFmtId="0" fontId="8" fillId="10" borderId="103" applyNumberFormat="0" applyFont="0" applyAlignment="0" applyProtection="0"/>
    <xf numFmtId="0" fontId="16" fillId="24" borderId="102" applyNumberFormat="0" applyAlignment="0" applyProtection="0"/>
    <xf numFmtId="0" fontId="48" fillId="12" borderId="102" applyNumberFormat="0" applyAlignment="0" applyProtection="0"/>
    <xf numFmtId="0" fontId="16" fillId="24" borderId="102" applyNumberFormat="0" applyAlignment="0" applyProtection="0"/>
    <xf numFmtId="0" fontId="73" fillId="0" borderId="109" applyBorder="0">
      <alignment horizontal="center" vertical="center" wrapText="1"/>
    </xf>
    <xf numFmtId="0" fontId="28" fillId="10" borderId="103" applyNumberFormat="0" applyFont="0" applyAlignment="0" applyProtection="0"/>
    <xf numFmtId="0" fontId="28" fillId="0" borderId="99"/>
    <xf numFmtId="0" fontId="31" fillId="0" borderId="108" applyNumberFormat="0" applyFill="0" applyAlignment="0" applyProtection="0"/>
    <xf numFmtId="0" fontId="48" fillId="12" borderId="102" applyNumberFormat="0" applyAlignment="0" applyProtection="0"/>
    <xf numFmtId="0" fontId="48" fillId="24" borderId="102" applyNumberFormat="0" applyAlignment="0" applyProtection="0"/>
    <xf numFmtId="0" fontId="85" fillId="0" borderId="99"/>
    <xf numFmtId="0" fontId="31" fillId="0" borderId="100" applyNumberFormat="0" applyFill="0" applyAlignment="0" applyProtection="0"/>
    <xf numFmtId="0" fontId="31" fillId="0" borderId="192" applyNumberFormat="0" applyFill="0" applyAlignment="0" applyProtection="0"/>
    <xf numFmtId="0" fontId="29" fillId="12" borderId="146" applyNumberFormat="0" applyAlignment="0" applyProtection="0"/>
    <xf numFmtId="0" fontId="48" fillId="12" borderId="194" applyNumberFormat="0" applyAlignment="0" applyProtection="0"/>
    <xf numFmtId="0" fontId="8" fillId="45" borderId="202" applyNumberFormat="0" applyFont="0" applyAlignment="0" applyProtection="0"/>
    <xf numFmtId="0" fontId="31" fillId="0" borderId="158" applyNumberFormat="0" applyFill="0" applyAlignment="0" applyProtection="0"/>
    <xf numFmtId="0" fontId="8" fillId="45" borderId="186" applyNumberFormat="0" applyFont="0" applyAlignment="0" applyProtection="0"/>
    <xf numFmtId="0" fontId="31" fillId="0" borderId="192" applyNumberFormat="0" applyFill="0" applyAlignment="0" applyProtection="0"/>
    <xf numFmtId="0" fontId="48" fillId="12" borderId="167" applyNumberFormat="0" applyAlignment="0" applyProtection="0"/>
    <xf numFmtId="0" fontId="41" fillId="13" borderId="194" applyNumberFormat="0" applyAlignment="0" applyProtection="0"/>
    <xf numFmtId="0" fontId="29" fillId="12" borderId="193" applyNumberFormat="0" applyAlignment="0" applyProtection="0"/>
    <xf numFmtId="0" fontId="31" fillId="0" borderId="184" applyNumberFormat="0" applyFill="0" applyAlignment="0" applyProtection="0"/>
    <xf numFmtId="0" fontId="8" fillId="10" borderId="144" applyNumberFormat="0" applyFont="0" applyAlignment="0" applyProtection="0"/>
    <xf numFmtId="0" fontId="31" fillId="0" borderId="158" applyNumberFormat="0" applyFill="0" applyAlignment="0" applyProtection="0"/>
    <xf numFmtId="0" fontId="85" fillId="0" borderId="191"/>
    <xf numFmtId="0" fontId="41" fillId="13" borderId="167" applyNumberFormat="0" applyAlignment="0" applyProtection="0"/>
    <xf numFmtId="0" fontId="24" fillId="24" borderId="162" applyNumberFormat="0" applyAlignment="0" applyProtection="0"/>
    <xf numFmtId="0" fontId="48" fillId="24" borderId="167" applyNumberFormat="0" applyAlignment="0" applyProtection="0"/>
    <xf numFmtId="0" fontId="28" fillId="0" borderId="124"/>
    <xf numFmtId="0" fontId="29" fillId="24" borderId="117" applyNumberFormat="0" applyAlignment="0" applyProtection="0"/>
    <xf numFmtId="0" fontId="31" fillId="0" borderId="123" applyNumberFormat="0" applyFill="0" applyAlignment="0" applyProtection="0"/>
    <xf numFmtId="0" fontId="8" fillId="10" borderId="119" applyNumberFormat="0" applyFont="0" applyAlignment="0" applyProtection="0"/>
    <xf numFmtId="0" fontId="31" fillId="0" borderId="123" applyNumberFormat="0" applyFill="0" applyAlignment="0" applyProtection="0"/>
    <xf numFmtId="0" fontId="31" fillId="0" borderId="116" applyNumberFormat="0" applyFill="0" applyAlignment="0" applyProtection="0"/>
    <xf numFmtId="0" fontId="28" fillId="0" borderId="124"/>
    <xf numFmtId="0" fontId="29" fillId="24" borderId="117" applyNumberFormat="0" applyAlignment="0" applyProtection="0"/>
    <xf numFmtId="0" fontId="41" fillId="13" borderId="118" applyNumberFormat="0" applyAlignment="0" applyProtection="0"/>
    <xf numFmtId="0" fontId="49" fillId="10" borderId="168" applyNumberFormat="0" applyFont="0" applyAlignment="0" applyProtection="0"/>
    <xf numFmtId="0" fontId="18" fillId="10" borderId="204" applyNumberFormat="0" applyFont="0" applyAlignment="0" applyProtection="0"/>
    <xf numFmtId="0" fontId="49" fillId="10" borderId="168" applyNumberFormat="0" applyFont="0" applyAlignment="0" applyProtection="0"/>
    <xf numFmtId="0" fontId="73" fillId="0" borderId="164" applyBorder="0">
      <alignment horizontal="center" vertical="center" wrapText="1"/>
    </xf>
    <xf numFmtId="0" fontId="31" fillId="0" borderId="200" applyNumberFormat="0" applyFill="0" applyAlignment="0" applyProtection="0"/>
    <xf numFmtId="0" fontId="8" fillId="10" borderId="177" applyNumberFormat="0" applyFont="0" applyAlignment="0" applyProtection="0"/>
    <xf numFmtId="0" fontId="16" fillId="24" borderId="143" applyNumberFormat="0" applyAlignment="0" applyProtection="0"/>
    <xf numFmtId="0" fontId="49" fillId="10" borderId="144" applyNumberFormat="0" applyFont="0" applyAlignment="0" applyProtection="0"/>
    <xf numFmtId="0" fontId="16" fillId="24" borderId="143" applyNumberFormat="0" applyAlignment="0" applyProtection="0"/>
    <xf numFmtId="0" fontId="25" fillId="13" borderId="167" applyNumberFormat="0" applyAlignment="0" applyProtection="0"/>
    <xf numFmtId="0" fontId="25" fillId="8" borderId="167" applyNumberFormat="0" applyAlignment="0" applyProtection="0"/>
    <xf numFmtId="0" fontId="31" fillId="0" borderId="179" applyNumberFormat="0" applyFill="0" applyAlignment="0" applyProtection="0"/>
    <xf numFmtId="0" fontId="16" fillId="24" borderId="187" applyNumberFormat="0" applyAlignment="0" applyProtection="0"/>
    <xf numFmtId="0" fontId="28" fillId="10" borderId="144" applyNumberFormat="0" applyFont="0" applyAlignment="0" applyProtection="0"/>
    <xf numFmtId="0" fontId="49" fillId="10" borderId="119" applyNumberFormat="0" applyFont="0" applyAlignment="0" applyProtection="0"/>
    <xf numFmtId="0" fontId="32" fillId="24" borderId="134" applyNumberFormat="0" applyAlignment="0" applyProtection="0"/>
    <xf numFmtId="0" fontId="49" fillId="10" borderId="128" applyNumberFormat="0" applyFont="0" applyAlignment="0" applyProtection="0"/>
    <xf numFmtId="0" fontId="28" fillId="10" borderId="135" applyNumberFormat="0" applyFont="0" applyAlignment="0" applyProtection="0"/>
    <xf numFmtId="0" fontId="25" fillId="8" borderId="143" applyNumberFormat="0" applyAlignment="0" applyProtection="0"/>
    <xf numFmtId="0" fontId="25" fillId="13" borderId="194" applyNumberFormat="0" applyAlignment="0" applyProtection="0"/>
    <xf numFmtId="0" fontId="25" fillId="13" borderId="102" applyNumberFormat="0" applyAlignment="0" applyProtection="0"/>
    <xf numFmtId="0" fontId="48" fillId="24" borderId="143" applyNumberFormat="0" applyAlignment="0" applyProtection="0"/>
    <xf numFmtId="0" fontId="41" fillId="13" borderId="143" applyNumberFormat="0" applyAlignment="0" applyProtection="0"/>
    <xf numFmtId="0" fontId="29" fillId="24" borderId="146" applyNumberFormat="0" applyAlignment="0" applyProtection="0"/>
    <xf numFmtId="0" fontId="31" fillId="0" borderId="142" applyNumberFormat="0" applyFill="0" applyAlignment="0" applyProtection="0"/>
    <xf numFmtId="0" fontId="48" fillId="24" borderId="143" applyNumberFormat="0" applyAlignment="0" applyProtection="0"/>
    <xf numFmtId="0" fontId="28" fillId="0" borderId="149"/>
    <xf numFmtId="0" fontId="31" fillId="0" borderId="151" applyNumberFormat="0" applyFill="0" applyAlignment="0" applyProtection="0"/>
    <xf numFmtId="0" fontId="8" fillId="10" borderId="154" applyNumberFormat="0" applyFont="0" applyAlignment="0" applyProtection="0"/>
    <xf numFmtId="0" fontId="31" fillId="0" borderId="156" applyNumberFormat="0" applyFill="0" applyAlignment="0" applyProtection="0"/>
    <xf numFmtId="0" fontId="25" fillId="8" borderId="194" applyNumberFormat="0" applyAlignment="0" applyProtection="0"/>
    <xf numFmtId="0" fontId="31" fillId="0" borderId="123" applyNumberFormat="0" applyFill="0" applyAlignment="0" applyProtection="0"/>
    <xf numFmtId="0" fontId="28" fillId="0" borderId="149"/>
    <xf numFmtId="0" fontId="31" fillId="0" borderId="148" applyNumberFormat="0" applyFill="0" applyAlignment="0" applyProtection="0"/>
    <xf numFmtId="0" fontId="49" fillId="10" borderId="144" applyNumberFormat="0" applyFont="0" applyAlignment="0" applyProtection="0"/>
    <xf numFmtId="0" fontId="31" fillId="0" borderId="200" applyNumberFormat="0" applyFill="0" applyAlignment="0" applyProtection="0"/>
    <xf numFmtId="0" fontId="49" fillId="10" borderId="195" applyNumberFormat="0" applyFont="0" applyAlignment="0" applyProtection="0"/>
    <xf numFmtId="0" fontId="28" fillId="0" borderId="99"/>
    <xf numFmtId="0" fontId="31" fillId="0" borderId="108" applyNumberFormat="0" applyFill="0" applyAlignment="0" applyProtection="0"/>
    <xf numFmtId="0" fontId="8" fillId="10" borderId="103" applyNumberFormat="0" applyFont="0" applyAlignment="0" applyProtection="0"/>
    <xf numFmtId="0" fontId="8" fillId="10" borderId="103" applyNumberFormat="0" applyFont="0" applyAlignment="0" applyProtection="0"/>
    <xf numFmtId="0" fontId="29" fillId="12" borderId="101" applyNumberFormat="0" applyAlignment="0" applyProtection="0"/>
    <xf numFmtId="0" fontId="31" fillId="0" borderId="100" applyNumberFormat="0" applyFill="0" applyAlignment="0" applyProtection="0"/>
    <xf numFmtId="0" fontId="31" fillId="0" borderId="108" applyNumberFormat="0" applyFill="0" applyAlignment="0" applyProtection="0"/>
    <xf numFmtId="0" fontId="25" fillId="8" borderId="102" applyNumberFormat="0" applyAlignment="0" applyProtection="0"/>
    <xf numFmtId="0" fontId="8" fillId="10" borderId="103" applyNumberFormat="0" applyFont="0" applyAlignment="0" applyProtection="0"/>
    <xf numFmtId="0" fontId="48" fillId="24" borderId="102" applyNumberFormat="0" applyAlignment="0" applyProtection="0"/>
    <xf numFmtId="0" fontId="25" fillId="13" borderId="102" applyNumberFormat="0" applyAlignment="0" applyProtection="0"/>
    <xf numFmtId="0" fontId="8" fillId="10" borderId="103" applyNumberFormat="0" applyFont="0" applyAlignment="0" applyProtection="0"/>
    <xf numFmtId="0" fontId="16" fillId="24" borderId="102" applyNumberFormat="0" applyAlignment="0" applyProtection="0"/>
    <xf numFmtId="0" fontId="25" fillId="13" borderId="102" applyNumberFormat="0" applyAlignment="0" applyProtection="0"/>
    <xf numFmtId="0" fontId="28" fillId="10" borderId="103" applyNumberFormat="0" applyFont="0" applyAlignment="0" applyProtection="0"/>
    <xf numFmtId="0" fontId="25" fillId="13" borderId="102" applyNumberFormat="0" applyAlignment="0" applyProtection="0"/>
    <xf numFmtId="0" fontId="29" fillId="24" borderId="101" applyNumberFormat="0" applyAlignment="0" applyProtection="0"/>
    <xf numFmtId="0" fontId="85" fillId="0" borderId="99"/>
    <xf numFmtId="0" fontId="31" fillId="0" borderId="100" applyNumberFormat="0" applyFill="0" applyAlignment="0" applyProtection="0"/>
    <xf numFmtId="0" fontId="31" fillId="0" borderId="142" applyNumberFormat="0" applyFill="0" applyAlignment="0" applyProtection="0"/>
    <xf numFmtId="0" fontId="25" fillId="13" borderId="143" applyNumberFormat="0" applyAlignment="0" applyProtection="0"/>
    <xf numFmtId="0" fontId="28" fillId="0" borderId="149"/>
    <xf numFmtId="0" fontId="31" fillId="0" borderId="151" applyNumberFormat="0" applyFill="0" applyAlignment="0" applyProtection="0"/>
    <xf numFmtId="0" fontId="31" fillId="0" borderId="185" applyNumberFormat="0" applyFill="0" applyAlignment="0" applyProtection="0"/>
    <xf numFmtId="0" fontId="31" fillId="0" borderId="200" applyNumberFormat="0" applyFill="0" applyAlignment="0" applyProtection="0"/>
    <xf numFmtId="0" fontId="8" fillId="10" borderId="195" applyNumberFormat="0" applyFont="0" applyAlignment="0" applyProtection="0"/>
    <xf numFmtId="0" fontId="49" fillId="10" borderId="168" applyNumberFormat="0" applyFont="0" applyAlignment="0" applyProtection="0"/>
    <xf numFmtId="0" fontId="31" fillId="0" borderId="171" applyNumberFormat="0" applyFill="0" applyAlignment="0" applyProtection="0"/>
    <xf numFmtId="0" fontId="31" fillId="0" borderId="123" applyNumberFormat="0" applyFill="0" applyAlignment="0" applyProtection="0"/>
    <xf numFmtId="0" fontId="31" fillId="0" borderId="116" applyNumberFormat="0" applyFill="0" applyAlignment="0" applyProtection="0"/>
    <xf numFmtId="0" fontId="41" fillId="13" borderId="118" applyNumberFormat="0" applyAlignment="0" applyProtection="0"/>
    <xf numFmtId="0" fontId="73" fillId="0" borderId="126" applyBorder="0">
      <alignment horizontal="center" vertical="center" wrapText="1"/>
    </xf>
    <xf numFmtId="0" fontId="48" fillId="24" borderId="118" applyNumberFormat="0" applyAlignment="0" applyProtection="0"/>
    <xf numFmtId="0" fontId="48" fillId="24" borderId="118" applyNumberFormat="0" applyAlignment="0" applyProtection="0"/>
    <xf numFmtId="0" fontId="29" fillId="24" borderId="170" applyNumberFormat="0" applyAlignment="0" applyProtection="0"/>
    <xf numFmtId="0" fontId="28" fillId="0" borderId="174"/>
    <xf numFmtId="0" fontId="25" fillId="13" borderId="143" applyNumberFormat="0" applyAlignment="0" applyProtection="0"/>
    <xf numFmtId="0" fontId="28" fillId="10" borderId="195" applyNumberFormat="0" applyFont="0" applyAlignment="0" applyProtection="0"/>
    <xf numFmtId="0" fontId="8" fillId="10" borderId="168" applyNumberFormat="0" applyFont="0" applyAlignment="0" applyProtection="0"/>
    <xf numFmtId="0" fontId="28" fillId="0" borderId="124"/>
    <xf numFmtId="0" fontId="28" fillId="10" borderId="177" applyNumberFormat="0" applyFont="0" applyAlignment="0" applyProtection="0"/>
    <xf numFmtId="0" fontId="31" fillId="0" borderId="158" applyNumberFormat="0" applyFill="0" applyAlignment="0" applyProtection="0"/>
    <xf numFmtId="0" fontId="28" fillId="0" borderId="174"/>
    <xf numFmtId="0" fontId="31" fillId="0" borderId="166" applyNumberFormat="0" applyFill="0" applyAlignment="0" applyProtection="0"/>
    <xf numFmtId="0" fontId="32" fillId="24" borderId="118" applyNumberFormat="0" applyAlignment="0" applyProtection="0"/>
    <xf numFmtId="0" fontId="31" fillId="0" borderId="172" applyNumberFormat="0" applyFill="0" applyAlignment="0" applyProtection="0"/>
    <xf numFmtId="0" fontId="28" fillId="0" borderId="191"/>
    <xf numFmtId="0" fontId="48" fillId="12" borderId="143" applyNumberFormat="0" applyAlignment="0" applyProtection="0"/>
    <xf numFmtId="0" fontId="28" fillId="10" borderId="144" applyNumberFormat="0" applyFont="0" applyAlignment="0" applyProtection="0"/>
    <xf numFmtId="0" fontId="48" fillId="24" borderId="143" applyNumberFormat="0" applyAlignment="0" applyProtection="0"/>
    <xf numFmtId="0" fontId="8" fillId="10" borderId="168" applyNumberFormat="0" applyFont="0" applyAlignment="0" applyProtection="0"/>
    <xf numFmtId="0" fontId="31" fillId="0" borderId="166" applyNumberFormat="0" applyFill="0" applyAlignment="0" applyProtection="0"/>
    <xf numFmtId="0" fontId="48" fillId="12" borderId="194" applyNumberFormat="0" applyAlignment="0" applyProtection="0"/>
    <xf numFmtId="0" fontId="28" fillId="0" borderId="180"/>
    <xf numFmtId="0" fontId="41" fillId="13" borderId="167" applyNumberFormat="0" applyAlignment="0" applyProtection="0"/>
    <xf numFmtId="0" fontId="85" fillId="73" borderId="149"/>
    <xf numFmtId="0" fontId="49" fillId="10" borderId="177" applyNumberFormat="0" applyFont="0" applyAlignment="0" applyProtection="0"/>
    <xf numFmtId="0" fontId="31" fillId="0" borderId="147" applyNumberFormat="0" applyFill="0" applyAlignment="0" applyProtection="0"/>
    <xf numFmtId="0" fontId="8" fillId="10" borderId="144" applyNumberFormat="0" applyFont="0" applyAlignment="0" applyProtection="0"/>
    <xf numFmtId="0" fontId="31" fillId="0" borderId="148" applyNumberFormat="0" applyFill="0" applyAlignment="0" applyProtection="0"/>
    <xf numFmtId="0" fontId="31" fillId="0" borderId="151" applyNumberFormat="0" applyFill="0" applyAlignment="0" applyProtection="0"/>
    <xf numFmtId="0" fontId="28" fillId="10" borderId="144" applyNumberFormat="0" applyFont="0" applyAlignment="0" applyProtection="0"/>
    <xf numFmtId="0" fontId="25" fillId="13" borderId="143" applyNumberFormat="0" applyAlignment="0" applyProtection="0"/>
    <xf numFmtId="0" fontId="8" fillId="10" borderId="195" applyNumberFormat="0" applyFont="0" applyAlignment="0" applyProtection="0"/>
    <xf numFmtId="0" fontId="28" fillId="10" borderId="195" applyNumberFormat="0" applyFont="0" applyAlignment="0" applyProtection="0"/>
    <xf numFmtId="0" fontId="18" fillId="10" borderId="168" applyNumberFormat="0" applyFont="0" applyAlignment="0" applyProtection="0"/>
    <xf numFmtId="0" fontId="31" fillId="0" borderId="172" applyNumberFormat="0" applyFill="0" applyAlignment="0" applyProtection="0"/>
    <xf numFmtId="0" fontId="31" fillId="0" borderId="192" applyNumberFormat="0" applyFill="0" applyAlignment="0" applyProtection="0"/>
    <xf numFmtId="0" fontId="8" fillId="10" borderId="195" applyNumberFormat="0" applyFont="0" applyAlignment="0" applyProtection="0"/>
    <xf numFmtId="0" fontId="28" fillId="10" borderId="168" applyNumberFormat="0" applyFont="0" applyAlignment="0" applyProtection="0"/>
    <xf numFmtId="0" fontId="31" fillId="0" borderId="121" applyNumberFormat="0" applyFill="0" applyAlignment="0" applyProtection="0"/>
    <xf numFmtId="0" fontId="31" fillId="0" borderId="122" applyNumberFormat="0" applyFill="0" applyAlignment="0" applyProtection="0"/>
    <xf numFmtId="0" fontId="25" fillId="13" borderId="118" applyNumberFormat="0" applyAlignment="0" applyProtection="0"/>
    <xf numFmtId="0" fontId="31" fillId="0" borderId="123" applyNumberFormat="0" applyFill="0" applyAlignment="0" applyProtection="0"/>
    <xf numFmtId="0" fontId="41" fillId="13" borderId="167" applyNumberFormat="0" applyAlignment="0" applyProtection="0"/>
    <xf numFmtId="0" fontId="28" fillId="10" borderId="85" applyNumberFormat="0" applyFont="0" applyAlignment="0" applyProtection="0"/>
    <xf numFmtId="0" fontId="31" fillId="0" borderId="90" applyNumberFormat="0" applyFill="0" applyAlignment="0" applyProtection="0"/>
    <xf numFmtId="0" fontId="24" fillId="24" borderId="86" applyNumberFormat="0" applyAlignment="0" applyProtection="0"/>
    <xf numFmtId="0" fontId="29" fillId="24" borderId="91" applyNumberFormat="0" applyAlignment="0" applyProtection="0"/>
    <xf numFmtId="0" fontId="8" fillId="10" borderId="119" applyNumberFormat="0" applyFont="0" applyAlignment="0" applyProtection="0"/>
    <xf numFmtId="0" fontId="28" fillId="10" borderId="85" applyNumberFormat="0" applyFont="0" applyAlignment="0" applyProtection="0"/>
    <xf numFmtId="0" fontId="24" fillId="24" borderId="86" applyNumberFormat="0" applyAlignment="0" applyProtection="0"/>
    <xf numFmtId="0" fontId="28" fillId="0" borderId="174"/>
    <xf numFmtId="0" fontId="31" fillId="0" borderId="93" applyNumberFormat="0" applyFill="0" applyAlignment="0" applyProtection="0"/>
    <xf numFmtId="0" fontId="49" fillId="10" borderId="85" applyNumberFormat="0" applyFont="0" applyAlignment="0" applyProtection="0"/>
    <xf numFmtId="0" fontId="31" fillId="0" borderId="87" applyNumberFormat="0" applyFill="0" applyAlignment="0" applyProtection="0"/>
    <xf numFmtId="0" fontId="31" fillId="0" borderId="93" applyNumberFormat="0" applyFill="0" applyAlignment="0" applyProtection="0"/>
    <xf numFmtId="0" fontId="31" fillId="0" borderId="92" applyNumberFormat="0" applyFill="0" applyAlignment="0" applyProtection="0"/>
    <xf numFmtId="0" fontId="31" fillId="0" borderId="90" applyNumberFormat="0" applyFill="0" applyAlignment="0" applyProtection="0"/>
    <xf numFmtId="0" fontId="31" fillId="0" borderId="93" applyNumberFormat="0" applyFill="0" applyAlignment="0" applyProtection="0"/>
    <xf numFmtId="0" fontId="28" fillId="10" borderId="85" applyNumberFormat="0" applyFont="0" applyAlignment="0" applyProtection="0"/>
    <xf numFmtId="0" fontId="31" fillId="0" borderId="87" applyNumberFormat="0" applyFill="0" applyAlignment="0" applyProtection="0"/>
    <xf numFmtId="0" fontId="8" fillId="10" borderId="85" applyNumberFormat="0" applyFont="0" applyAlignment="0" applyProtection="0"/>
    <xf numFmtId="0" fontId="29" fillId="24" borderId="91" applyNumberFormat="0" applyAlignment="0" applyProtection="0"/>
    <xf numFmtId="0" fontId="28" fillId="0" borderId="88"/>
    <xf numFmtId="0" fontId="48" fillId="12" borderId="143" applyNumberFormat="0" applyAlignment="0" applyProtection="0"/>
    <xf numFmtId="0" fontId="29" fillId="12" borderId="133" applyNumberFormat="0" applyAlignment="0" applyProtection="0"/>
    <xf numFmtId="0" fontId="49" fillId="10" borderId="85" applyNumberFormat="0" applyFont="0" applyAlignment="0" applyProtection="0"/>
    <xf numFmtId="0" fontId="31" fillId="0" borderId="185" applyNumberFormat="0" applyFill="0" applyAlignment="0" applyProtection="0"/>
    <xf numFmtId="0" fontId="8" fillId="10" borderId="177" applyNumberFormat="0" applyFont="0" applyAlignment="0" applyProtection="0"/>
    <xf numFmtId="0" fontId="31" fillId="0" borderId="192" applyNumberFormat="0" applyFill="0" applyAlignment="0" applyProtection="0"/>
    <xf numFmtId="0" fontId="24" fillId="24" borderId="120" applyNumberFormat="0" applyAlignment="0" applyProtection="0"/>
    <xf numFmtId="0" fontId="32" fillId="24" borderId="118" applyNumberFormat="0" applyAlignment="0" applyProtection="0"/>
    <xf numFmtId="0" fontId="31" fillId="0" borderId="116" applyNumberFormat="0" applyFill="0" applyAlignment="0" applyProtection="0"/>
    <xf numFmtId="0" fontId="8" fillId="10" borderId="119" applyNumberFormat="0" applyFont="0" applyAlignment="0" applyProtection="0"/>
    <xf numFmtId="0" fontId="8" fillId="45" borderId="175" applyNumberFormat="0" applyFont="0" applyAlignment="0" applyProtection="0"/>
    <xf numFmtId="0" fontId="48" fillId="12" borderId="143" applyNumberFormat="0" applyAlignment="0" applyProtection="0"/>
    <xf numFmtId="0" fontId="32" fillId="24" borderId="194" applyNumberFormat="0" applyAlignment="0" applyProtection="0"/>
    <xf numFmtId="0" fontId="8" fillId="10" borderId="204" applyNumberFormat="0" applyFont="0" applyAlignment="0" applyProtection="0"/>
    <xf numFmtId="0" fontId="16" fillId="24" borderId="167" applyNumberFormat="0" applyAlignment="0" applyProtection="0"/>
    <xf numFmtId="0" fontId="24" fillId="24" borderId="129" applyNumberFormat="0" applyAlignment="0" applyProtection="0"/>
    <xf numFmtId="0" fontId="8" fillId="10" borderId="128" applyNumberFormat="0" applyFont="0" applyAlignment="0" applyProtection="0"/>
    <xf numFmtId="0" fontId="31" fillId="0" borderId="172" applyNumberFormat="0" applyFill="0" applyAlignment="0" applyProtection="0"/>
    <xf numFmtId="0" fontId="16" fillId="24" borderId="127" applyNumberFormat="0" applyAlignment="0" applyProtection="0"/>
    <xf numFmtId="0" fontId="28" fillId="0" borderId="174"/>
    <xf numFmtId="0" fontId="31" fillId="0" borderId="116" applyNumberFormat="0" applyFill="0" applyAlignment="0" applyProtection="0"/>
    <xf numFmtId="0" fontId="31" fillId="0" borderId="116" applyNumberFormat="0" applyFill="0" applyAlignment="0" applyProtection="0"/>
    <xf numFmtId="0" fontId="25" fillId="13" borderId="118" applyNumberFormat="0" applyAlignment="0" applyProtection="0"/>
    <xf numFmtId="0" fontId="31" fillId="0" borderId="116" applyNumberFormat="0" applyFill="0" applyAlignment="0" applyProtection="0"/>
    <xf numFmtId="0" fontId="48" fillId="24" borderId="118" applyNumberFormat="0" applyAlignment="0" applyProtection="0"/>
    <xf numFmtId="0" fontId="8" fillId="10" borderId="119" applyNumberFormat="0" applyFont="0" applyAlignment="0" applyProtection="0"/>
    <xf numFmtId="0" fontId="25" fillId="13" borderId="118" applyNumberFormat="0" applyAlignment="0" applyProtection="0"/>
    <xf numFmtId="0" fontId="31" fillId="0" borderId="122" applyNumberFormat="0" applyFill="0" applyAlignment="0" applyProtection="0"/>
    <xf numFmtId="0" fontId="8" fillId="10" borderId="119" applyNumberFormat="0" applyFont="0" applyAlignment="0" applyProtection="0"/>
    <xf numFmtId="0" fontId="48" fillId="12" borderId="118" applyNumberFormat="0" applyAlignment="0" applyProtection="0"/>
    <xf numFmtId="0" fontId="28" fillId="0" borderId="124"/>
    <xf numFmtId="0" fontId="49" fillId="10" borderId="168" applyNumberFormat="0" applyFont="0" applyAlignment="0" applyProtection="0"/>
    <xf numFmtId="0" fontId="29" fillId="24" borderId="170" applyNumberFormat="0" applyAlignment="0" applyProtection="0"/>
    <xf numFmtId="0" fontId="49" fillId="10" borderId="144" applyNumberFormat="0" applyFont="0" applyAlignment="0" applyProtection="0"/>
    <xf numFmtId="0" fontId="31" fillId="0" borderId="148" applyNumberFormat="0" applyFill="0" applyAlignment="0" applyProtection="0"/>
    <xf numFmtId="0" fontId="31" fillId="0" borderId="192" applyNumberFormat="0" applyFill="0" applyAlignment="0" applyProtection="0"/>
    <xf numFmtId="0" fontId="85" fillId="0" borderId="124"/>
    <xf numFmtId="0" fontId="28" fillId="0" borderId="124"/>
    <xf numFmtId="0" fontId="48" fillId="24" borderId="118" applyNumberFormat="0" applyAlignment="0" applyProtection="0"/>
    <xf numFmtId="0" fontId="16" fillId="24" borderId="176" applyNumberFormat="0" applyAlignment="0" applyProtection="0"/>
    <xf numFmtId="0" fontId="48" fillId="24" borderId="143" applyNumberFormat="0" applyAlignment="0" applyProtection="0"/>
    <xf numFmtId="0" fontId="31" fillId="0" borderId="199" applyNumberFormat="0" applyFill="0" applyAlignment="0" applyProtection="0"/>
    <xf numFmtId="0" fontId="18" fillId="10" borderId="144" applyNumberFormat="0" applyFont="0" applyAlignment="0" applyProtection="0"/>
    <xf numFmtId="0" fontId="49" fillId="10" borderId="168" applyNumberFormat="0" applyFont="0" applyAlignment="0" applyProtection="0"/>
    <xf numFmtId="0" fontId="8" fillId="10" borderId="168" applyNumberFormat="0" applyFont="0" applyAlignment="0" applyProtection="0"/>
    <xf numFmtId="0" fontId="31" fillId="0" borderId="199" applyNumberFormat="0" applyFill="0" applyAlignment="0" applyProtection="0"/>
    <xf numFmtId="0" fontId="8" fillId="10" borderId="195" applyNumberFormat="0" applyFont="0" applyAlignment="0" applyProtection="0"/>
    <xf numFmtId="0" fontId="8" fillId="10" borderId="177" applyNumberFormat="0" applyFont="0" applyAlignment="0" applyProtection="0"/>
    <xf numFmtId="0" fontId="41" fillId="13" borderId="194" applyNumberFormat="0" applyAlignment="0" applyProtection="0"/>
    <xf numFmtId="0" fontId="25" fillId="13" borderId="167" applyNumberFormat="0" applyAlignment="0" applyProtection="0"/>
    <xf numFmtId="0" fontId="29" fillId="12" borderId="146" applyNumberFormat="0" applyAlignment="0" applyProtection="0"/>
    <xf numFmtId="0" fontId="31" fillId="0" borderId="185" applyNumberFormat="0" applyFill="0" applyAlignment="0" applyProtection="0"/>
    <xf numFmtId="0" fontId="8" fillId="45" borderId="202" applyNumberFormat="0" applyFont="0" applyAlignment="0" applyProtection="0"/>
    <xf numFmtId="0" fontId="31" fillId="0" borderId="163" applyNumberFormat="0" applyFill="0" applyAlignment="0" applyProtection="0"/>
    <xf numFmtId="0" fontId="85" fillId="73" borderId="124"/>
    <xf numFmtId="0" fontId="8" fillId="10" borderId="119" applyNumberFormat="0" applyFont="0" applyAlignment="0" applyProtection="0"/>
    <xf numFmtId="0" fontId="25" fillId="13" borderId="176" applyNumberFormat="0" applyAlignment="0" applyProtection="0"/>
    <xf numFmtId="0" fontId="48" fillId="12" borderId="167" applyNumberFormat="0" applyAlignment="0" applyProtection="0"/>
    <xf numFmtId="0" fontId="28" fillId="10" borderId="168" applyNumberFormat="0" applyFont="0" applyAlignment="0" applyProtection="0"/>
    <xf numFmtId="0" fontId="85" fillId="0" borderId="180"/>
    <xf numFmtId="0" fontId="48" fillId="24" borderId="167" applyNumberFormat="0" applyAlignment="0" applyProtection="0"/>
    <xf numFmtId="0" fontId="25" fillId="13" borderId="176" applyNumberFormat="0" applyAlignment="0" applyProtection="0"/>
    <xf numFmtId="0" fontId="49" fillId="10" borderId="144" applyNumberFormat="0" applyFont="0" applyAlignment="0" applyProtection="0"/>
    <xf numFmtId="0" fontId="31" fillId="0" borderId="147" applyNumberFormat="0" applyFill="0" applyAlignment="0" applyProtection="0"/>
    <xf numFmtId="0" fontId="31" fillId="0" borderId="200" applyNumberFormat="0" applyFill="0" applyAlignment="0" applyProtection="0"/>
    <xf numFmtId="0" fontId="85" fillId="73" borderId="174"/>
    <xf numFmtId="0" fontId="49" fillId="10" borderId="119" applyNumberFormat="0" applyFont="0" applyAlignment="0" applyProtection="0"/>
    <xf numFmtId="0" fontId="31" fillId="0" borderId="121" applyNumberFormat="0" applyFill="0" applyAlignment="0" applyProtection="0"/>
    <xf numFmtId="0" fontId="31" fillId="0" borderId="199" applyNumberFormat="0" applyFill="0" applyAlignment="0" applyProtection="0"/>
    <xf numFmtId="0" fontId="24" fillId="24" borderId="145" applyNumberFormat="0" applyAlignment="0" applyProtection="0"/>
    <xf numFmtId="0" fontId="31" fillId="0" borderId="200" applyNumberFormat="0" applyFill="0" applyAlignment="0" applyProtection="0"/>
    <xf numFmtId="0" fontId="85" fillId="0" borderId="174"/>
    <xf numFmtId="0" fontId="24" fillId="24" borderId="196" applyNumberFormat="0" applyAlignment="0" applyProtection="0"/>
    <xf numFmtId="0" fontId="28" fillId="10" borderId="204" applyNumberFormat="0" applyFont="0" applyAlignment="0" applyProtection="0"/>
    <xf numFmtId="0" fontId="16" fillId="24" borderId="187" applyNumberFormat="0" applyAlignment="0" applyProtection="0"/>
    <xf numFmtId="0" fontId="31" fillId="0" borderId="185" applyNumberFormat="0" applyFill="0" applyAlignment="0" applyProtection="0"/>
    <xf numFmtId="0" fontId="8" fillId="10" borderId="144" applyNumberFormat="0" applyFont="0" applyAlignment="0" applyProtection="0"/>
    <xf numFmtId="0" fontId="48" fillId="12" borderId="143" applyNumberFormat="0" applyAlignment="0" applyProtection="0"/>
    <xf numFmtId="0" fontId="25" fillId="13" borderId="143" applyNumberFormat="0" applyAlignment="0" applyProtection="0"/>
    <xf numFmtId="0" fontId="48" fillId="12" borderId="143" applyNumberFormat="0" applyAlignment="0" applyProtection="0"/>
    <xf numFmtId="0" fontId="8" fillId="10" borderId="154" applyNumberFormat="0" applyFont="0" applyAlignment="0" applyProtection="0"/>
    <xf numFmtId="0" fontId="31" fillId="0" borderId="200" applyNumberFormat="0" applyFill="0" applyAlignment="0" applyProtection="0"/>
    <xf numFmtId="0" fontId="41" fillId="13" borderId="118" applyNumberFormat="0" applyAlignment="0" applyProtection="0"/>
    <xf numFmtId="0" fontId="48" fillId="24" borderId="194" applyNumberFormat="0" applyAlignment="0" applyProtection="0"/>
    <xf numFmtId="0" fontId="31" fillId="0" borderId="151" applyNumberFormat="0" applyFill="0" applyAlignment="0" applyProtection="0"/>
    <xf numFmtId="0" fontId="48" fillId="24" borderId="194" applyNumberFormat="0" applyAlignment="0" applyProtection="0"/>
    <xf numFmtId="0" fontId="32" fillId="24" borderId="194" applyNumberFormat="0" applyAlignment="0" applyProtection="0"/>
    <xf numFmtId="0" fontId="31" fillId="0" borderId="166" applyNumberFormat="0" applyFill="0" applyAlignment="0" applyProtection="0"/>
    <xf numFmtId="0" fontId="31" fillId="0" borderId="105" applyNumberFormat="0" applyFill="0" applyAlignment="0" applyProtection="0"/>
    <xf numFmtId="0" fontId="73" fillId="0" borderId="109" applyBorder="0">
      <alignment horizontal="center" vertical="center" wrapText="1"/>
    </xf>
    <xf numFmtId="0" fontId="48" fillId="24" borderId="102" applyNumberFormat="0" applyAlignment="0" applyProtection="0"/>
    <xf numFmtId="0" fontId="31" fillId="0" borderId="105" applyNumberFormat="0" applyFill="0" applyAlignment="0" applyProtection="0"/>
    <xf numFmtId="0" fontId="41" fillId="13" borderId="102" applyNumberFormat="0" applyAlignment="0" applyProtection="0"/>
    <xf numFmtId="0" fontId="29" fillId="24" borderId="101" applyNumberFormat="0" applyAlignment="0" applyProtection="0"/>
    <xf numFmtId="0" fontId="16" fillId="24" borderId="102" applyNumberFormat="0" applyAlignment="0" applyProtection="0"/>
    <xf numFmtId="0" fontId="31" fillId="0" borderId="108" applyNumberFormat="0" applyFill="0" applyAlignment="0" applyProtection="0"/>
    <xf numFmtId="0" fontId="41" fillId="13" borderId="102" applyNumberFormat="0" applyAlignment="0" applyProtection="0"/>
    <xf numFmtId="0" fontId="31" fillId="0" borderId="107" applyNumberFormat="0" applyFill="0" applyAlignment="0" applyProtection="0"/>
    <xf numFmtId="0" fontId="31" fillId="0" borderId="100" applyNumberFormat="0" applyFill="0" applyAlignment="0" applyProtection="0"/>
    <xf numFmtId="0" fontId="31" fillId="0" borderId="105" applyNumberFormat="0" applyFill="0" applyAlignment="0" applyProtection="0"/>
    <xf numFmtId="0" fontId="28" fillId="10" borderId="103" applyNumberFormat="0" applyFont="0" applyAlignment="0" applyProtection="0"/>
    <xf numFmtId="0" fontId="8" fillId="45" borderId="110" applyNumberFormat="0" applyFont="0" applyAlignment="0" applyProtection="0"/>
    <xf numFmtId="0" fontId="29" fillId="24" borderId="101" applyNumberFormat="0" applyAlignment="0" applyProtection="0"/>
    <xf numFmtId="0" fontId="18" fillId="10" borderId="103" applyNumberFormat="0" applyFont="0" applyAlignment="0" applyProtection="0"/>
    <xf numFmtId="0" fontId="48" fillId="24" borderId="194" applyNumberFormat="0" applyAlignment="0" applyProtection="0"/>
    <xf numFmtId="0" fontId="29" fillId="24" borderId="146" applyNumberFormat="0" applyAlignment="0" applyProtection="0"/>
    <xf numFmtId="0" fontId="24" fillId="24" borderId="145" applyNumberFormat="0" applyAlignment="0" applyProtection="0"/>
    <xf numFmtId="0" fontId="28" fillId="10" borderId="144" applyNumberFormat="0" applyFont="0" applyAlignment="0" applyProtection="0"/>
    <xf numFmtId="0" fontId="25" fillId="13" borderId="167" applyNumberFormat="0" applyAlignment="0" applyProtection="0"/>
    <xf numFmtId="0" fontId="31" fillId="0" borderId="165" applyNumberFormat="0" applyFill="0" applyAlignment="0" applyProtection="0"/>
    <xf numFmtId="0" fontId="31" fillId="0" borderId="192" applyNumberFormat="0" applyFill="0" applyAlignment="0" applyProtection="0"/>
    <xf numFmtId="0" fontId="16" fillId="24" borderId="194" applyNumberFormat="0" applyAlignment="0" applyProtection="0"/>
    <xf numFmtId="0" fontId="49" fillId="10" borderId="177" applyNumberFormat="0" applyFont="0" applyAlignment="0" applyProtection="0"/>
    <xf numFmtId="0" fontId="28" fillId="10" borderId="168" applyNumberFormat="0" applyFont="0" applyAlignment="0" applyProtection="0"/>
    <xf numFmtId="0" fontId="48" fillId="24" borderId="143" applyNumberFormat="0" applyAlignment="0" applyProtection="0"/>
    <xf numFmtId="0" fontId="16" fillId="24" borderId="143" applyNumberFormat="0" applyAlignment="0" applyProtection="0"/>
    <xf numFmtId="0" fontId="49" fillId="10" borderId="144" applyNumberFormat="0" applyFont="0" applyAlignment="0" applyProtection="0"/>
    <xf numFmtId="0" fontId="25" fillId="13" borderId="143" applyNumberFormat="0" applyAlignment="0" applyProtection="0"/>
    <xf numFmtId="0" fontId="25" fillId="13" borderId="143" applyNumberFormat="0" applyAlignment="0" applyProtection="0"/>
    <xf numFmtId="0" fontId="24" fillId="24" borderId="169" applyNumberFormat="0" applyAlignment="0" applyProtection="0"/>
    <xf numFmtId="0" fontId="49" fillId="10" borderId="195" applyNumberFormat="0" applyFont="0" applyAlignment="0" applyProtection="0"/>
    <xf numFmtId="0" fontId="31" fillId="0" borderId="185" applyNumberFormat="0" applyFill="0" applyAlignment="0" applyProtection="0"/>
    <xf numFmtId="0" fontId="8" fillId="10" borderId="177" applyNumberFormat="0" applyFont="0" applyAlignment="0" applyProtection="0"/>
    <xf numFmtId="0" fontId="18" fillId="10" borderId="119" applyNumberFormat="0" applyFont="0" applyAlignment="0" applyProtection="0"/>
    <xf numFmtId="0" fontId="31" fillId="0" borderId="123" applyNumberFormat="0" applyFill="0" applyAlignment="0" applyProtection="0"/>
    <xf numFmtId="0" fontId="31" fillId="0" borderId="123" applyNumberFormat="0" applyFill="0" applyAlignment="0" applyProtection="0"/>
    <xf numFmtId="0" fontId="24" fillId="24" borderId="169" applyNumberFormat="0" applyAlignment="0" applyProtection="0"/>
    <xf numFmtId="0" fontId="8" fillId="45" borderId="202" applyNumberFormat="0" applyFont="0" applyAlignment="0" applyProtection="0"/>
    <xf numFmtId="0" fontId="31" fillId="0" borderId="172" applyNumberFormat="0" applyFill="0" applyAlignment="0" applyProtection="0"/>
    <xf numFmtId="0" fontId="25" fillId="13" borderId="167" applyNumberFormat="0" applyAlignment="0" applyProtection="0"/>
    <xf numFmtId="0" fontId="31" fillId="0" borderId="166" applyNumberFormat="0" applyFill="0" applyAlignment="0" applyProtection="0"/>
    <xf numFmtId="0" fontId="29" fillId="24" borderId="170" applyNumberFormat="0" applyAlignment="0" applyProtection="0"/>
    <xf numFmtId="0" fontId="24" fillId="24" borderId="145" applyNumberFormat="0" applyAlignment="0" applyProtection="0"/>
    <xf numFmtId="0" fontId="16" fillId="24" borderId="153" applyNumberFormat="0" applyAlignment="0" applyProtection="0"/>
    <xf numFmtId="0" fontId="48" fillId="12" borderId="194" applyNumberFormat="0" applyAlignment="0" applyProtection="0"/>
    <xf numFmtId="0" fontId="31" fillId="0" borderId="165" applyNumberFormat="0" applyFill="0" applyAlignment="0" applyProtection="0"/>
    <xf numFmtId="0" fontId="25" fillId="8" borderId="143" applyNumberFormat="0" applyAlignment="0" applyProtection="0"/>
    <xf numFmtId="0" fontId="31" fillId="0" borderId="148" applyNumberFormat="0" applyFill="0" applyAlignment="0" applyProtection="0"/>
    <xf numFmtId="0" fontId="16" fillId="24" borderId="194" applyNumberFormat="0" applyAlignment="0" applyProtection="0"/>
    <xf numFmtId="0" fontId="31" fillId="0" borderId="166" applyNumberFormat="0" applyFill="0" applyAlignment="0" applyProtection="0"/>
    <xf numFmtId="0" fontId="31" fillId="0" borderId="192" applyNumberFormat="0" applyFill="0" applyAlignment="0" applyProtection="0"/>
    <xf numFmtId="0" fontId="41" fillId="13" borderId="194" applyNumberFormat="0" applyAlignment="0" applyProtection="0"/>
    <xf numFmtId="0" fontId="31" fillId="0" borderId="116" applyNumberFormat="0" applyFill="0" applyAlignment="0" applyProtection="0"/>
    <xf numFmtId="0" fontId="28" fillId="10" borderId="119" applyNumberFormat="0" applyFont="0" applyAlignment="0" applyProtection="0"/>
    <xf numFmtId="0" fontId="29" fillId="12" borderId="117" applyNumberFormat="0" applyAlignment="0" applyProtection="0"/>
    <xf numFmtId="0" fontId="31" fillId="0" borderId="166" applyNumberFormat="0" applyFill="0" applyAlignment="0" applyProtection="0"/>
    <xf numFmtId="0" fontId="31" fillId="0" borderId="90" applyNumberFormat="0" applyFill="0" applyAlignment="0" applyProtection="0"/>
    <xf numFmtId="0" fontId="8" fillId="10" borderId="85" applyNumberFormat="0" applyFont="0" applyAlignment="0" applyProtection="0"/>
    <xf numFmtId="0" fontId="31" fillId="0" borderId="93" applyNumberFormat="0" applyFill="0" applyAlignment="0" applyProtection="0"/>
    <xf numFmtId="0" fontId="29" fillId="24" borderId="91" applyNumberFormat="0" applyAlignment="0" applyProtection="0"/>
    <xf numFmtId="0" fontId="31" fillId="0" borderId="93" applyNumberFormat="0" applyFill="0" applyAlignment="0" applyProtection="0"/>
    <xf numFmtId="0" fontId="29" fillId="24" borderId="91" applyNumberFormat="0" applyAlignment="0" applyProtection="0"/>
    <xf numFmtId="0" fontId="49" fillId="10" borderId="85" applyNumberFormat="0" applyFont="0" applyAlignment="0" applyProtection="0"/>
    <xf numFmtId="0" fontId="31" fillId="0" borderId="92" applyNumberFormat="0" applyFill="0" applyAlignment="0" applyProtection="0"/>
    <xf numFmtId="0" fontId="29" fillId="12" borderId="91" applyNumberFormat="0" applyAlignment="0" applyProtection="0"/>
    <xf numFmtId="0" fontId="31" fillId="0" borderId="90" applyNumberFormat="0" applyFill="0" applyAlignment="0" applyProtection="0"/>
    <xf numFmtId="0" fontId="28" fillId="10" borderId="144" applyNumberFormat="0" applyFont="0" applyAlignment="0" applyProtection="0"/>
    <xf numFmtId="0" fontId="49" fillId="10" borderId="144" applyNumberFormat="0" applyFont="0" applyAlignment="0" applyProtection="0"/>
    <xf numFmtId="0" fontId="31" fillId="0" borderId="200" applyNumberFormat="0" applyFill="0" applyAlignment="0" applyProtection="0"/>
    <xf numFmtId="0" fontId="31" fillId="0" borderId="200" applyNumberFormat="0" applyFill="0" applyAlignment="0" applyProtection="0"/>
    <xf numFmtId="0" fontId="25" fillId="8" borderId="118" applyNumberFormat="0" applyAlignment="0" applyProtection="0"/>
    <xf numFmtId="0" fontId="28" fillId="0" borderId="124"/>
    <xf numFmtId="0" fontId="8" fillId="10" borderId="128" applyNumberFormat="0" applyFont="0" applyAlignment="0" applyProtection="0"/>
    <xf numFmtId="0" fontId="28" fillId="10" borderId="144" applyNumberFormat="0" applyFont="0" applyAlignment="0" applyProtection="0"/>
    <xf numFmtId="0" fontId="31" fillId="0" borderId="63" applyNumberFormat="0" applyFill="0" applyAlignment="0" applyProtection="0"/>
    <xf numFmtId="0" fontId="24" fillId="24" borderId="62" applyNumberFormat="0" applyAlignment="0" applyProtection="0"/>
    <xf numFmtId="0" fontId="28" fillId="10" borderId="61" applyNumberFormat="0" applyFont="0" applyAlignment="0" applyProtection="0"/>
    <xf numFmtId="0" fontId="49" fillId="10" borderId="61" applyNumberFormat="0" applyFont="0" applyAlignment="0" applyProtection="0"/>
    <xf numFmtId="0" fontId="28" fillId="10" borderId="61" applyNumberFormat="0" applyFont="0" applyAlignment="0" applyProtection="0"/>
    <xf numFmtId="0" fontId="28" fillId="10" borderId="61" applyNumberFormat="0" applyFont="0" applyAlignment="0" applyProtection="0"/>
    <xf numFmtId="0" fontId="18" fillId="10" borderId="61" applyNumberFormat="0" applyFont="0" applyAlignment="0" applyProtection="0"/>
    <xf numFmtId="0" fontId="31" fillId="0" borderId="121" applyNumberFormat="0" applyFill="0" applyAlignment="0" applyProtection="0"/>
    <xf numFmtId="0" fontId="31" fillId="0" borderId="200" applyNumberFormat="0" applyFill="0" applyAlignment="0" applyProtection="0"/>
    <xf numFmtId="0" fontId="28" fillId="0" borderId="82"/>
    <xf numFmtId="0" fontId="73" fillId="0" borderId="141" applyBorder="0">
      <alignment horizontal="center" vertical="center" wrapText="1"/>
    </xf>
    <xf numFmtId="0" fontId="49" fillId="10" borderId="119" applyNumberFormat="0" applyFont="0" applyAlignment="0" applyProtection="0"/>
    <xf numFmtId="0" fontId="16" fillId="24" borderId="134" applyNumberFormat="0" applyAlignment="0" applyProtection="0"/>
    <xf numFmtId="0" fontId="41" fillId="13" borderId="60" applyNumberFormat="0" applyAlignment="0" applyProtection="0"/>
    <xf numFmtId="0" fontId="25" fillId="13" borderId="60" applyNumberFormat="0" applyAlignment="0" applyProtection="0"/>
    <xf numFmtId="0" fontId="41" fillId="13" borderId="60" applyNumberFormat="0" applyAlignment="0" applyProtection="0"/>
    <xf numFmtId="0" fontId="48" fillId="24" borderId="167" applyNumberFormat="0" applyAlignment="0" applyProtection="0"/>
    <xf numFmtId="0" fontId="31" fillId="0" borderId="148" applyNumberFormat="0" applyFill="0" applyAlignment="0" applyProtection="0"/>
    <xf numFmtId="0" fontId="31" fillId="0" borderId="87" applyNumberFormat="0" applyFill="0" applyAlignment="0" applyProtection="0"/>
    <xf numFmtId="0" fontId="16" fillId="24" borderId="60" applyNumberFormat="0" applyAlignment="0" applyProtection="0"/>
    <xf numFmtId="0" fontId="48" fillId="24" borderId="60" applyNumberFormat="0" applyAlignment="0" applyProtection="0"/>
    <xf numFmtId="0" fontId="32" fillId="24" borderId="60" applyNumberFormat="0" applyAlignment="0" applyProtection="0"/>
    <xf numFmtId="0" fontId="16" fillId="24" borderId="167" applyNumberFormat="0" applyAlignment="0" applyProtection="0"/>
    <xf numFmtId="0" fontId="25" fillId="8" borderId="167" applyNumberFormat="0" applyAlignment="0" applyProtection="0"/>
    <xf numFmtId="0" fontId="48" fillId="24" borderId="143" applyNumberFormat="0" applyAlignment="0" applyProtection="0"/>
    <xf numFmtId="0" fontId="48" fillId="24" borderId="134" applyNumberFormat="0" applyAlignment="0" applyProtection="0"/>
    <xf numFmtId="0" fontId="31" fillId="0" borderId="172" applyNumberFormat="0" applyFill="0" applyAlignment="0" applyProtection="0"/>
    <xf numFmtId="0" fontId="31" fillId="0" borderId="55" applyNumberFormat="0" applyFill="0" applyAlignment="0" applyProtection="0"/>
    <xf numFmtId="0" fontId="29" fillId="12" borderId="56" applyNumberFormat="0" applyAlignment="0" applyProtection="0"/>
    <xf numFmtId="0" fontId="85" fillId="0" borderId="53"/>
    <xf numFmtId="0" fontId="8" fillId="10" borderId="50" applyNumberFormat="0" applyFont="0" applyAlignment="0" applyProtection="0"/>
    <xf numFmtId="0" fontId="31" fillId="0" borderId="55" applyNumberFormat="0" applyFill="0" applyAlignment="0" applyProtection="0"/>
    <xf numFmtId="0" fontId="29" fillId="12" borderId="56" applyNumberFormat="0" applyAlignment="0" applyProtection="0"/>
    <xf numFmtId="0" fontId="25" fillId="13" borderId="118" applyNumberFormat="0" applyAlignment="0" applyProtection="0"/>
    <xf numFmtId="0" fontId="85" fillId="0" borderId="53"/>
    <xf numFmtId="0" fontId="85" fillId="0" borderId="53"/>
    <xf numFmtId="0" fontId="28" fillId="0" borderId="53"/>
    <xf numFmtId="0" fontId="28" fillId="0" borderId="53"/>
    <xf numFmtId="0" fontId="8" fillId="45" borderId="59" applyNumberFormat="0" applyFont="0" applyAlignment="0" applyProtection="0"/>
    <xf numFmtId="0" fontId="8" fillId="10" borderId="50" applyNumberFormat="0" applyFont="0" applyAlignment="0" applyProtection="0"/>
    <xf numFmtId="0" fontId="49" fillId="10" borderId="50" applyNumberFormat="0" applyFont="0" applyAlignment="0" applyProtection="0"/>
    <xf numFmtId="0" fontId="31" fillId="0" borderId="52" applyNumberFormat="0" applyFill="0" applyAlignment="0" applyProtection="0"/>
    <xf numFmtId="0" fontId="31" fillId="0" borderId="57" applyNumberFormat="0" applyFill="0" applyAlignment="0" applyProtection="0"/>
    <xf numFmtId="0" fontId="28" fillId="10" borderId="50" applyNumberFormat="0" applyFont="0" applyAlignment="0" applyProtection="0"/>
    <xf numFmtId="0" fontId="31" fillId="0" borderId="55" applyNumberFormat="0" applyFill="0" applyAlignment="0" applyProtection="0"/>
    <xf numFmtId="0" fontId="31" fillId="0" borderId="52" applyNumberFormat="0" applyFill="0" applyAlignment="0" applyProtection="0"/>
    <xf numFmtId="0" fontId="28" fillId="10" borderId="168" applyNumberFormat="0" applyFont="0" applyAlignment="0" applyProtection="0"/>
    <xf numFmtId="0" fontId="48" fillId="24" borderId="118" applyNumberFormat="0" applyAlignment="0" applyProtection="0"/>
    <xf numFmtId="0" fontId="8" fillId="10" borderId="119" applyNumberFormat="0" applyFont="0" applyAlignment="0" applyProtection="0"/>
    <xf numFmtId="0" fontId="31" fillId="0" borderId="55" applyNumberFormat="0" applyFill="0" applyAlignment="0" applyProtection="0"/>
    <xf numFmtId="0" fontId="28" fillId="10" borderId="50" applyNumberFormat="0" applyFont="0" applyAlignment="0" applyProtection="0"/>
    <xf numFmtId="0" fontId="29" fillId="24" borderId="56" applyNumberFormat="0" applyAlignment="0" applyProtection="0"/>
    <xf numFmtId="0" fontId="31" fillId="0" borderId="58" applyNumberFormat="0" applyFill="0" applyAlignment="0" applyProtection="0"/>
    <xf numFmtId="0" fontId="31" fillId="0" borderId="58" applyNumberFormat="0" applyFill="0" applyAlignment="0" applyProtection="0"/>
    <xf numFmtId="0" fontId="73" fillId="0" borderId="54" applyBorder="0">
      <alignment horizontal="center" vertical="center" wrapText="1"/>
    </xf>
    <xf numFmtId="0" fontId="85" fillId="0" borderId="53"/>
    <xf numFmtId="0" fontId="8" fillId="45" borderId="59" applyNumberFormat="0" applyFont="0" applyAlignment="0" applyProtection="0"/>
    <xf numFmtId="0" fontId="31" fillId="0" borderId="52" applyNumberFormat="0" applyFill="0" applyAlignment="0" applyProtection="0"/>
    <xf numFmtId="0" fontId="24" fillId="24" borderId="51" applyNumberFormat="0" applyAlignment="0" applyProtection="0"/>
    <xf numFmtId="0" fontId="28" fillId="10" borderId="50" applyNumberFormat="0" applyFont="0" applyAlignment="0" applyProtection="0"/>
    <xf numFmtId="0" fontId="8" fillId="10" borderId="50" applyNumberFormat="0" applyFont="0" applyAlignment="0" applyProtection="0"/>
    <xf numFmtId="0" fontId="28" fillId="10" borderId="50" applyNumberFormat="0" applyFont="0" applyAlignment="0" applyProtection="0"/>
    <xf numFmtId="0" fontId="18" fillId="10" borderId="50" applyNumberFormat="0" applyFont="0" applyAlignment="0" applyProtection="0"/>
    <xf numFmtId="0" fontId="25" fillId="13" borderId="118" applyNumberFormat="0" applyAlignment="0" applyProtection="0"/>
    <xf numFmtId="0" fontId="31" fillId="0" borderId="58" applyNumberFormat="0" applyFill="0" applyAlignment="0" applyProtection="0"/>
    <xf numFmtId="0" fontId="31" fillId="0" borderId="58" applyNumberFormat="0" applyFill="0" applyAlignment="0" applyProtection="0"/>
    <xf numFmtId="0" fontId="29" fillId="24" borderId="56" applyNumberFormat="0" applyAlignment="0" applyProtection="0"/>
    <xf numFmtId="0" fontId="29" fillId="24" borderId="56" applyNumberFormat="0" applyAlignment="0" applyProtection="0"/>
    <xf numFmtId="0" fontId="29" fillId="24" borderId="56" applyNumberFormat="0" applyAlignment="0" applyProtection="0"/>
    <xf numFmtId="0" fontId="28" fillId="10" borderId="50" applyNumberFormat="0" applyFont="0" applyAlignment="0" applyProtection="0"/>
    <xf numFmtId="0" fontId="8" fillId="10" borderId="50" applyNumberFormat="0" applyFont="0" applyAlignment="0" applyProtection="0"/>
    <xf numFmtId="0" fontId="28" fillId="10" borderId="50" applyNumberFormat="0" applyFont="0" applyAlignment="0" applyProtection="0"/>
    <xf numFmtId="0" fontId="31" fillId="0" borderId="93" applyNumberFormat="0" applyFill="0" applyAlignment="0" applyProtection="0"/>
    <xf numFmtId="0" fontId="31" fillId="0" borderId="90" applyNumberFormat="0" applyFill="0" applyAlignment="0" applyProtection="0"/>
    <xf numFmtId="0" fontId="48" fillId="12" borderId="118" applyNumberFormat="0" applyAlignment="0" applyProtection="0"/>
    <xf numFmtId="0" fontId="31" fillId="0" borderId="55" applyNumberFormat="0" applyFill="0" applyAlignment="0" applyProtection="0"/>
    <xf numFmtId="0" fontId="31" fillId="0" borderId="52" applyNumberFormat="0" applyFill="0" applyAlignment="0" applyProtection="0"/>
    <xf numFmtId="0" fontId="31" fillId="0" borderId="52" applyNumberFormat="0" applyFill="0" applyAlignment="0" applyProtection="0"/>
    <xf numFmtId="0" fontId="24" fillId="24" borderId="51" applyNumberFormat="0" applyAlignment="0" applyProtection="0"/>
    <xf numFmtId="0" fontId="49" fillId="10" borderId="50" applyNumberFormat="0" applyFont="0" applyAlignment="0" applyProtection="0"/>
    <xf numFmtId="0" fontId="8" fillId="10" borderId="50" applyNumberFormat="0" applyFont="0" applyAlignment="0" applyProtection="0"/>
    <xf numFmtId="0" fontId="28" fillId="0" borderId="124"/>
    <xf numFmtId="0" fontId="31" fillId="0" borderId="55" applyNumberFormat="0" applyFill="0" applyAlignment="0" applyProtection="0"/>
    <xf numFmtId="0" fontId="31" fillId="0" borderId="58" applyNumberFormat="0" applyFill="0" applyAlignment="0" applyProtection="0"/>
    <xf numFmtId="0" fontId="31" fillId="0" borderId="58" applyNumberFormat="0" applyFill="0" applyAlignment="0" applyProtection="0"/>
    <xf numFmtId="0" fontId="31" fillId="0" borderId="57" applyNumberFormat="0" applyFill="0" applyAlignment="0" applyProtection="0"/>
    <xf numFmtId="0" fontId="8" fillId="45" borderId="125" applyNumberFormat="0" applyFont="0" applyAlignment="0" applyProtection="0"/>
    <xf numFmtId="0" fontId="29" fillId="24" borderId="56" applyNumberFormat="0" applyAlignment="0" applyProtection="0"/>
    <xf numFmtId="0" fontId="8" fillId="10" borderId="50" applyNumberFormat="0" applyFont="0" applyAlignment="0" applyProtection="0"/>
    <xf numFmtId="0" fontId="49" fillId="10" borderId="50" applyNumberFormat="0" applyFont="0" applyAlignment="0" applyProtection="0"/>
    <xf numFmtId="0" fontId="31" fillId="0" borderId="55" applyNumberFormat="0" applyFill="0" applyAlignment="0" applyProtection="0"/>
    <xf numFmtId="0" fontId="31" fillId="0" borderId="52" applyNumberFormat="0" applyFill="0" applyAlignment="0" applyProtection="0"/>
    <xf numFmtId="0" fontId="24" fillId="24" borderId="51" applyNumberFormat="0" applyAlignment="0" applyProtection="0"/>
    <xf numFmtId="0" fontId="31" fillId="0" borderId="58" applyNumberFormat="0" applyFill="0" applyAlignment="0" applyProtection="0"/>
    <xf numFmtId="0" fontId="31" fillId="0" borderId="58" applyNumberFormat="0" applyFill="0" applyAlignment="0" applyProtection="0"/>
    <xf numFmtId="0" fontId="31" fillId="0" borderId="58" applyNumberFormat="0" applyFill="0" applyAlignment="0" applyProtection="0"/>
    <xf numFmtId="0" fontId="31" fillId="0" borderId="58" applyNumberFormat="0" applyFill="0" applyAlignment="0" applyProtection="0"/>
    <xf numFmtId="0" fontId="31" fillId="0" borderId="116" applyNumberFormat="0" applyFill="0" applyAlignment="0" applyProtection="0"/>
    <xf numFmtId="0" fontId="31" fillId="0" borderId="58" applyNumberFormat="0" applyFill="0" applyAlignment="0" applyProtection="0"/>
    <xf numFmtId="0" fontId="29" fillId="24" borderId="56" applyNumberFormat="0" applyAlignment="0" applyProtection="0"/>
    <xf numFmtId="0" fontId="8" fillId="10" borderId="50" applyNumberFormat="0" applyFont="0" applyAlignment="0" applyProtection="0"/>
    <xf numFmtId="0" fontId="48" fillId="12" borderId="118" applyNumberFormat="0" applyAlignment="0" applyProtection="0"/>
    <xf numFmtId="0" fontId="49" fillId="10" borderId="50" applyNumberFormat="0" applyFont="0" applyAlignment="0" applyProtection="0"/>
    <xf numFmtId="0" fontId="31" fillId="0" borderId="55" applyNumberFormat="0" applyFill="0" applyAlignment="0" applyProtection="0"/>
    <xf numFmtId="0" fontId="31" fillId="0" borderId="55" applyNumberFormat="0" applyFill="0" applyAlignment="0" applyProtection="0"/>
    <xf numFmtId="0" fontId="85" fillId="0" borderId="53"/>
    <xf numFmtId="0" fontId="85" fillId="0" borderId="53"/>
    <xf numFmtId="0" fontId="31" fillId="0" borderId="52" applyNumberFormat="0" applyFill="0" applyAlignment="0" applyProtection="0"/>
    <xf numFmtId="0" fontId="28" fillId="0" borderId="53"/>
    <xf numFmtId="0" fontId="8" fillId="45" borderId="59" applyNumberFormat="0" applyFont="0" applyAlignment="0" applyProtection="0"/>
    <xf numFmtId="0" fontId="8" fillId="10" borderId="50" applyNumberFormat="0" applyFont="0" applyAlignment="0" applyProtection="0"/>
    <xf numFmtId="0" fontId="31" fillId="0" borderId="58" applyNumberFormat="0" applyFill="0" applyAlignment="0" applyProtection="0"/>
    <xf numFmtId="0" fontId="31" fillId="0" borderId="58" applyNumberFormat="0" applyFill="0" applyAlignment="0" applyProtection="0"/>
    <xf numFmtId="0" fontId="29" fillId="24" borderId="56" applyNumberFormat="0" applyAlignment="0" applyProtection="0"/>
    <xf numFmtId="0" fontId="29" fillId="24" borderId="56" applyNumberFormat="0" applyAlignment="0" applyProtection="0"/>
    <xf numFmtId="0" fontId="24" fillId="24" borderId="51" applyNumberFormat="0" applyAlignment="0" applyProtection="0"/>
    <xf numFmtId="0" fontId="28" fillId="10" borderId="50" applyNumberFormat="0" applyFont="0" applyAlignment="0" applyProtection="0"/>
    <xf numFmtId="0" fontId="28" fillId="10" borderId="50" applyNumberFormat="0" applyFont="0" applyAlignment="0" applyProtection="0"/>
    <xf numFmtId="0" fontId="28" fillId="10" borderId="50" applyNumberFormat="0" applyFont="0" applyAlignment="0" applyProtection="0"/>
    <xf numFmtId="0" fontId="31" fillId="0" borderId="93" applyNumberFormat="0" applyFill="0" applyAlignment="0" applyProtection="0"/>
    <xf numFmtId="0" fontId="24" fillId="24" borderId="86" applyNumberFormat="0" applyAlignment="0" applyProtection="0"/>
    <xf numFmtId="0" fontId="31" fillId="0" borderId="87" applyNumberFormat="0" applyFill="0" applyAlignment="0" applyProtection="0"/>
    <xf numFmtId="0" fontId="31" fillId="0" borderId="55" applyNumberFormat="0" applyFill="0" applyAlignment="0" applyProtection="0"/>
    <xf numFmtId="0" fontId="24" fillId="24" borderId="51" applyNumberFormat="0" applyAlignment="0" applyProtection="0"/>
    <xf numFmtId="0" fontId="49" fillId="10" borderId="50" applyNumberFormat="0" applyFont="0" applyAlignment="0" applyProtection="0"/>
    <xf numFmtId="0" fontId="49" fillId="10" borderId="50" applyNumberFormat="0" applyFont="0" applyAlignment="0" applyProtection="0"/>
    <xf numFmtId="0" fontId="8" fillId="10" borderId="50" applyNumberFormat="0" applyFont="0" applyAlignment="0" applyProtection="0"/>
    <xf numFmtId="0" fontId="31" fillId="0" borderId="58" applyNumberFormat="0" applyFill="0" applyAlignment="0" applyProtection="0"/>
    <xf numFmtId="0" fontId="31" fillId="0" borderId="58" applyNumberFormat="0" applyFill="0" applyAlignment="0" applyProtection="0"/>
    <xf numFmtId="0" fontId="29" fillId="24" borderId="56" applyNumberFormat="0" applyAlignment="0" applyProtection="0"/>
    <xf numFmtId="0" fontId="29" fillId="24" borderId="56" applyNumberFormat="0" applyAlignment="0" applyProtection="0"/>
    <xf numFmtId="0" fontId="29" fillId="12" borderId="56" applyNumberFormat="0" applyAlignment="0" applyProtection="0"/>
    <xf numFmtId="0" fontId="31" fillId="0" borderId="55" applyNumberFormat="0" applyFill="0" applyAlignment="0" applyProtection="0"/>
    <xf numFmtId="0" fontId="48" fillId="24" borderId="167" applyNumberFormat="0" applyAlignment="0" applyProtection="0"/>
    <xf numFmtId="0" fontId="85" fillId="0" borderId="53"/>
    <xf numFmtId="0" fontId="85" fillId="0" borderId="53"/>
    <xf numFmtId="0" fontId="73" fillId="0" borderId="109" applyBorder="0">
      <alignment horizontal="center" vertical="center" wrapText="1"/>
    </xf>
    <xf numFmtId="0" fontId="28" fillId="0" borderId="53"/>
    <xf numFmtId="0" fontId="28" fillId="0" borderId="53"/>
    <xf numFmtId="0" fontId="29" fillId="12" borderId="146" applyNumberFormat="0" applyAlignment="0" applyProtection="0"/>
    <xf numFmtId="0" fontId="48" fillId="12" borderId="194" applyNumberFormat="0" applyAlignment="0" applyProtection="0"/>
    <xf numFmtId="0" fontId="49" fillId="10" borderId="103" applyNumberFormat="0" applyFont="0" applyAlignment="0" applyProtection="0"/>
    <xf numFmtId="0" fontId="8" fillId="45" borderId="59" applyNumberFormat="0" applyFont="0" applyAlignment="0" applyProtection="0"/>
    <xf numFmtId="0" fontId="8" fillId="10" borderId="50" applyNumberFormat="0" applyFont="0" applyAlignment="0" applyProtection="0"/>
    <xf numFmtId="0" fontId="48" fillId="12" borderId="143" applyNumberFormat="0" applyAlignment="0" applyProtection="0"/>
    <xf numFmtId="0" fontId="29" fillId="12" borderId="146" applyNumberFormat="0" applyAlignment="0" applyProtection="0"/>
    <xf numFmtId="0" fontId="85" fillId="73" borderId="149"/>
    <xf numFmtId="0" fontId="48" fillId="24" borderId="143" applyNumberFormat="0" applyAlignment="0" applyProtection="0"/>
    <xf numFmtId="0" fontId="49" fillId="10" borderId="177" applyNumberFormat="0" applyFont="0" applyAlignment="0" applyProtection="0"/>
    <xf numFmtId="0" fontId="49" fillId="10" borderId="177" applyNumberFormat="0" applyFont="0" applyAlignment="0" applyProtection="0"/>
    <xf numFmtId="0" fontId="31" fillId="0" borderId="166" applyNumberFormat="0" applyFill="0" applyAlignment="0" applyProtection="0"/>
    <xf numFmtId="0" fontId="73" fillId="0" borderId="152" applyBorder="0">
      <alignment horizontal="center" vertical="center" wrapText="1"/>
    </xf>
    <xf numFmtId="0" fontId="85" fillId="0" borderId="180"/>
    <xf numFmtId="0" fontId="25" fillId="8" borderId="167" applyNumberFormat="0" applyAlignment="0" applyProtection="0"/>
    <xf numFmtId="0" fontId="73" fillId="0" borderId="164" applyBorder="0">
      <alignment horizontal="center" vertical="center" wrapText="1"/>
    </xf>
    <xf numFmtId="0" fontId="31" fillId="0" borderId="184" applyNumberFormat="0" applyFill="0" applyAlignment="0" applyProtection="0"/>
    <xf numFmtId="0" fontId="24" fillId="24" borderId="169" applyNumberFormat="0" applyAlignment="0" applyProtection="0"/>
    <xf numFmtId="0" fontId="25" fillId="8" borderId="167" applyNumberFormat="0" applyAlignment="0" applyProtection="0"/>
    <xf numFmtId="0" fontId="31" fillId="0" borderId="93" applyNumberFormat="0" applyFill="0" applyAlignment="0" applyProtection="0"/>
    <xf numFmtId="0" fontId="31" fillId="0" borderId="92" applyNumberFormat="0" applyFill="0" applyAlignment="0" applyProtection="0"/>
    <xf numFmtId="0" fontId="31" fillId="0" borderId="93" applyNumberFormat="0" applyFill="0" applyAlignment="0" applyProtection="0"/>
    <xf numFmtId="0" fontId="31" fillId="0" borderId="93" applyNumberFormat="0" applyFill="0" applyAlignment="0" applyProtection="0"/>
    <xf numFmtId="0" fontId="24" fillId="24" borderId="86" applyNumberFormat="0" applyAlignment="0" applyProtection="0"/>
    <xf numFmtId="0" fontId="31" fillId="0" borderId="93" applyNumberFormat="0" applyFill="0" applyAlignment="0" applyProtection="0"/>
    <xf numFmtId="0" fontId="31" fillId="0" borderId="87" applyNumberFormat="0" applyFill="0" applyAlignment="0" applyProtection="0"/>
    <xf numFmtId="0" fontId="28" fillId="0" borderId="88"/>
    <xf numFmtId="0" fontId="28" fillId="0" borderId="88"/>
    <xf numFmtId="0" fontId="48" fillId="24" borderId="194" applyNumberFormat="0" applyAlignment="0" applyProtection="0"/>
    <xf numFmtId="0" fontId="8" fillId="45" borderId="125" applyNumberFormat="0" applyFont="0" applyAlignment="0" applyProtection="0"/>
    <xf numFmtId="0" fontId="28" fillId="10" borderId="76" applyNumberFormat="0" applyFont="0" applyAlignment="0" applyProtection="0"/>
    <xf numFmtId="0" fontId="28" fillId="10" borderId="76" applyNumberFormat="0" applyFont="0" applyAlignment="0" applyProtection="0"/>
    <xf numFmtId="0" fontId="8" fillId="10" borderId="103" applyNumberFormat="0" applyFont="0" applyAlignment="0" applyProtection="0"/>
    <xf numFmtId="0" fontId="29" fillId="24" borderId="91" applyNumberFormat="0" applyAlignment="0" applyProtection="0"/>
    <xf numFmtId="0" fontId="25" fillId="13" borderId="118" applyNumberFormat="0" applyAlignment="0" applyProtection="0"/>
    <xf numFmtId="0" fontId="31" fillId="0" borderId="108" applyNumberFormat="0" applyFill="0" applyAlignment="0" applyProtection="0"/>
    <xf numFmtId="0" fontId="31" fillId="0" borderId="197" applyNumberFormat="0" applyFill="0" applyAlignment="0" applyProtection="0"/>
    <xf numFmtId="0" fontId="31" fillId="0" borderId="185" applyNumberFormat="0" applyFill="0" applyAlignment="0" applyProtection="0"/>
    <xf numFmtId="0" fontId="8" fillId="10" borderId="168" applyNumberFormat="0" applyFont="0" applyAlignment="0" applyProtection="0"/>
    <xf numFmtId="0" fontId="48" fillId="12" borderId="194" applyNumberFormat="0" applyAlignment="0" applyProtection="0"/>
    <xf numFmtId="0" fontId="31" fillId="0" borderId="185" applyNumberFormat="0" applyFill="0" applyAlignment="0" applyProtection="0"/>
    <xf numFmtId="0" fontId="41" fillId="13" borderId="194" applyNumberFormat="0" applyAlignment="0" applyProtection="0"/>
    <xf numFmtId="0" fontId="32" fillId="24" borderId="194" applyNumberFormat="0" applyAlignment="0" applyProtection="0"/>
    <xf numFmtId="0" fontId="85" fillId="0" borderId="124"/>
    <xf numFmtId="0" fontId="28" fillId="10" borderId="119" applyNumberFormat="0" applyFont="0" applyAlignment="0" applyProtection="0"/>
    <xf numFmtId="0" fontId="85" fillId="73" borderId="149"/>
    <xf numFmtId="0" fontId="29" fillId="24" borderId="193" applyNumberFormat="0" applyAlignment="0" applyProtection="0"/>
    <xf numFmtId="0" fontId="41" fillId="13" borderId="160" applyNumberFormat="0" applyAlignment="0" applyProtection="0"/>
    <xf numFmtId="0" fontId="8" fillId="45" borderId="186" applyNumberFormat="0" applyFont="0" applyAlignment="0" applyProtection="0"/>
    <xf numFmtId="0" fontId="48" fillId="12" borderId="194" applyNumberFormat="0" applyAlignment="0" applyProtection="0"/>
    <xf numFmtId="0" fontId="28" fillId="10" borderId="177" applyNumberFormat="0" applyFont="0" applyAlignment="0" applyProtection="0"/>
    <xf numFmtId="0" fontId="31" fillId="0" borderId="98" applyNumberFormat="0" applyFill="0" applyAlignment="0" applyProtection="0"/>
    <xf numFmtId="0" fontId="24" fillId="24" borderId="97" applyNumberFormat="0" applyAlignment="0" applyProtection="0"/>
    <xf numFmtId="0" fontId="28" fillId="10" borderId="96" applyNumberFormat="0" applyFont="0" applyAlignment="0" applyProtection="0"/>
    <xf numFmtId="0" fontId="8" fillId="10" borderId="96" applyNumberFormat="0" applyFont="0" applyAlignment="0" applyProtection="0"/>
    <xf numFmtId="0" fontId="28" fillId="10" borderId="96" applyNumberFormat="0" applyFont="0" applyAlignment="0" applyProtection="0"/>
    <xf numFmtId="0" fontId="28" fillId="0" borderId="99"/>
    <xf numFmtId="0" fontId="29" fillId="12" borderId="193" applyNumberFormat="0" applyAlignment="0" applyProtection="0"/>
    <xf numFmtId="0" fontId="25" fillId="13" borderId="95" applyNumberFormat="0" applyAlignment="0" applyProtection="0"/>
    <xf numFmtId="0" fontId="25" fillId="13" borderId="95" applyNumberFormat="0" applyAlignment="0" applyProtection="0"/>
    <xf numFmtId="0" fontId="29" fillId="24" borderId="170" applyNumberFormat="0" applyAlignment="0" applyProtection="0"/>
    <xf numFmtId="0" fontId="28" fillId="10" borderId="119" applyNumberFormat="0" applyFont="0" applyAlignment="0" applyProtection="0"/>
    <xf numFmtId="0" fontId="31" fillId="0" borderId="122" applyNumberFormat="0" applyFill="0" applyAlignment="0" applyProtection="0"/>
    <xf numFmtId="0" fontId="16" fillId="24" borderId="95" applyNumberFormat="0" applyAlignment="0" applyProtection="0"/>
    <xf numFmtId="0" fontId="28" fillId="10" borderId="177" applyNumberFormat="0" applyFont="0" applyAlignment="0" applyProtection="0"/>
    <xf numFmtId="0" fontId="31" fillId="0" borderId="123" applyNumberFormat="0" applyFill="0" applyAlignment="0" applyProtection="0"/>
    <xf numFmtId="0" fontId="31" fillId="0" borderId="90" applyNumberFormat="0" applyFill="0" applyAlignment="0" applyProtection="0"/>
    <xf numFmtId="0" fontId="16" fillId="24" borderId="160" applyNumberFormat="0" applyAlignment="0" applyProtection="0"/>
    <xf numFmtId="0" fontId="8" fillId="45" borderId="175" applyNumberFormat="0" applyFont="0" applyAlignment="0" applyProtection="0"/>
    <xf numFmtId="0" fontId="31" fillId="0" borderId="87" applyNumberFormat="0" applyFill="0" applyAlignment="0" applyProtection="0"/>
    <xf numFmtId="0" fontId="49" fillId="10" borderId="85" applyNumberFormat="0" applyFont="0" applyAlignment="0" applyProtection="0"/>
    <xf numFmtId="0" fontId="29" fillId="12" borderId="91" applyNumberFormat="0" applyAlignment="0" applyProtection="0"/>
    <xf numFmtId="0" fontId="85" fillId="0" borderId="88"/>
    <xf numFmtId="0" fontId="8" fillId="45" borderId="94" applyNumberFormat="0" applyFont="0" applyAlignment="0" applyProtection="0"/>
    <xf numFmtId="0" fontId="49" fillId="10" borderId="85" applyNumberFormat="0" applyFont="0" applyAlignment="0" applyProtection="0"/>
    <xf numFmtId="0" fontId="31" fillId="0" borderId="87" applyNumberFormat="0" applyFill="0" applyAlignment="0" applyProtection="0"/>
    <xf numFmtId="0" fontId="28" fillId="10" borderId="85" applyNumberFormat="0" applyFont="0" applyAlignment="0" applyProtection="0"/>
    <xf numFmtId="0" fontId="31" fillId="0" borderId="92" applyNumberFormat="0" applyFill="0" applyAlignment="0" applyProtection="0"/>
    <xf numFmtId="0" fontId="28" fillId="10" borderId="85" applyNumberFormat="0" applyFont="0" applyAlignment="0" applyProtection="0"/>
    <xf numFmtId="0" fontId="31" fillId="0" borderId="90" applyNumberFormat="0" applyFill="0" applyAlignment="0" applyProtection="0"/>
    <xf numFmtId="0" fontId="31" fillId="0" borderId="87" applyNumberFormat="0" applyFill="0" applyAlignment="0" applyProtection="0"/>
    <xf numFmtId="0" fontId="8" fillId="10" borderId="85" applyNumberFormat="0" applyFont="0" applyAlignment="0" applyProtection="0"/>
    <xf numFmtId="0" fontId="31" fillId="0" borderId="90" applyNumberFormat="0" applyFill="0" applyAlignment="0" applyProtection="0"/>
    <xf numFmtId="0" fontId="31" fillId="0" borderId="93" applyNumberFormat="0" applyFill="0" applyAlignment="0" applyProtection="0"/>
    <xf numFmtId="0" fontId="24" fillId="24" borderId="86" applyNumberFormat="0" applyAlignment="0" applyProtection="0"/>
    <xf numFmtId="0" fontId="24" fillId="24" borderId="86" applyNumberFormat="0" applyAlignment="0" applyProtection="0"/>
    <xf numFmtId="0" fontId="31" fillId="0" borderId="90" applyNumberFormat="0" applyFill="0" applyAlignment="0" applyProtection="0"/>
    <xf numFmtId="0" fontId="31" fillId="0" borderId="92" applyNumberFormat="0" applyFill="0" applyAlignment="0" applyProtection="0"/>
    <xf numFmtId="0" fontId="24" fillId="24" borderId="86" applyNumberFormat="0" applyAlignment="0" applyProtection="0"/>
    <xf numFmtId="0" fontId="48" fillId="12" borderId="167" applyNumberFormat="0" applyAlignment="0" applyProtection="0"/>
    <xf numFmtId="0" fontId="24" fillId="24" borderId="162" applyNumberFormat="0" applyAlignment="0" applyProtection="0"/>
    <xf numFmtId="0" fontId="31" fillId="0" borderId="122" applyNumberFormat="0" applyFill="0" applyAlignment="0" applyProtection="0"/>
    <xf numFmtId="0" fontId="31" fillId="0" borderId="200" applyNumberFormat="0" applyFill="0" applyAlignment="0" applyProtection="0"/>
    <xf numFmtId="0" fontId="31" fillId="0" borderId="166" applyNumberFormat="0" applyFill="0" applyAlignment="0" applyProtection="0"/>
    <xf numFmtId="0" fontId="49" fillId="10" borderId="195" applyNumberFormat="0" applyFont="0" applyAlignment="0" applyProtection="0"/>
    <xf numFmtId="0" fontId="31" fillId="0" borderId="200" applyNumberFormat="0" applyFill="0" applyAlignment="0" applyProtection="0"/>
    <xf numFmtId="0" fontId="31" fillId="0" borderId="185" applyNumberFormat="0" applyFill="0" applyAlignment="0" applyProtection="0"/>
    <xf numFmtId="0" fontId="41" fillId="13" borderId="194" applyNumberFormat="0" applyAlignment="0" applyProtection="0"/>
    <xf numFmtId="0" fontId="25" fillId="8" borderId="143" applyNumberFormat="0" applyAlignment="0" applyProtection="0"/>
    <xf numFmtId="0" fontId="41" fillId="13" borderId="143" applyNumberFormat="0" applyAlignment="0" applyProtection="0"/>
    <xf numFmtId="0" fontId="48" fillId="12" borderId="143" applyNumberFormat="0" applyAlignment="0" applyProtection="0"/>
    <xf numFmtId="0" fontId="49" fillId="10" borderId="195" applyNumberFormat="0" applyFont="0" applyAlignment="0" applyProtection="0"/>
    <xf numFmtId="0" fontId="24" fillId="24" borderId="162" applyNumberFormat="0" applyAlignment="0" applyProtection="0"/>
    <xf numFmtId="0" fontId="31" fillId="0" borderId="90" applyNumberFormat="0" applyFill="0" applyAlignment="0" applyProtection="0"/>
    <xf numFmtId="0" fontId="8" fillId="10" borderId="85" applyNumberFormat="0" applyFont="0" applyAlignment="0" applyProtection="0"/>
    <xf numFmtId="0" fontId="31" fillId="0" borderId="171" applyNumberFormat="0" applyFill="0" applyAlignment="0" applyProtection="0"/>
    <xf numFmtId="0" fontId="31" fillId="0" borderId="185" applyNumberFormat="0" applyFill="0" applyAlignment="0" applyProtection="0"/>
    <xf numFmtId="0" fontId="31" fillId="0" borderId="185" applyNumberFormat="0" applyFill="0" applyAlignment="0" applyProtection="0"/>
    <xf numFmtId="0" fontId="31" fillId="0" borderId="116" applyNumberFormat="0" applyFill="0" applyAlignment="0" applyProtection="0"/>
    <xf numFmtId="0" fontId="29" fillId="12" borderId="117" applyNumberFormat="0" applyAlignment="0" applyProtection="0"/>
    <xf numFmtId="0" fontId="31" fillId="0" borderId="107" applyNumberFormat="0" applyFill="0" applyAlignment="0" applyProtection="0"/>
    <xf numFmtId="0" fontId="29" fillId="24" borderId="56" applyNumberFormat="0" applyAlignment="0" applyProtection="0"/>
    <xf numFmtId="0" fontId="28" fillId="10" borderId="50" applyNumberFormat="0" applyFont="0" applyAlignment="0" applyProtection="0"/>
    <xf numFmtId="0" fontId="28" fillId="10" borderId="50" applyNumberFormat="0" applyFont="0" applyAlignment="0" applyProtection="0"/>
    <xf numFmtId="0" fontId="49" fillId="10" borderId="85" applyNumberFormat="0" applyFont="0" applyAlignment="0" applyProtection="0"/>
    <xf numFmtId="0" fontId="28" fillId="10" borderId="144" applyNumberFormat="0" applyFont="0" applyAlignment="0" applyProtection="0"/>
    <xf numFmtId="0" fontId="31" fillId="0" borderId="166" applyNumberFormat="0" applyFill="0" applyAlignment="0" applyProtection="0"/>
    <xf numFmtId="0" fontId="85" fillId="0" borderId="149"/>
    <xf numFmtId="0" fontId="25" fillId="13" borderId="67" applyNumberFormat="0" applyAlignment="0" applyProtection="0"/>
    <xf numFmtId="0" fontId="48" fillId="24" borderId="102" applyNumberFormat="0" applyAlignment="0" applyProtection="0"/>
    <xf numFmtId="0" fontId="29" fillId="24" borderId="56" applyNumberFormat="0" applyAlignment="0" applyProtection="0"/>
    <xf numFmtId="0" fontId="16" fillId="24" borderId="153" applyNumberFormat="0" applyAlignment="0" applyProtection="0"/>
    <xf numFmtId="0" fontId="8" fillId="45" borderId="110" applyNumberFormat="0" applyFont="0" applyAlignment="0" applyProtection="0"/>
    <xf numFmtId="0" fontId="48" fillId="12" borderId="194" applyNumberFormat="0" applyAlignment="0" applyProtection="0"/>
    <xf numFmtId="0" fontId="48" fillId="24" borderId="75" applyNumberFormat="0" applyAlignment="0" applyProtection="0"/>
    <xf numFmtId="0" fontId="25" fillId="13" borderId="102" applyNumberFormat="0" applyAlignment="0" applyProtection="0"/>
    <xf numFmtId="0" fontId="31" fillId="0" borderId="165" applyNumberFormat="0" applyFill="0" applyAlignment="0" applyProtection="0"/>
    <xf numFmtId="0" fontId="48" fillId="12" borderId="167" applyNumberFormat="0" applyAlignment="0" applyProtection="0"/>
    <xf numFmtId="0" fontId="16" fillId="24" borderId="203" applyNumberFormat="0" applyAlignment="0" applyProtection="0"/>
    <xf numFmtId="0" fontId="28" fillId="0" borderId="82"/>
    <xf numFmtId="0" fontId="85" fillId="0" borderId="82"/>
    <xf numFmtId="0" fontId="31" fillId="0" borderId="74" applyNumberFormat="0" applyFill="0" applyAlignment="0" applyProtection="0"/>
    <xf numFmtId="0" fontId="8" fillId="10" borderId="76" applyNumberFormat="0" applyFont="0" applyAlignment="0" applyProtection="0"/>
    <xf numFmtId="0" fontId="31" fillId="0" borderId="74" applyNumberFormat="0" applyFill="0" applyAlignment="0" applyProtection="0"/>
    <xf numFmtId="0" fontId="31" fillId="0" borderId="74" applyNumberFormat="0" applyFill="0" applyAlignment="0" applyProtection="0"/>
    <xf numFmtId="0" fontId="31" fillId="0" borderId="73" applyNumberFormat="0" applyFill="0" applyAlignment="0" applyProtection="0"/>
    <xf numFmtId="0" fontId="31" fillId="0" borderId="74" applyNumberFormat="0" applyFill="0" applyAlignment="0" applyProtection="0"/>
    <xf numFmtId="0" fontId="25" fillId="13" borderId="167" applyNumberFormat="0" applyAlignment="0" applyProtection="0"/>
    <xf numFmtId="0" fontId="8" fillId="10" borderId="144" applyNumberFormat="0" applyFont="0" applyAlignment="0" applyProtection="0"/>
    <xf numFmtId="0" fontId="85" fillId="0" borderId="124"/>
    <xf numFmtId="0" fontId="28" fillId="0" borderId="124"/>
    <xf numFmtId="0" fontId="73" fillId="0" borderId="54" applyBorder="0">
      <alignment horizontal="center" vertical="center" wrapText="1"/>
    </xf>
    <xf numFmtId="0" fontId="29" fillId="24" borderId="91" applyNumberFormat="0" applyAlignment="0" applyProtection="0"/>
    <xf numFmtId="0" fontId="8" fillId="10" borderId="85" applyNumberFormat="0" applyFont="0" applyAlignment="0" applyProtection="0"/>
    <xf numFmtId="0" fontId="31" fillId="0" borderId="93" applyNumberFormat="0" applyFill="0" applyAlignment="0" applyProtection="0"/>
    <xf numFmtId="0" fontId="28" fillId="10" borderId="195" applyNumberFormat="0" applyFont="0" applyAlignment="0" applyProtection="0"/>
    <xf numFmtId="0" fontId="31" fillId="0" borderId="151" applyNumberFormat="0" applyFill="0" applyAlignment="0" applyProtection="0"/>
    <xf numFmtId="0" fontId="25" fillId="13" borderId="143" applyNumberFormat="0" applyAlignment="0" applyProtection="0"/>
    <xf numFmtId="0" fontId="49" fillId="10" borderId="119" applyNumberFormat="0" applyFont="0" applyAlignment="0" applyProtection="0"/>
    <xf numFmtId="0" fontId="48" fillId="24" borderId="194" applyNumberFormat="0" applyAlignment="0" applyProtection="0"/>
    <xf numFmtId="0" fontId="18" fillId="10" borderId="195" applyNumberFormat="0" applyFont="0" applyAlignment="0" applyProtection="0"/>
    <xf numFmtId="0" fontId="31" fillId="0" borderId="148" applyNumberFormat="0" applyFill="0" applyAlignment="0" applyProtection="0"/>
    <xf numFmtId="0" fontId="29" fillId="24" borderId="170" applyNumberFormat="0" applyAlignment="0" applyProtection="0"/>
    <xf numFmtId="0" fontId="29" fillId="24" borderId="170" applyNumberFormat="0" applyAlignment="0" applyProtection="0"/>
    <xf numFmtId="0" fontId="31" fillId="0" borderId="148" applyNumberFormat="0" applyFill="0" applyAlignment="0" applyProtection="0"/>
    <xf numFmtId="0" fontId="24" fillId="24" borderId="145" applyNumberFormat="0" applyAlignment="0" applyProtection="0"/>
    <xf numFmtId="0" fontId="8" fillId="10" borderId="103" applyNumberFormat="0" applyFont="0" applyAlignment="0" applyProtection="0"/>
    <xf numFmtId="0" fontId="29" fillId="24" borderId="101" applyNumberFormat="0" applyAlignment="0" applyProtection="0"/>
    <xf numFmtId="0" fontId="31" fillId="0" borderId="197" applyNumberFormat="0" applyFill="0" applyAlignment="0" applyProtection="0"/>
    <xf numFmtId="0" fontId="31" fillId="0" borderId="158" applyNumberFormat="0" applyFill="0" applyAlignment="0" applyProtection="0"/>
    <xf numFmtId="0" fontId="31" fillId="0" borderId="199" applyNumberFormat="0" applyFill="0" applyAlignment="0" applyProtection="0"/>
    <xf numFmtId="0" fontId="29" fillId="24" borderId="193" applyNumberFormat="0" applyAlignment="0" applyProtection="0"/>
    <xf numFmtId="0" fontId="31" fillId="0" borderId="158" applyNumberFormat="0" applyFill="0" applyAlignment="0" applyProtection="0"/>
    <xf numFmtId="0" fontId="31" fillId="0" borderId="200" applyNumberFormat="0" applyFill="0" applyAlignment="0" applyProtection="0"/>
    <xf numFmtId="0" fontId="28" fillId="0" borderId="88"/>
    <xf numFmtId="0" fontId="85" fillId="0" borderId="88"/>
    <xf numFmtId="0" fontId="29" fillId="12" borderId="91" applyNumberFormat="0" applyAlignment="0" applyProtection="0"/>
    <xf numFmtId="0" fontId="31" fillId="0" borderId="93" applyNumberFormat="0" applyFill="0" applyAlignment="0" applyProtection="0"/>
    <xf numFmtId="0" fontId="29" fillId="24" borderId="91" applyNumberFormat="0" applyAlignment="0" applyProtection="0"/>
    <xf numFmtId="0" fontId="28" fillId="10" borderId="85" applyNumberFormat="0" applyFont="0" applyAlignment="0" applyProtection="0"/>
    <xf numFmtId="0" fontId="29" fillId="12" borderId="91" applyNumberFormat="0" applyAlignment="0" applyProtection="0"/>
    <xf numFmtId="0" fontId="31" fillId="0" borderId="90" applyNumberFormat="0" applyFill="0" applyAlignment="0" applyProtection="0"/>
    <xf numFmtId="0" fontId="8" fillId="45" borderId="94" applyNumberFormat="0" applyFont="0" applyAlignment="0" applyProtection="0"/>
    <xf numFmtId="0" fontId="28" fillId="10" borderId="103" applyNumberFormat="0" applyFont="0" applyAlignment="0" applyProtection="0"/>
    <xf numFmtId="0" fontId="29" fillId="12" borderId="193" applyNumberFormat="0" applyAlignment="0" applyProtection="0"/>
    <xf numFmtId="0" fontId="16" fillId="24" borderId="127" applyNumberFormat="0" applyAlignment="0" applyProtection="0"/>
    <xf numFmtId="0" fontId="29" fillId="12" borderId="117" applyNumberFormat="0" applyAlignment="0" applyProtection="0"/>
    <xf numFmtId="0" fontId="73" fillId="0" borderId="54" applyBorder="0">
      <alignment horizontal="center" vertical="center" wrapText="1"/>
    </xf>
    <xf numFmtId="0" fontId="28" fillId="10" borderId="168" applyNumberFormat="0" applyFont="0" applyAlignment="0" applyProtection="0"/>
    <xf numFmtId="0" fontId="85" fillId="0" borderId="180"/>
    <xf numFmtId="0" fontId="31" fillId="0" borderId="123" applyNumberFormat="0" applyFill="0" applyAlignment="0" applyProtection="0"/>
    <xf numFmtId="0" fontId="16" fillId="24" borderId="194" applyNumberFormat="0" applyAlignment="0" applyProtection="0"/>
    <xf numFmtId="0" fontId="29" fillId="12" borderId="193" applyNumberFormat="0" applyAlignment="0" applyProtection="0"/>
    <xf numFmtId="0" fontId="31" fillId="0" borderId="148" applyNumberFormat="0" applyFill="0" applyAlignment="0" applyProtection="0"/>
    <xf numFmtId="0" fontId="25" fillId="13" borderId="143" applyNumberFormat="0" applyAlignment="0" applyProtection="0"/>
    <xf numFmtId="0" fontId="28" fillId="10" borderId="168" applyNumberFormat="0" applyFont="0" applyAlignment="0" applyProtection="0"/>
    <xf numFmtId="0" fontId="25" fillId="13" borderId="153" applyNumberFormat="0" applyAlignment="0" applyProtection="0"/>
    <xf numFmtId="0" fontId="8" fillId="10" borderId="103" applyNumberFormat="0" applyFont="0" applyAlignment="0" applyProtection="0"/>
    <xf numFmtId="0" fontId="24" fillId="24" borderId="162" applyNumberFormat="0" applyAlignment="0" applyProtection="0"/>
    <xf numFmtId="0" fontId="28" fillId="10" borderId="188" applyNumberFormat="0" applyFont="0" applyAlignment="0" applyProtection="0"/>
    <xf numFmtId="0" fontId="31" fillId="0" borderId="122" applyNumberFormat="0" applyFill="0" applyAlignment="0" applyProtection="0"/>
    <xf numFmtId="0" fontId="16" fillId="24" borderId="167" applyNumberFormat="0" applyAlignment="0" applyProtection="0"/>
    <xf numFmtId="0" fontId="28" fillId="10" borderId="128" applyNumberFormat="0" applyFont="0" applyAlignment="0" applyProtection="0"/>
    <xf numFmtId="0" fontId="31" fillId="0" borderId="122" applyNumberFormat="0" applyFill="0" applyAlignment="0" applyProtection="0"/>
    <xf numFmtId="0" fontId="8" fillId="10" borderId="103" applyNumberFormat="0" applyFont="0" applyAlignment="0" applyProtection="0"/>
    <xf numFmtId="0" fontId="48" fillId="12" borderId="75" applyNumberFormat="0" applyAlignment="0" applyProtection="0"/>
    <xf numFmtId="0" fontId="31" fillId="0" borderId="142" applyNumberFormat="0" applyFill="0" applyAlignment="0" applyProtection="0"/>
    <xf numFmtId="0" fontId="49" fillId="10" borderId="85" applyNumberFormat="0" applyFont="0" applyAlignment="0" applyProtection="0"/>
    <xf numFmtId="0" fontId="31" fillId="0" borderId="185" applyNumberFormat="0" applyFill="0" applyAlignment="0" applyProtection="0"/>
    <xf numFmtId="0" fontId="32" fillId="24" borderId="102" applyNumberFormat="0" applyAlignment="0" applyProtection="0"/>
    <xf numFmtId="0" fontId="28" fillId="0" borderId="191"/>
    <xf numFmtId="0" fontId="31" fillId="0" borderId="73" applyNumberFormat="0" applyFill="0" applyAlignment="0" applyProtection="0"/>
    <xf numFmtId="0" fontId="25" fillId="13" borderId="102" applyNumberFormat="0" applyAlignment="0" applyProtection="0"/>
    <xf numFmtId="0" fontId="28" fillId="10" borderId="119" applyNumberFormat="0" applyFont="0" applyAlignment="0" applyProtection="0"/>
    <xf numFmtId="0" fontId="28" fillId="0" borderId="174"/>
    <xf numFmtId="0" fontId="49" fillId="10" borderId="119" applyNumberFormat="0" applyFont="0" applyAlignment="0" applyProtection="0"/>
    <xf numFmtId="0" fontId="18" fillId="10" borderId="144" applyNumberFormat="0" applyFont="0" applyAlignment="0" applyProtection="0"/>
    <xf numFmtId="0" fontId="49" fillId="10" borderId="188" applyNumberFormat="0" applyFont="0" applyAlignment="0" applyProtection="0"/>
    <xf numFmtId="0" fontId="31" fillId="0" borderId="184" applyNumberFormat="0" applyFill="0" applyAlignment="0" applyProtection="0"/>
    <xf numFmtId="0" fontId="8" fillId="10" borderId="85" applyNumberFormat="0" applyFont="0" applyAlignment="0" applyProtection="0"/>
    <xf numFmtId="0" fontId="16" fillId="24" borderId="194" applyNumberFormat="0" applyAlignment="0" applyProtection="0"/>
    <xf numFmtId="0" fontId="31" fillId="0" borderId="93" applyNumberFormat="0" applyFill="0" applyAlignment="0" applyProtection="0"/>
    <xf numFmtId="0" fontId="8" fillId="10" borderId="177" applyNumberFormat="0" applyFont="0" applyAlignment="0" applyProtection="0"/>
    <xf numFmtId="0" fontId="29" fillId="12" borderId="170" applyNumberFormat="0" applyAlignment="0" applyProtection="0"/>
    <xf numFmtId="0" fontId="18" fillId="10" borderId="112" applyNumberFormat="0" applyFont="0" applyAlignment="0" applyProtection="0"/>
    <xf numFmtId="0" fontId="29" fillId="24" borderId="146" applyNumberFormat="0" applyAlignment="0" applyProtection="0"/>
    <xf numFmtId="0" fontId="48" fillId="12" borderId="194" applyNumberFormat="0" applyAlignment="0" applyProtection="0"/>
    <xf numFmtId="0" fontId="16" fillId="24" borderId="102" applyNumberFormat="0" applyAlignment="0" applyProtection="0"/>
    <xf numFmtId="0" fontId="31" fillId="0" borderId="123" applyNumberFormat="0" applyFill="0" applyAlignment="0" applyProtection="0"/>
    <xf numFmtId="0" fontId="73" fillId="0" borderId="81" applyBorder="0">
      <alignment horizontal="center" vertical="center" wrapText="1"/>
    </xf>
    <xf numFmtId="0" fontId="48" fillId="24" borderId="194" applyNumberFormat="0" applyAlignment="0" applyProtection="0"/>
    <xf numFmtId="0" fontId="49" fillId="10" borderId="76" applyNumberFormat="0" applyFont="0" applyAlignment="0" applyProtection="0"/>
    <xf numFmtId="0" fontId="48" fillId="12" borderId="75" applyNumberFormat="0" applyAlignment="0" applyProtection="0"/>
    <xf numFmtId="0" fontId="85" fillId="73" borderId="82"/>
    <xf numFmtId="0" fontId="31" fillId="0" borderId="79" applyNumberFormat="0" applyFill="0" applyAlignment="0" applyProtection="0"/>
    <xf numFmtId="0" fontId="31" fillId="0" borderId="148" applyNumberFormat="0" applyFill="0" applyAlignment="0" applyProtection="0"/>
    <xf numFmtId="0" fontId="25" fillId="13" borderId="127" applyNumberFormat="0" applyAlignment="0" applyProtection="0"/>
    <xf numFmtId="0" fontId="49" fillId="10" borderId="76" applyNumberFormat="0" applyFont="0" applyAlignment="0" applyProtection="0"/>
    <xf numFmtId="0" fontId="16" fillId="24" borderId="75" applyNumberFormat="0" applyAlignment="0" applyProtection="0"/>
    <xf numFmtId="0" fontId="28" fillId="10" borderId="76" applyNumberFormat="0" applyFont="0" applyAlignment="0" applyProtection="0"/>
    <xf numFmtId="0" fontId="31" fillId="0" borderId="74" applyNumberFormat="0" applyFill="0" applyAlignment="0" applyProtection="0"/>
    <xf numFmtId="0" fontId="31" fillId="0" borderId="108" applyNumberFormat="0" applyFill="0" applyAlignment="0" applyProtection="0"/>
    <xf numFmtId="0" fontId="8" fillId="10" borderId="103" applyNumberFormat="0" applyFont="0" applyAlignment="0" applyProtection="0"/>
    <xf numFmtId="0" fontId="24" fillId="24" borderId="104" applyNumberFormat="0" applyAlignment="0" applyProtection="0"/>
    <xf numFmtId="0" fontId="25" fillId="8" borderId="102" applyNumberFormat="0" applyAlignment="0" applyProtection="0"/>
    <xf numFmtId="0" fontId="31" fillId="0" borderId="105" applyNumberFormat="0" applyFill="0" applyAlignment="0" applyProtection="0"/>
    <xf numFmtId="0" fontId="31" fillId="0" borderId="105" applyNumberFormat="0" applyFill="0" applyAlignment="0" applyProtection="0"/>
    <xf numFmtId="0" fontId="85" fillId="0" borderId="99"/>
    <xf numFmtId="0" fontId="49" fillId="10" borderId="177" applyNumberFormat="0" applyFont="0" applyAlignment="0" applyProtection="0"/>
    <xf numFmtId="0" fontId="25" fillId="13" borderId="111" applyNumberFormat="0" applyAlignment="0" applyProtection="0"/>
    <xf numFmtId="0" fontId="31" fillId="0" borderId="199" applyNumberFormat="0" applyFill="0" applyAlignment="0" applyProtection="0"/>
    <xf numFmtId="0" fontId="31" fillId="0" borderId="192" applyNumberFormat="0" applyFill="0" applyAlignment="0" applyProtection="0"/>
    <xf numFmtId="0" fontId="8" fillId="10" borderId="195" applyNumberFormat="0" applyFont="0" applyAlignment="0" applyProtection="0"/>
    <xf numFmtId="0" fontId="41" fillId="13" borderId="143" applyNumberFormat="0" applyAlignment="0" applyProtection="0"/>
    <xf numFmtId="0" fontId="31" fillId="0" borderId="197" applyNumberFormat="0" applyFill="0" applyAlignment="0" applyProtection="0"/>
    <xf numFmtId="0" fontId="18" fillId="10" borderId="195" applyNumberFormat="0" applyFont="0" applyAlignment="0" applyProtection="0"/>
    <xf numFmtId="0" fontId="8" fillId="10" borderId="168" applyNumberFormat="0" applyFont="0" applyAlignment="0" applyProtection="0"/>
    <xf numFmtId="0" fontId="8" fillId="10" borderId="76" applyNumberFormat="0" applyFont="0" applyAlignment="0" applyProtection="0"/>
    <xf numFmtId="0" fontId="24" fillId="24" borderId="120" applyNumberFormat="0" applyAlignment="0" applyProtection="0"/>
    <xf numFmtId="0" fontId="31" fillId="0" borderId="80" applyNumberFormat="0" applyFill="0" applyAlignment="0" applyProtection="0"/>
    <xf numFmtId="0" fontId="31" fillId="0" borderId="73" applyNumberFormat="0" applyFill="0" applyAlignment="0" applyProtection="0"/>
    <xf numFmtId="0" fontId="48" fillId="24" borderId="75" applyNumberFormat="0" applyAlignment="0" applyProtection="0"/>
    <xf numFmtId="0" fontId="31" fillId="0" borderId="80" applyNumberFormat="0" applyFill="0" applyAlignment="0" applyProtection="0"/>
    <xf numFmtId="0" fontId="25" fillId="13" borderId="75" applyNumberFormat="0" applyAlignment="0" applyProtection="0"/>
    <xf numFmtId="0" fontId="28" fillId="10" borderId="76" applyNumberFormat="0" applyFont="0" applyAlignment="0" applyProtection="0"/>
    <xf numFmtId="0" fontId="31" fillId="0" borderId="74" applyNumberFormat="0" applyFill="0" applyAlignment="0" applyProtection="0"/>
    <xf numFmtId="0" fontId="25" fillId="8" borderId="75" applyNumberFormat="0" applyAlignment="0" applyProtection="0"/>
    <xf numFmtId="0" fontId="28" fillId="0" borderId="82"/>
    <xf numFmtId="0" fontId="48" fillId="24" borderId="75" applyNumberFormat="0" applyAlignment="0" applyProtection="0"/>
    <xf numFmtId="0" fontId="31" fillId="0" borderId="80" applyNumberFormat="0" applyFill="0" applyAlignment="0" applyProtection="0"/>
    <xf numFmtId="0" fontId="29" fillId="24" borderId="78" applyNumberFormat="0" applyAlignment="0" applyProtection="0"/>
    <xf numFmtId="0" fontId="48" fillId="24" borderId="75" applyNumberFormat="0" applyAlignment="0" applyProtection="0"/>
    <xf numFmtId="0" fontId="49" fillId="10" borderId="76" applyNumberFormat="0" applyFont="0" applyAlignment="0" applyProtection="0"/>
    <xf numFmtId="0" fontId="31" fillId="0" borderId="80" applyNumberFormat="0" applyFill="0" applyAlignment="0" applyProtection="0"/>
    <xf numFmtId="0" fontId="28" fillId="10" borderId="76" applyNumberFormat="0" applyFont="0" applyAlignment="0" applyProtection="0"/>
    <xf numFmtId="0" fontId="16" fillId="24" borderId="75" applyNumberFormat="0" applyAlignment="0" applyProtection="0"/>
    <xf numFmtId="0" fontId="28" fillId="10" borderId="76" applyNumberFormat="0" applyFont="0" applyAlignment="0" applyProtection="0"/>
    <xf numFmtId="0" fontId="31" fillId="0" borderId="79" applyNumberFormat="0" applyFill="0" applyAlignment="0" applyProtection="0"/>
    <xf numFmtId="0" fontId="28" fillId="0" borderId="82"/>
    <xf numFmtId="0" fontId="29" fillId="24" borderId="78" applyNumberFormat="0" applyAlignment="0" applyProtection="0"/>
    <xf numFmtId="0" fontId="73" fillId="0" borderId="72" applyBorder="0">
      <alignment horizontal="center" vertical="center" wrapText="1"/>
    </xf>
    <xf numFmtId="0" fontId="48" fillId="24" borderId="75" applyNumberFormat="0" applyAlignment="0" applyProtection="0"/>
    <xf numFmtId="0" fontId="29" fillId="12" borderId="78" applyNumberFormat="0" applyAlignment="0" applyProtection="0"/>
    <xf numFmtId="0" fontId="85" fillId="0" borderId="82"/>
    <xf numFmtId="0" fontId="8" fillId="10" borderId="76" applyNumberFormat="0" applyFont="0" applyAlignment="0" applyProtection="0"/>
    <xf numFmtId="0" fontId="85" fillId="0" borderId="82"/>
    <xf numFmtId="0" fontId="8" fillId="45" borderId="186" applyNumberFormat="0" applyFont="0" applyAlignment="0" applyProtection="0"/>
    <xf numFmtId="0" fontId="18" fillId="10" borderId="177" applyNumberFormat="0" applyFont="0" applyAlignment="0" applyProtection="0"/>
    <xf numFmtId="0" fontId="18" fillId="10" borderId="85" applyNumberFormat="0" applyFont="0" applyAlignment="0" applyProtection="0"/>
    <xf numFmtId="0" fontId="16" fillId="24" borderId="102" applyNumberFormat="0" applyAlignment="0" applyProtection="0"/>
    <xf numFmtId="0" fontId="31" fillId="0" borderId="108" applyNumberFormat="0" applyFill="0" applyAlignment="0" applyProtection="0"/>
    <xf numFmtId="0" fontId="29" fillId="12" borderId="101" applyNumberFormat="0" applyAlignment="0" applyProtection="0"/>
    <xf numFmtId="0" fontId="85" fillId="0" borderId="99"/>
    <xf numFmtId="0" fontId="85" fillId="0" borderId="180"/>
    <xf numFmtId="0" fontId="18" fillId="10" borderId="144" applyNumberFormat="0" applyFont="0" applyAlignment="0" applyProtection="0"/>
    <xf numFmtId="0" fontId="85" fillId="0" borderId="180"/>
    <xf numFmtId="0" fontId="31" fillId="0" borderId="123" applyNumberFormat="0" applyFill="0" applyAlignment="0" applyProtection="0"/>
    <xf numFmtId="0" fontId="8" fillId="10" borderId="168" applyNumberFormat="0" applyFont="0" applyAlignment="0" applyProtection="0"/>
    <xf numFmtId="0" fontId="41" fillId="13" borderId="143" applyNumberFormat="0" applyAlignment="0" applyProtection="0"/>
    <xf numFmtId="0" fontId="25" fillId="8" borderId="167" applyNumberFormat="0" applyAlignment="0" applyProtection="0"/>
    <xf numFmtId="0" fontId="8" fillId="10" borderId="144" applyNumberFormat="0" applyFont="0" applyAlignment="0" applyProtection="0"/>
    <xf numFmtId="0" fontId="16" fillId="24" borderId="194" applyNumberFormat="0" applyAlignment="0" applyProtection="0"/>
    <xf numFmtId="0" fontId="31" fillId="0" borderId="197" applyNumberFormat="0" applyFill="0" applyAlignment="0" applyProtection="0"/>
    <xf numFmtId="0" fontId="41" fillId="13" borderId="118" applyNumberFormat="0" applyAlignment="0" applyProtection="0"/>
    <xf numFmtId="0" fontId="73" fillId="0" borderId="141" applyBorder="0">
      <alignment horizontal="center" vertical="center" wrapText="1"/>
    </xf>
    <xf numFmtId="0" fontId="8" fillId="10" borderId="119" applyNumberFormat="0" applyFont="0" applyAlignment="0" applyProtection="0"/>
    <xf numFmtId="0" fontId="31" fillId="0" borderId="190" applyNumberFormat="0" applyFill="0" applyAlignment="0" applyProtection="0"/>
    <xf numFmtId="0" fontId="31" fillId="0" borderId="166" applyNumberFormat="0" applyFill="0" applyAlignment="0" applyProtection="0"/>
    <xf numFmtId="0" fontId="85" fillId="0" borderId="149"/>
    <xf numFmtId="0" fontId="24" fillId="24" borderId="155" applyNumberFormat="0" applyAlignment="0" applyProtection="0"/>
    <xf numFmtId="0" fontId="29" fillId="24" borderId="117" applyNumberFormat="0" applyAlignment="0" applyProtection="0"/>
    <xf numFmtId="0" fontId="48" fillId="24" borderId="143" applyNumberFormat="0" applyAlignment="0" applyProtection="0"/>
    <xf numFmtId="0" fontId="49" fillId="10" borderId="168" applyNumberFormat="0" applyFont="0" applyAlignment="0" applyProtection="0"/>
    <xf numFmtId="0" fontId="29" fillId="24" borderId="101" applyNumberFormat="0" applyAlignment="0" applyProtection="0"/>
    <xf numFmtId="0" fontId="29" fillId="24" borderId="101" applyNumberFormat="0" applyAlignment="0" applyProtection="0"/>
    <xf numFmtId="0" fontId="73" fillId="0" borderId="109" applyBorder="0">
      <alignment horizontal="center" vertical="center" wrapText="1"/>
    </xf>
    <xf numFmtId="0" fontId="31" fillId="0" borderId="107" applyNumberFormat="0" applyFill="0" applyAlignment="0" applyProtection="0"/>
    <xf numFmtId="0" fontId="32" fillId="24" borderId="102" applyNumberFormat="0" applyAlignment="0" applyProtection="0"/>
    <xf numFmtId="0" fontId="31" fillId="0" borderId="108" applyNumberFormat="0" applyFill="0" applyAlignment="0" applyProtection="0"/>
    <xf numFmtId="0" fontId="25" fillId="13" borderId="143" applyNumberFormat="0" applyAlignment="0" applyProtection="0"/>
    <xf numFmtId="0" fontId="49" fillId="10" borderId="144" applyNumberFormat="0" applyFont="0" applyAlignment="0" applyProtection="0"/>
    <xf numFmtId="0" fontId="31" fillId="0" borderId="165" applyNumberFormat="0" applyFill="0" applyAlignment="0" applyProtection="0"/>
    <xf numFmtId="0" fontId="16" fillId="24" borderId="194" applyNumberFormat="0" applyAlignment="0" applyProtection="0"/>
    <xf numFmtId="0" fontId="28" fillId="10" borderId="177" applyNumberFormat="0" applyFont="0" applyAlignment="0" applyProtection="0"/>
    <xf numFmtId="0" fontId="31" fillId="0" borderId="197" applyNumberFormat="0" applyFill="0" applyAlignment="0" applyProtection="0"/>
    <xf numFmtId="0" fontId="31" fillId="0" borderId="148" applyNumberFormat="0" applyFill="0" applyAlignment="0" applyProtection="0"/>
    <xf numFmtId="0" fontId="25" fillId="8" borderId="194" applyNumberFormat="0" applyAlignment="0" applyProtection="0"/>
    <xf numFmtId="0" fontId="29" fillId="12" borderId="193" applyNumberFormat="0" applyAlignment="0" applyProtection="0"/>
    <xf numFmtId="0" fontId="24" fillId="24" borderId="169" applyNumberFormat="0" applyAlignment="0" applyProtection="0"/>
    <xf numFmtId="0" fontId="31" fillId="0" borderId="122" applyNumberFormat="0" applyFill="0" applyAlignment="0" applyProtection="0"/>
    <xf numFmtId="0" fontId="31" fillId="0" borderId="123" applyNumberFormat="0" applyFill="0" applyAlignment="0" applyProtection="0"/>
    <xf numFmtId="0" fontId="18" fillId="10" borderId="168" applyNumberFormat="0" applyFont="0" applyAlignment="0" applyProtection="0"/>
    <xf numFmtId="0" fontId="48" fillId="24" borderId="134" applyNumberFormat="0" applyAlignment="0" applyProtection="0"/>
    <xf numFmtId="0" fontId="31" fillId="0" borderId="206" applyNumberFormat="0" applyFill="0" applyAlignment="0" applyProtection="0"/>
    <xf numFmtId="0" fontId="31" fillId="0" borderId="172" applyNumberFormat="0" applyFill="0" applyAlignment="0" applyProtection="0"/>
    <xf numFmtId="0" fontId="31" fillId="0" borderId="148" applyNumberFormat="0" applyFill="0" applyAlignment="0" applyProtection="0"/>
    <xf numFmtId="0" fontId="28" fillId="10" borderId="195" applyNumberFormat="0" applyFont="0" applyAlignment="0" applyProtection="0"/>
    <xf numFmtId="0" fontId="49" fillId="10" borderId="177" applyNumberFormat="0" applyFont="0" applyAlignment="0" applyProtection="0"/>
    <xf numFmtId="0" fontId="49" fillId="10" borderId="144" applyNumberFormat="0" applyFont="0" applyAlignment="0" applyProtection="0"/>
    <xf numFmtId="0" fontId="8" fillId="45" borderId="202" applyNumberFormat="0" applyFont="0" applyAlignment="0" applyProtection="0"/>
    <xf numFmtId="0" fontId="41" fillId="13" borderId="194" applyNumberFormat="0" applyAlignment="0" applyProtection="0"/>
    <xf numFmtId="0" fontId="73" fillId="0" borderId="164" applyBorder="0">
      <alignment horizontal="center" vertical="center" wrapText="1"/>
    </xf>
    <xf numFmtId="0" fontId="25" fillId="13" borderId="194" applyNumberFormat="0" applyAlignment="0" applyProtection="0"/>
    <xf numFmtId="0" fontId="31" fillId="0" borderId="192" applyNumberFormat="0" applyFill="0" applyAlignment="0" applyProtection="0"/>
    <xf numFmtId="0" fontId="8" fillId="10" borderId="195" applyNumberFormat="0" applyFont="0" applyAlignment="0" applyProtection="0"/>
    <xf numFmtId="0" fontId="24" fillId="24" borderId="120" applyNumberFormat="0" applyAlignment="0" applyProtection="0"/>
    <xf numFmtId="0" fontId="85" fillId="0" borderId="124"/>
    <xf numFmtId="0" fontId="18" fillId="10" borderId="85" applyNumberFormat="0" applyFont="0" applyAlignment="0" applyProtection="0"/>
    <xf numFmtId="0" fontId="28" fillId="10" borderId="85" applyNumberFormat="0" applyFont="0" applyAlignment="0" applyProtection="0"/>
    <xf numFmtId="0" fontId="29" fillId="24" borderId="91" applyNumberFormat="0" applyAlignment="0" applyProtection="0"/>
    <xf numFmtId="0" fontId="49" fillId="10" borderId="85" applyNumberFormat="0" applyFont="0" applyAlignment="0" applyProtection="0"/>
    <xf numFmtId="0" fontId="31" fillId="0" borderId="92" applyNumberFormat="0" applyFill="0" applyAlignment="0" applyProtection="0"/>
    <xf numFmtId="0" fontId="31" fillId="0" borderId="87" applyNumberFormat="0" applyFill="0" applyAlignment="0" applyProtection="0"/>
    <xf numFmtId="0" fontId="31" fillId="0" borderId="93" applyNumberFormat="0" applyFill="0" applyAlignment="0" applyProtection="0"/>
    <xf numFmtId="0" fontId="8" fillId="10" borderId="85" applyNumberFormat="0" applyFont="0" applyAlignment="0" applyProtection="0"/>
    <xf numFmtId="0" fontId="29" fillId="24" borderId="91" applyNumberFormat="0" applyAlignment="0" applyProtection="0"/>
    <xf numFmtId="0" fontId="31" fillId="0" borderId="87" applyNumberFormat="0" applyFill="0" applyAlignment="0" applyProtection="0"/>
    <xf numFmtId="0" fontId="31" fillId="0" borderId="87" applyNumberFormat="0" applyFill="0" applyAlignment="0" applyProtection="0"/>
    <xf numFmtId="0" fontId="8" fillId="10" borderId="119" applyNumberFormat="0" applyFont="0" applyAlignment="0" applyProtection="0"/>
    <xf numFmtId="0" fontId="28" fillId="10" borderId="103" applyNumberFormat="0" applyFont="0" applyAlignment="0" applyProtection="0"/>
    <xf numFmtId="0" fontId="28" fillId="10" borderId="168" applyNumberFormat="0" applyFont="0" applyAlignment="0" applyProtection="0"/>
    <xf numFmtId="0" fontId="18" fillId="10" borderId="128" applyNumberFormat="0" applyFont="0" applyAlignment="0" applyProtection="0"/>
    <xf numFmtId="0" fontId="28" fillId="0" borderId="124"/>
    <xf numFmtId="0" fontId="28" fillId="10" borderId="119" applyNumberFormat="0" applyFont="0" applyAlignment="0" applyProtection="0"/>
    <xf numFmtId="0" fontId="28" fillId="10" borderId="119" applyNumberFormat="0" applyFont="0" applyAlignment="0" applyProtection="0"/>
    <xf numFmtId="0" fontId="8" fillId="10" borderId="119" applyNumberFormat="0" applyFont="0" applyAlignment="0" applyProtection="0"/>
    <xf numFmtId="0" fontId="48" fillId="12" borderId="167" applyNumberFormat="0" applyAlignment="0" applyProtection="0"/>
    <xf numFmtId="0" fontId="48" fillId="24" borderId="167" applyNumberFormat="0" applyAlignment="0" applyProtection="0"/>
    <xf numFmtId="0" fontId="73" fillId="0" borderId="89" applyBorder="0">
      <alignment horizontal="center" vertical="center" wrapText="1"/>
    </xf>
    <xf numFmtId="0" fontId="41" fillId="13" borderId="167" applyNumberFormat="0" applyAlignment="0" applyProtection="0"/>
    <xf numFmtId="0" fontId="16" fillId="24" borderId="143" applyNumberFormat="0" applyAlignment="0" applyProtection="0"/>
    <xf numFmtId="0" fontId="48" fillId="12" borderId="102" applyNumberFormat="0" applyAlignment="0" applyProtection="0"/>
    <xf numFmtId="0" fontId="28" fillId="0" borderId="191"/>
    <xf numFmtId="0" fontId="8" fillId="10" borderId="177" applyNumberFormat="0" applyFont="0" applyAlignment="0" applyProtection="0"/>
    <xf numFmtId="0" fontId="31" fillId="0" borderId="148" applyNumberFormat="0" applyFill="0" applyAlignment="0" applyProtection="0"/>
    <xf numFmtId="0" fontId="31" fillId="0" borderId="197" applyNumberFormat="0" applyFill="0" applyAlignment="0" applyProtection="0"/>
    <xf numFmtId="0" fontId="73" fillId="0" borderId="201" applyBorder="0">
      <alignment horizontal="center" vertical="center" wrapText="1"/>
    </xf>
    <xf numFmtId="0" fontId="31" fillId="0" borderId="185" applyNumberFormat="0" applyFill="0" applyAlignment="0" applyProtection="0"/>
    <xf numFmtId="0" fontId="16" fillId="24" borderId="194" applyNumberFormat="0" applyAlignment="0" applyProtection="0"/>
    <xf numFmtId="0" fontId="16" fillId="24" borderId="118" applyNumberFormat="0" applyAlignment="0" applyProtection="0"/>
    <xf numFmtId="0" fontId="31" fillId="0" borderId="166" applyNumberFormat="0" applyFill="0" applyAlignment="0" applyProtection="0"/>
    <xf numFmtId="0" fontId="29" fillId="24" borderId="193" applyNumberFormat="0" applyAlignment="0" applyProtection="0"/>
    <xf numFmtId="0" fontId="8" fillId="10" borderId="144" applyNumberFormat="0" applyFont="0" applyAlignment="0" applyProtection="0"/>
    <xf numFmtId="0" fontId="32" fillId="24" borderId="194" applyNumberFormat="0" applyAlignment="0" applyProtection="0"/>
    <xf numFmtId="0" fontId="48" fillId="12" borderId="194" applyNumberFormat="0" applyAlignment="0" applyProtection="0"/>
    <xf numFmtId="0" fontId="8" fillId="10" borderId="103" applyNumberFormat="0" applyFont="0" applyAlignment="0" applyProtection="0"/>
    <xf numFmtId="0" fontId="48" fillId="12" borderId="102" applyNumberFormat="0" applyAlignment="0" applyProtection="0"/>
    <xf numFmtId="0" fontId="29" fillId="24" borderId="170" applyNumberFormat="0" applyAlignment="0" applyProtection="0"/>
    <xf numFmtId="0" fontId="8" fillId="45" borderId="150" applyNumberFormat="0" applyFont="0" applyAlignment="0" applyProtection="0"/>
    <xf numFmtId="0" fontId="31" fillId="0" borderId="185" applyNumberFormat="0" applyFill="0" applyAlignment="0" applyProtection="0"/>
    <xf numFmtId="0" fontId="25" fillId="13" borderId="194" applyNumberFormat="0" applyAlignment="0" applyProtection="0"/>
    <xf numFmtId="0" fontId="28" fillId="0" borderId="174"/>
    <xf numFmtId="0" fontId="31" fillId="0" borderId="163" applyNumberFormat="0" applyFill="0" applyAlignment="0" applyProtection="0"/>
    <xf numFmtId="0" fontId="25" fillId="13" borderId="167" applyNumberFormat="0" applyAlignment="0" applyProtection="0"/>
    <xf numFmtId="0" fontId="32" fillId="24" borderId="118" applyNumberFormat="0" applyAlignment="0" applyProtection="0"/>
    <xf numFmtId="0" fontId="18" fillId="10" borderId="119" applyNumberFormat="0" applyFont="0" applyAlignment="0" applyProtection="0"/>
    <xf numFmtId="0" fontId="48" fillId="12" borderId="167" applyNumberFormat="0" applyAlignment="0" applyProtection="0"/>
    <xf numFmtId="0" fontId="16" fillId="24" borderId="118" applyNumberFormat="0" applyAlignment="0" applyProtection="0"/>
    <xf numFmtId="0" fontId="31" fillId="0" borderId="140" applyNumberFormat="0" applyFill="0" applyAlignment="0" applyProtection="0"/>
    <xf numFmtId="0" fontId="49" fillId="10" borderId="144" applyNumberFormat="0" applyFont="0" applyAlignment="0" applyProtection="0"/>
    <xf numFmtId="0" fontId="25" fillId="13" borderId="143" applyNumberFormat="0" applyAlignment="0" applyProtection="0"/>
    <xf numFmtId="0" fontId="31" fillId="0" borderId="197" applyNumberFormat="0" applyFill="0" applyAlignment="0" applyProtection="0"/>
    <xf numFmtId="0" fontId="16" fillId="24" borderId="167" applyNumberFormat="0" applyAlignment="0" applyProtection="0"/>
    <xf numFmtId="0" fontId="85" fillId="0" borderId="88"/>
    <xf numFmtId="0" fontId="28" fillId="10" borderId="85" applyNumberFormat="0" applyFont="0" applyAlignment="0" applyProtection="0"/>
    <xf numFmtId="0" fontId="31" fillId="0" borderId="93" applyNumberFormat="0" applyFill="0" applyAlignment="0" applyProtection="0"/>
    <xf numFmtId="0" fontId="28" fillId="10" borderId="177" applyNumberFormat="0" applyFont="0" applyAlignment="0" applyProtection="0"/>
    <xf numFmtId="0" fontId="29" fillId="12" borderId="170" applyNumberFormat="0" applyAlignment="0" applyProtection="0"/>
    <xf numFmtId="0" fontId="28" fillId="0" borderId="180"/>
    <xf numFmtId="0" fontId="31" fillId="0" borderId="108" applyNumberFormat="0" applyFill="0" applyAlignment="0" applyProtection="0"/>
    <xf numFmtId="0" fontId="31" fillId="0" borderId="105" applyNumberFormat="0" applyFill="0" applyAlignment="0" applyProtection="0"/>
    <xf numFmtId="0" fontId="25" fillId="13" borderId="143" applyNumberFormat="0" applyAlignment="0" applyProtection="0"/>
    <xf numFmtId="0" fontId="85" fillId="73" borderId="149"/>
    <xf numFmtId="0" fontId="48" fillId="24" borderId="194" applyNumberFormat="0" applyAlignment="0" applyProtection="0"/>
    <xf numFmtId="0" fontId="73" fillId="0" borderId="126" applyBorder="0">
      <alignment horizontal="center" vertical="center" wrapText="1"/>
    </xf>
    <xf numFmtId="0" fontId="48" fillId="24" borderId="118" applyNumberFormat="0" applyAlignment="0" applyProtection="0"/>
    <xf numFmtId="0" fontId="28" fillId="10" borderId="103" applyNumberFormat="0" applyFont="0" applyAlignment="0" applyProtection="0"/>
    <xf numFmtId="0" fontId="31" fillId="0" borderId="148" applyNumberFormat="0" applyFill="0" applyAlignment="0" applyProtection="0"/>
    <xf numFmtId="0" fontId="29" fillId="24" borderId="101" applyNumberFormat="0" applyAlignment="0" applyProtection="0"/>
    <xf numFmtId="0" fontId="31" fillId="0" borderId="100" applyNumberFormat="0" applyFill="0" applyAlignment="0" applyProtection="0"/>
    <xf numFmtId="0" fontId="31" fillId="0" borderId="158" applyNumberFormat="0" applyFill="0" applyAlignment="0" applyProtection="0"/>
    <xf numFmtId="0" fontId="85" fillId="0" borderId="149"/>
    <xf numFmtId="0" fontId="31" fillId="0" borderId="142" applyNumberFormat="0" applyFill="0" applyAlignment="0" applyProtection="0"/>
    <xf numFmtId="0" fontId="29" fillId="24" borderId="146" applyNumberFormat="0" applyAlignment="0" applyProtection="0"/>
    <xf numFmtId="0" fontId="24" fillId="24" borderId="104" applyNumberFormat="0" applyAlignment="0" applyProtection="0"/>
    <xf numFmtId="0" fontId="85" fillId="0" borderId="180"/>
    <xf numFmtId="0" fontId="28" fillId="10" borderId="103" applyNumberFormat="0" applyFont="0" applyAlignment="0" applyProtection="0"/>
    <xf numFmtId="0" fontId="25" fillId="13" borderId="203" applyNumberFormat="0" applyAlignment="0" applyProtection="0"/>
    <xf numFmtId="0" fontId="85" fillId="73" borderId="149"/>
    <xf numFmtId="0" fontId="18" fillId="10" borderId="119" applyNumberFormat="0" applyFont="0" applyAlignment="0" applyProtection="0"/>
    <xf numFmtId="0" fontId="29" fillId="24" borderId="101" applyNumberFormat="0" applyAlignment="0" applyProtection="0"/>
    <xf numFmtId="0" fontId="49" fillId="10" borderId="103" applyNumberFormat="0" applyFont="0" applyAlignment="0" applyProtection="0"/>
    <xf numFmtId="0" fontId="24" fillId="24" borderId="104" applyNumberFormat="0" applyAlignment="0" applyProtection="0"/>
    <xf numFmtId="0" fontId="25" fillId="13" borderId="187" applyNumberFormat="0" applyAlignment="0" applyProtection="0"/>
    <xf numFmtId="0" fontId="28" fillId="0" borderId="149"/>
    <xf numFmtId="0" fontId="31" fillId="0" borderId="147" applyNumberFormat="0" applyFill="0" applyAlignment="0" applyProtection="0"/>
    <xf numFmtId="0" fontId="31" fillId="0" borderId="121" applyNumberFormat="0" applyFill="0" applyAlignment="0" applyProtection="0"/>
    <xf numFmtId="0" fontId="41" fillId="13" borderId="176" applyNumberFormat="0" applyAlignment="0" applyProtection="0"/>
    <xf numFmtId="0" fontId="31" fillId="0" borderId="123" applyNumberFormat="0" applyFill="0" applyAlignment="0" applyProtection="0"/>
    <xf numFmtId="0" fontId="8" fillId="45" borderId="186" applyNumberFormat="0" applyFont="0" applyAlignment="0" applyProtection="0"/>
    <xf numFmtId="0" fontId="41" fillId="13" borderId="176" applyNumberFormat="0" applyAlignment="0" applyProtection="0"/>
    <xf numFmtId="0" fontId="31" fillId="0" borderId="184" applyNumberFormat="0" applyFill="0" applyAlignment="0" applyProtection="0"/>
    <xf numFmtId="0" fontId="31" fillId="0" borderId="74" applyNumberFormat="0" applyFill="0" applyAlignment="0" applyProtection="0"/>
    <xf numFmtId="0" fontId="49" fillId="10" borderId="76" applyNumberFormat="0" applyFont="0" applyAlignment="0" applyProtection="0"/>
    <xf numFmtId="0" fontId="31" fillId="0" borderId="79" applyNumberFormat="0" applyFill="0" applyAlignment="0" applyProtection="0"/>
    <xf numFmtId="0" fontId="16" fillId="24" borderId="75" applyNumberFormat="0" applyAlignment="0" applyProtection="0"/>
    <xf numFmtId="0" fontId="25" fillId="13" borderId="75" applyNumberFormat="0" applyAlignment="0" applyProtection="0"/>
    <xf numFmtId="0" fontId="8" fillId="10" borderId="76" applyNumberFormat="0" applyFont="0" applyAlignment="0" applyProtection="0"/>
    <xf numFmtId="0" fontId="31" fillId="0" borderId="74" applyNumberFormat="0" applyFill="0" applyAlignment="0" applyProtection="0"/>
    <xf numFmtId="0" fontId="31" fillId="0" borderId="172" applyNumberFormat="0" applyFill="0" applyAlignment="0" applyProtection="0"/>
    <xf numFmtId="0" fontId="29" fillId="24" borderId="146" applyNumberFormat="0" applyAlignment="0" applyProtection="0"/>
    <xf numFmtId="0" fontId="41" fillId="13" borderId="143" applyNumberFormat="0" applyAlignment="0" applyProtection="0"/>
    <xf numFmtId="0" fontId="31" fillId="0" borderId="199" applyNumberFormat="0" applyFill="0" applyAlignment="0" applyProtection="0"/>
    <xf numFmtId="0" fontId="24" fillId="24" borderId="196" applyNumberFormat="0" applyAlignment="0" applyProtection="0"/>
    <xf numFmtId="0" fontId="32" fillId="24" borderId="102" applyNumberFormat="0" applyAlignment="0" applyProtection="0"/>
    <xf numFmtId="0" fontId="48" fillId="24" borderId="102" applyNumberFormat="0" applyAlignment="0" applyProtection="0"/>
    <xf numFmtId="0" fontId="31" fillId="0" borderId="100" applyNumberFormat="0" applyFill="0" applyAlignment="0" applyProtection="0"/>
    <xf numFmtId="0" fontId="73" fillId="0" borderId="109" applyBorder="0">
      <alignment horizontal="center" vertical="center" wrapText="1"/>
    </xf>
    <xf numFmtId="0" fontId="48" fillId="24" borderId="102" applyNumberFormat="0" applyAlignment="0" applyProtection="0"/>
    <xf numFmtId="0" fontId="48" fillId="12" borderId="102" applyNumberFormat="0" applyAlignment="0" applyProtection="0"/>
    <xf numFmtId="0" fontId="28" fillId="10" borderId="103" applyNumberFormat="0" applyFont="0" applyAlignment="0" applyProtection="0"/>
    <xf numFmtId="0" fontId="49" fillId="10" borderId="103" applyNumberFormat="0" applyFont="0" applyAlignment="0" applyProtection="0"/>
    <xf numFmtId="0" fontId="49" fillId="10" borderId="103" applyNumberFormat="0" applyFont="0" applyAlignment="0" applyProtection="0"/>
    <xf numFmtId="0" fontId="31" fillId="0" borderId="151" applyNumberFormat="0" applyFill="0" applyAlignment="0" applyProtection="0"/>
    <xf numFmtId="0" fontId="25" fillId="13" borderId="111" applyNumberFormat="0" applyAlignment="0" applyProtection="0"/>
    <xf numFmtId="0" fontId="28" fillId="10" borderId="112" applyNumberFormat="0" applyFont="0" applyAlignment="0" applyProtection="0"/>
    <xf numFmtId="0" fontId="73" fillId="0" borderId="173" applyBorder="0">
      <alignment horizontal="center" vertical="center" wrapText="1"/>
    </xf>
    <xf numFmtId="0" fontId="49" fillId="10" borderId="177" applyNumberFormat="0" applyFont="0" applyAlignment="0" applyProtection="0"/>
    <xf numFmtId="0" fontId="48" fillId="12" borderId="194" applyNumberFormat="0" applyAlignment="0" applyProtection="0"/>
    <xf numFmtId="0" fontId="25" fillId="13" borderId="118" applyNumberFormat="0" applyAlignment="0" applyProtection="0"/>
    <xf numFmtId="0" fontId="24" fillId="24" borderId="162" applyNumberFormat="0" applyAlignment="0" applyProtection="0"/>
    <xf numFmtId="0" fontId="28" fillId="0" borderId="99"/>
    <xf numFmtId="0" fontId="85" fillId="0" borderId="99"/>
    <xf numFmtId="0" fontId="24" fillId="24" borderId="104" applyNumberFormat="0" applyAlignment="0" applyProtection="0"/>
    <xf numFmtId="0" fontId="31" fillId="0" borderId="107" applyNumberFormat="0" applyFill="0" applyAlignment="0" applyProtection="0"/>
    <xf numFmtId="0" fontId="31" fillId="0" borderId="108" applyNumberFormat="0" applyFill="0" applyAlignment="0" applyProtection="0"/>
    <xf numFmtId="0" fontId="28" fillId="10" borderId="204" applyNumberFormat="0" applyFont="0" applyAlignment="0" applyProtection="0"/>
    <xf numFmtId="0" fontId="31" fillId="0" borderId="74" applyNumberFormat="0" applyFill="0" applyAlignment="0" applyProtection="0"/>
    <xf numFmtId="0" fontId="48" fillId="12" borderId="75" applyNumberFormat="0" applyAlignment="0" applyProtection="0"/>
    <xf numFmtId="0" fontId="25" fillId="8" borderId="75" applyNumberFormat="0" applyAlignment="0" applyProtection="0"/>
    <xf numFmtId="0" fontId="31" fillId="0" borderId="80" applyNumberFormat="0" applyFill="0" applyAlignment="0" applyProtection="0"/>
    <xf numFmtId="0" fontId="16" fillId="24" borderId="75" applyNumberFormat="0" applyAlignment="0" applyProtection="0"/>
    <xf numFmtId="0" fontId="18" fillId="10" borderId="76" applyNumberFormat="0" applyFont="0" applyAlignment="0" applyProtection="0"/>
    <xf numFmtId="0" fontId="24" fillId="24" borderId="77" applyNumberFormat="0" applyAlignment="0" applyProtection="0"/>
    <xf numFmtId="0" fontId="8" fillId="10" borderId="76" applyNumberFormat="0" applyFont="0" applyAlignment="0" applyProtection="0"/>
    <xf numFmtId="0" fontId="28" fillId="0" borderId="82"/>
    <xf numFmtId="0" fontId="16" fillId="24" borderId="75" applyNumberFormat="0" applyAlignment="0" applyProtection="0"/>
    <xf numFmtId="0" fontId="49" fillId="10" borderId="76" applyNumberFormat="0" applyFont="0" applyAlignment="0" applyProtection="0"/>
    <xf numFmtId="0" fontId="49" fillId="10" borderId="76" applyNumberFormat="0" applyFont="0" applyAlignment="0" applyProtection="0"/>
    <xf numFmtId="0" fontId="48" fillId="12" borderId="75" applyNumberFormat="0" applyAlignment="0" applyProtection="0"/>
    <xf numFmtId="0" fontId="48" fillId="12" borderId="75" applyNumberFormat="0" applyAlignment="0" applyProtection="0"/>
    <xf numFmtId="0" fontId="8" fillId="45" borderId="83" applyNumberFormat="0" applyFont="0" applyAlignment="0" applyProtection="0"/>
    <xf numFmtId="0" fontId="48" fillId="12" borderId="75" applyNumberFormat="0" applyAlignment="0" applyProtection="0"/>
    <xf numFmtId="0" fontId="31" fillId="0" borderId="80" applyNumberFormat="0" applyFill="0" applyAlignment="0" applyProtection="0"/>
    <xf numFmtId="0" fontId="16" fillId="24" borderId="84" applyNumberFormat="0" applyAlignment="0" applyProtection="0"/>
    <xf numFmtId="0" fontId="48" fillId="12" borderId="118" applyNumberFormat="0" applyAlignment="0" applyProtection="0"/>
    <xf numFmtId="0" fontId="25" fillId="13" borderId="84" applyNumberFormat="0" applyAlignment="0" applyProtection="0"/>
    <xf numFmtId="0" fontId="29" fillId="24" borderId="101" applyNumberFormat="0" applyAlignment="0" applyProtection="0"/>
    <xf numFmtId="0" fontId="28" fillId="0" borderId="88"/>
    <xf numFmtId="0" fontId="28" fillId="10" borderId="85" applyNumberFormat="0" applyFont="0" applyAlignment="0" applyProtection="0"/>
    <xf numFmtId="0" fontId="8" fillId="10" borderId="85" applyNumberFormat="0" applyFont="0" applyAlignment="0" applyProtection="0"/>
    <xf numFmtId="0" fontId="31" fillId="0" borderId="87" applyNumberFormat="0" applyFill="0" applyAlignment="0" applyProtection="0"/>
    <xf numFmtId="0" fontId="8" fillId="10" borderId="144" applyNumberFormat="0" applyFont="0" applyAlignment="0" applyProtection="0"/>
    <xf numFmtId="0" fontId="8" fillId="45" borderId="110" applyNumberFormat="0" applyFont="0" applyAlignment="0" applyProtection="0"/>
    <xf numFmtId="0" fontId="16" fillId="24" borderId="102" applyNumberFormat="0" applyAlignment="0" applyProtection="0"/>
    <xf numFmtId="0" fontId="31" fillId="0" borderId="108" applyNumberFormat="0" applyFill="0" applyAlignment="0" applyProtection="0"/>
    <xf numFmtId="0" fontId="8" fillId="10" borderId="103" applyNumberFormat="0" applyFont="0" applyAlignment="0" applyProtection="0"/>
    <xf numFmtId="0" fontId="49" fillId="10" borderId="103" applyNumberFormat="0" applyFont="0" applyAlignment="0" applyProtection="0"/>
    <xf numFmtId="0" fontId="28" fillId="10" borderId="103" applyNumberFormat="0" applyFont="0" applyAlignment="0" applyProtection="0"/>
    <xf numFmtId="0" fontId="29" fillId="24" borderId="101" applyNumberFormat="0" applyAlignment="0" applyProtection="0"/>
    <xf numFmtId="0" fontId="32" fillId="24" borderId="102" applyNumberFormat="0" applyAlignment="0" applyProtection="0"/>
    <xf numFmtId="0" fontId="29" fillId="12" borderId="101" applyNumberFormat="0" applyAlignment="0" applyProtection="0"/>
    <xf numFmtId="0" fontId="8" fillId="10" borderId="103" applyNumberFormat="0" applyFont="0" applyAlignment="0" applyProtection="0"/>
    <xf numFmtId="0" fontId="16" fillId="24" borderId="143" applyNumberFormat="0" applyAlignment="0" applyProtection="0"/>
    <xf numFmtId="0" fontId="48" fillId="24" borderId="194" applyNumberFormat="0" applyAlignment="0" applyProtection="0"/>
    <xf numFmtId="0" fontId="31" fillId="0" borderId="171" applyNumberFormat="0" applyFill="0" applyAlignment="0" applyProtection="0"/>
    <xf numFmtId="0" fontId="31" fillId="0" borderId="200" applyNumberFormat="0" applyFill="0" applyAlignment="0" applyProtection="0"/>
    <xf numFmtId="0" fontId="16" fillId="24" borderId="160" applyNumberFormat="0" applyAlignment="0" applyProtection="0"/>
    <xf numFmtId="0" fontId="73" fillId="0" borderId="201" applyBorder="0">
      <alignment horizontal="center" vertical="center" wrapText="1"/>
    </xf>
    <xf numFmtId="0" fontId="31" fillId="0" borderId="163" applyNumberFormat="0" applyFill="0" applyAlignment="0" applyProtection="0"/>
    <xf numFmtId="0" fontId="49" fillId="10" borderId="168" applyNumberFormat="0" applyFont="0" applyAlignment="0" applyProtection="0"/>
    <xf numFmtId="0" fontId="31" fillId="0" borderId="123" applyNumberFormat="0" applyFill="0" applyAlignment="0" applyProtection="0"/>
    <xf numFmtId="0" fontId="28" fillId="10" borderId="119" applyNumberFormat="0" applyFont="0" applyAlignment="0" applyProtection="0"/>
    <xf numFmtId="0" fontId="48" fillId="12" borderId="118" applyNumberFormat="0" applyAlignment="0" applyProtection="0"/>
    <xf numFmtId="0" fontId="31" fillId="0" borderId="122" applyNumberFormat="0" applyFill="0" applyAlignment="0" applyProtection="0"/>
    <xf numFmtId="0" fontId="25" fillId="13" borderId="118" applyNumberFormat="0" applyAlignment="0" applyProtection="0"/>
    <xf numFmtId="0" fontId="29" fillId="12" borderId="117" applyNumberFormat="0" applyAlignment="0" applyProtection="0"/>
    <xf numFmtId="0" fontId="29" fillId="12" borderId="170" applyNumberFormat="0" applyAlignment="0" applyProtection="0"/>
    <xf numFmtId="0" fontId="16" fillId="24" borderId="167" applyNumberFormat="0" applyAlignment="0" applyProtection="0"/>
    <xf numFmtId="0" fontId="31" fillId="0" borderId="200" applyNumberFormat="0" applyFill="0" applyAlignment="0" applyProtection="0"/>
    <xf numFmtId="0" fontId="48" fillId="24" borderId="167" applyNumberFormat="0" applyAlignment="0" applyProtection="0"/>
    <xf numFmtId="0" fontId="41" fillId="13" borderId="143" applyNumberFormat="0" applyAlignment="0" applyProtection="0"/>
    <xf numFmtId="0" fontId="28" fillId="10" borderId="144" applyNumberFormat="0" applyFont="0" applyAlignment="0" applyProtection="0"/>
    <xf numFmtId="0" fontId="25" fillId="13" borderId="203" applyNumberFormat="0" applyAlignment="0" applyProtection="0"/>
    <xf numFmtId="0" fontId="28" fillId="10" borderId="195" applyNumberFormat="0" applyFont="0" applyAlignment="0" applyProtection="0"/>
    <xf numFmtId="0" fontId="31" fillId="0" borderId="163" applyNumberFormat="0" applyFill="0" applyAlignment="0" applyProtection="0"/>
    <xf numFmtId="0" fontId="25" fillId="13" borderId="187" applyNumberFormat="0" applyAlignment="0" applyProtection="0"/>
    <xf numFmtId="0" fontId="41" fillId="13" borderId="167" applyNumberFormat="0" applyAlignment="0" applyProtection="0"/>
    <xf numFmtId="0" fontId="31" fillId="0" borderId="147" applyNumberFormat="0" applyFill="0" applyAlignment="0" applyProtection="0"/>
    <xf numFmtId="0" fontId="31" fillId="0" borderId="197" applyNumberFormat="0" applyFill="0" applyAlignment="0" applyProtection="0"/>
    <xf numFmtId="0" fontId="8" fillId="10" borderId="128" applyNumberFormat="0" applyFont="0" applyAlignment="0" applyProtection="0"/>
    <xf numFmtId="0" fontId="31" fillId="0" borderId="158" applyNumberFormat="0" applyFill="0" applyAlignment="0" applyProtection="0"/>
    <xf numFmtId="0" fontId="31" fillId="0" borderId="151" applyNumberFormat="0" applyFill="0" applyAlignment="0" applyProtection="0"/>
    <xf numFmtId="0" fontId="8" fillId="10" borderId="128" applyNumberFormat="0" applyFont="0" applyAlignment="0" applyProtection="0"/>
    <xf numFmtId="0" fontId="24" fillId="24" borderId="136" applyNumberFormat="0" applyAlignment="0" applyProtection="0"/>
    <xf numFmtId="0" fontId="85" fillId="0" borderId="180"/>
    <xf numFmtId="0" fontId="73" fillId="0" borderId="106" applyBorder="0">
      <alignment horizontal="center" vertical="center" wrapText="1"/>
    </xf>
    <xf numFmtId="0" fontId="73" fillId="0" borderId="152" applyBorder="0">
      <alignment horizontal="center" vertical="center" wrapText="1"/>
    </xf>
    <xf numFmtId="0" fontId="29" fillId="12" borderId="146" applyNumberFormat="0" applyAlignment="0" applyProtection="0"/>
    <xf numFmtId="0" fontId="85" fillId="0" borderId="149"/>
    <xf numFmtId="0" fontId="41" fillId="13" borderId="153" applyNumberFormat="0" applyAlignment="0" applyProtection="0"/>
    <xf numFmtId="0" fontId="8" fillId="10" borderId="195" applyNumberFormat="0" applyFont="0" applyAlignment="0" applyProtection="0"/>
    <xf numFmtId="0" fontId="8" fillId="10" borderId="177" applyNumberFormat="0" applyFont="0" applyAlignment="0" applyProtection="0"/>
    <xf numFmtId="0" fontId="28" fillId="0" borderId="174"/>
    <xf numFmtId="0" fontId="48" fillId="24" borderId="118" applyNumberFormat="0" applyAlignment="0" applyProtection="0"/>
    <xf numFmtId="0" fontId="31" fillId="0" borderId="148" applyNumberFormat="0" applyFill="0" applyAlignment="0" applyProtection="0"/>
    <xf numFmtId="0" fontId="49" fillId="10" borderId="195" applyNumberFormat="0" applyFont="0" applyAlignment="0" applyProtection="0"/>
    <xf numFmtId="0" fontId="31" fillId="0" borderId="108" applyNumberFormat="0" applyFill="0" applyAlignment="0" applyProtection="0"/>
    <xf numFmtId="0" fontId="31" fillId="0" borderId="107" applyNumberFormat="0" applyFill="0" applyAlignment="0" applyProtection="0"/>
    <xf numFmtId="0" fontId="31" fillId="0" borderId="107" applyNumberFormat="0" applyFill="0" applyAlignment="0" applyProtection="0"/>
    <xf numFmtId="0" fontId="49" fillId="10" borderId="103" applyNumberFormat="0" applyFont="0" applyAlignment="0" applyProtection="0"/>
    <xf numFmtId="0" fontId="31" fillId="0" borderId="108" applyNumberFormat="0" applyFill="0" applyAlignment="0" applyProtection="0"/>
    <xf numFmtId="0" fontId="24" fillId="24" borderId="104" applyNumberFormat="0" applyAlignment="0" applyProtection="0"/>
    <xf numFmtId="0" fontId="16" fillId="24" borderId="102" applyNumberFormat="0" applyAlignment="0" applyProtection="0"/>
    <xf numFmtId="0" fontId="24" fillId="24" borderId="104" applyNumberFormat="0" applyAlignment="0" applyProtection="0"/>
    <xf numFmtId="0" fontId="28" fillId="10" borderId="103" applyNumberFormat="0" applyFont="0" applyAlignment="0" applyProtection="0"/>
    <xf numFmtId="0" fontId="28" fillId="10" borderId="144" applyNumberFormat="0" applyFont="0" applyAlignment="0" applyProtection="0"/>
    <xf numFmtId="0" fontId="48" fillId="24" borderId="143" applyNumberFormat="0" applyAlignment="0" applyProtection="0"/>
    <xf numFmtId="0" fontId="48" fillId="12" borderId="143" applyNumberFormat="0" applyAlignment="0" applyProtection="0"/>
    <xf numFmtId="0" fontId="48" fillId="24" borderId="153" applyNumberFormat="0" applyAlignment="0" applyProtection="0"/>
    <xf numFmtId="0" fontId="31" fillId="0" borderId="163" applyNumberFormat="0" applyFill="0" applyAlignment="0" applyProtection="0"/>
    <xf numFmtId="0" fontId="8" fillId="10" borderId="177" applyNumberFormat="0" applyFont="0" applyAlignment="0" applyProtection="0"/>
    <xf numFmtId="0" fontId="8" fillId="10" borderId="195" applyNumberFormat="0" applyFont="0" applyAlignment="0" applyProtection="0"/>
    <xf numFmtId="0" fontId="32" fillId="24" borderId="167" applyNumberFormat="0" applyAlignment="0" applyProtection="0"/>
    <xf numFmtId="0" fontId="85" fillId="0" borderId="174"/>
    <xf numFmtId="0" fontId="41" fillId="13" borderId="118" applyNumberFormat="0" applyAlignment="0" applyProtection="0"/>
    <xf numFmtId="0" fontId="48" fillId="24" borderId="118" applyNumberFormat="0" applyAlignment="0" applyProtection="0"/>
    <xf numFmtId="0" fontId="49" fillId="10" borderId="119" applyNumberFormat="0" applyFont="0" applyAlignment="0" applyProtection="0"/>
    <xf numFmtId="0" fontId="25" fillId="8" borderId="118" applyNumberFormat="0" applyAlignment="0" applyProtection="0"/>
    <xf numFmtId="0" fontId="32" fillId="24" borderId="167" applyNumberFormat="0" applyAlignment="0" applyProtection="0"/>
    <xf numFmtId="0" fontId="25" fillId="13" borderId="167" applyNumberFormat="0" applyAlignment="0" applyProtection="0"/>
    <xf numFmtId="0" fontId="31" fillId="0" borderId="165" applyNumberFormat="0" applyFill="0" applyAlignment="0" applyProtection="0"/>
    <xf numFmtId="0" fontId="18" fillId="10" borderId="177" applyNumberFormat="0" applyFont="0" applyAlignment="0" applyProtection="0"/>
    <xf numFmtId="0" fontId="24" fillId="24" borderId="178" applyNumberFormat="0" applyAlignment="0" applyProtection="0"/>
    <xf numFmtId="0" fontId="31" fillId="0" borderId="192" applyNumberFormat="0" applyFill="0" applyAlignment="0" applyProtection="0"/>
    <xf numFmtId="0" fontId="8" fillId="10" borderId="144" applyNumberFormat="0" applyFont="0" applyAlignment="0" applyProtection="0"/>
    <xf numFmtId="0" fontId="16" fillId="24" borderId="143" applyNumberFormat="0" applyAlignment="0" applyProtection="0"/>
    <xf numFmtId="0" fontId="8" fillId="10" borderId="144" applyNumberFormat="0" applyFont="0" applyAlignment="0" applyProtection="0"/>
    <xf numFmtId="0" fontId="31" fillId="0" borderId="151" applyNumberFormat="0" applyFill="0" applyAlignment="0" applyProtection="0"/>
    <xf numFmtId="0" fontId="8" fillId="45" borderId="150" applyNumberFormat="0" applyFont="0" applyAlignment="0" applyProtection="0"/>
    <xf numFmtId="0" fontId="25" fillId="13" borderId="194" applyNumberFormat="0" applyAlignment="0" applyProtection="0"/>
    <xf numFmtId="0" fontId="31" fillId="0" borderId="171" applyNumberFormat="0" applyFill="0" applyAlignment="0" applyProtection="0"/>
    <xf numFmtId="0" fontId="31" fillId="0" borderId="172" applyNumberFormat="0" applyFill="0" applyAlignment="0" applyProtection="0"/>
    <xf numFmtId="0" fontId="28" fillId="10" borderId="204" applyNumberFormat="0" applyFont="0" applyAlignment="0" applyProtection="0"/>
    <xf numFmtId="0" fontId="41" fillId="13" borderId="187" applyNumberFormat="0" applyAlignment="0" applyProtection="0"/>
    <xf numFmtId="0" fontId="28" fillId="10" borderId="195" applyNumberFormat="0" applyFont="0" applyAlignment="0" applyProtection="0"/>
    <xf numFmtId="0" fontId="29" fillId="12" borderId="117" applyNumberFormat="0" applyAlignment="0" applyProtection="0"/>
    <xf numFmtId="0" fontId="31" fillId="0" borderId="90" applyNumberFormat="0" applyFill="0" applyAlignment="0" applyProtection="0"/>
    <xf numFmtId="0" fontId="31" fillId="0" borderId="93" applyNumberFormat="0" applyFill="0" applyAlignment="0" applyProtection="0"/>
    <xf numFmtId="0" fontId="85" fillId="0" borderId="88"/>
    <xf numFmtId="0" fontId="18" fillId="10" borderId="85" applyNumberFormat="0" applyFont="0" applyAlignment="0" applyProtection="0"/>
    <xf numFmtId="0" fontId="29" fillId="24" borderId="91" applyNumberFormat="0" applyAlignment="0" applyProtection="0"/>
    <xf numFmtId="0" fontId="28" fillId="0" borderId="174"/>
    <xf numFmtId="0" fontId="8" fillId="10" borderId="85" applyNumberFormat="0" applyFont="0" applyAlignment="0" applyProtection="0"/>
    <xf numFmtId="0" fontId="31" fillId="0" borderId="92" applyNumberFormat="0" applyFill="0" applyAlignment="0" applyProtection="0"/>
    <xf numFmtId="0" fontId="8" fillId="10" borderId="85" applyNumberFormat="0" applyFont="0" applyAlignment="0" applyProtection="0"/>
    <xf numFmtId="0" fontId="31" fillId="0" borderId="92" applyNumberFormat="0" applyFill="0" applyAlignment="0" applyProtection="0"/>
    <xf numFmtId="0" fontId="31" fillId="0" borderId="93" applyNumberFormat="0" applyFill="0" applyAlignment="0" applyProtection="0"/>
    <xf numFmtId="0" fontId="29" fillId="12" borderId="91" applyNumberFormat="0" applyAlignment="0" applyProtection="0"/>
    <xf numFmtId="0" fontId="29" fillId="24" borderId="91" applyNumberFormat="0" applyAlignment="0" applyProtection="0"/>
    <xf numFmtId="0" fontId="24" fillId="24" borderId="120" applyNumberFormat="0" applyAlignment="0" applyProtection="0"/>
    <xf numFmtId="0" fontId="8" fillId="10" borderId="85" applyNumberFormat="0" applyFont="0" applyAlignment="0" applyProtection="0"/>
    <xf numFmtId="0" fontId="31" fillId="0" borderId="93" applyNumberFormat="0" applyFill="0" applyAlignment="0" applyProtection="0"/>
    <xf numFmtId="0" fontId="29" fillId="24" borderId="91" applyNumberFormat="0" applyAlignment="0" applyProtection="0"/>
    <xf numFmtId="0" fontId="28" fillId="0" borderId="180"/>
    <xf numFmtId="0" fontId="29" fillId="24" borderId="117" applyNumberFormat="0" applyAlignment="0" applyProtection="0"/>
    <xf numFmtId="0" fontId="29" fillId="12" borderId="117" applyNumberFormat="0" applyAlignment="0" applyProtection="0"/>
    <xf numFmtId="0" fontId="85" fillId="73" borderId="124"/>
    <xf numFmtId="0" fontId="25" fillId="13" borderId="118" applyNumberFormat="0" applyAlignment="0" applyProtection="0"/>
    <xf numFmtId="0" fontId="28" fillId="0" borderId="149"/>
    <xf numFmtId="0" fontId="41" fillId="13" borderId="203" applyNumberFormat="0" applyAlignment="0" applyProtection="0"/>
    <xf numFmtId="0" fontId="49" fillId="10" borderId="177" applyNumberFormat="0" applyFont="0" applyAlignment="0" applyProtection="0"/>
    <xf numFmtId="0" fontId="41" fillId="13" borderId="127" applyNumberFormat="0" applyAlignment="0" applyProtection="0"/>
    <xf numFmtId="0" fontId="8" fillId="45" borderId="125" applyNumberFormat="0" applyFont="0" applyAlignment="0" applyProtection="0"/>
    <xf numFmtId="0" fontId="25" fillId="8" borderId="118" applyNumberFormat="0" applyAlignment="0" applyProtection="0"/>
    <xf numFmtId="0" fontId="48" fillId="12" borderId="118" applyNumberFormat="0" applyAlignment="0" applyProtection="0"/>
    <xf numFmtId="0" fontId="31" fillId="0" borderId="121" applyNumberFormat="0" applyFill="0" applyAlignment="0" applyProtection="0"/>
    <xf numFmtId="0" fontId="49" fillId="10" borderId="119" applyNumberFormat="0" applyFont="0" applyAlignment="0" applyProtection="0"/>
    <xf numFmtId="0" fontId="24" fillId="24" borderId="120" applyNumberFormat="0" applyAlignment="0" applyProtection="0"/>
    <xf numFmtId="0" fontId="31" fillId="0" borderId="165" applyNumberFormat="0" applyFill="0" applyAlignment="0" applyProtection="0"/>
    <xf numFmtId="0" fontId="16" fillId="24" borderId="143" applyNumberFormat="0" applyAlignment="0" applyProtection="0"/>
    <xf numFmtId="0" fontId="29" fillId="12" borderId="117" applyNumberFormat="0" applyAlignment="0" applyProtection="0"/>
    <xf numFmtId="0" fontId="25" fillId="13" borderId="118" applyNumberFormat="0" applyAlignment="0" applyProtection="0"/>
    <xf numFmtId="0" fontId="8" fillId="10" borderId="119" applyNumberFormat="0" applyFont="0" applyAlignment="0" applyProtection="0"/>
    <xf numFmtId="0" fontId="8" fillId="10" borderId="119" applyNumberFormat="0" applyFont="0" applyAlignment="0" applyProtection="0"/>
    <xf numFmtId="0" fontId="8" fillId="10" borderId="195" applyNumberFormat="0" applyFont="0" applyAlignment="0" applyProtection="0"/>
    <xf numFmtId="0" fontId="28" fillId="0" borderId="191"/>
    <xf numFmtId="0" fontId="16" fillId="24" borderId="194" applyNumberFormat="0" applyAlignment="0" applyProtection="0"/>
    <xf numFmtId="0" fontId="48" fillId="12" borderId="102" applyNumberFormat="0" applyAlignment="0" applyProtection="0"/>
    <xf numFmtId="0" fontId="28" fillId="10" borderId="168" applyNumberFormat="0" applyFont="0" applyAlignment="0" applyProtection="0"/>
    <xf numFmtId="0" fontId="24" fillId="24" borderId="162" applyNumberFormat="0" applyAlignment="0" applyProtection="0"/>
    <xf numFmtId="0" fontId="25" fillId="8" borderId="143" applyNumberFormat="0" applyAlignment="0" applyProtection="0"/>
    <xf numFmtId="0" fontId="25" fillId="13" borderId="194" applyNumberFormat="0" applyAlignment="0" applyProtection="0"/>
    <xf numFmtId="0" fontId="48" fillId="12" borderId="194" applyNumberFormat="0" applyAlignment="0" applyProtection="0"/>
    <xf numFmtId="0" fontId="25" fillId="13" borderId="118" applyNumberFormat="0" applyAlignment="0" applyProtection="0"/>
    <xf numFmtId="0" fontId="28" fillId="10" borderId="119" applyNumberFormat="0" applyFont="0" applyAlignment="0" applyProtection="0"/>
    <xf numFmtId="0" fontId="28" fillId="10" borderId="177" applyNumberFormat="0" applyFont="0" applyAlignment="0" applyProtection="0"/>
    <xf numFmtId="0" fontId="32" fillId="24" borderId="176" applyNumberFormat="0" applyAlignment="0" applyProtection="0"/>
    <xf numFmtId="0" fontId="48" fillId="12" borderId="167" applyNumberFormat="0" applyAlignment="0" applyProtection="0"/>
    <xf numFmtId="0" fontId="85" fillId="0" borderId="149"/>
    <xf numFmtId="0" fontId="29" fillId="24" borderId="117" applyNumberFormat="0" applyAlignment="0" applyProtection="0"/>
    <xf numFmtId="0" fontId="48" fillId="12" borderId="118" applyNumberFormat="0" applyAlignment="0" applyProtection="0"/>
    <xf numFmtId="0" fontId="8" fillId="10" borderId="144" applyNumberFormat="0" applyFont="0" applyAlignment="0" applyProtection="0"/>
    <xf numFmtId="0" fontId="49" fillId="10" borderId="128" applyNumberFormat="0" applyFont="0" applyAlignment="0" applyProtection="0"/>
    <xf numFmtId="0" fontId="31" fillId="0" borderId="158" applyNumberFormat="0" applyFill="0" applyAlignment="0" applyProtection="0"/>
    <xf numFmtId="0" fontId="8" fillId="45" borderId="150" applyNumberFormat="0" applyFont="0" applyAlignment="0" applyProtection="0"/>
    <xf numFmtId="0" fontId="85" fillId="0" borderId="149"/>
    <xf numFmtId="0" fontId="32" fillId="24" borderId="153" applyNumberFormat="0" applyAlignment="0" applyProtection="0"/>
    <xf numFmtId="0" fontId="31" fillId="0" borderId="192" applyNumberFormat="0" applyFill="0" applyAlignment="0" applyProtection="0"/>
    <xf numFmtId="0" fontId="8" fillId="10" borderId="195" applyNumberFormat="0" applyFont="0" applyAlignment="0" applyProtection="0"/>
    <xf numFmtId="0" fontId="85" fillId="0" borderId="99"/>
    <xf numFmtId="0" fontId="25" fillId="8" borderId="102" applyNumberFormat="0" applyAlignment="0" applyProtection="0"/>
    <xf numFmtId="0" fontId="18" fillId="10" borderId="103" applyNumberFormat="0" applyFont="0" applyAlignment="0" applyProtection="0"/>
    <xf numFmtId="0" fontId="8" fillId="10" borderId="103" applyNumberFormat="0" applyFont="0" applyAlignment="0" applyProtection="0"/>
    <xf numFmtId="0" fontId="31" fillId="0" borderId="105" applyNumberFormat="0" applyFill="0" applyAlignment="0" applyProtection="0"/>
    <xf numFmtId="0" fontId="49" fillId="10" borderId="103" applyNumberFormat="0" applyFont="0" applyAlignment="0" applyProtection="0"/>
    <xf numFmtId="0" fontId="16" fillId="24" borderId="102" applyNumberFormat="0" applyAlignment="0" applyProtection="0"/>
    <xf numFmtId="0" fontId="25" fillId="8" borderId="102" applyNumberFormat="0" applyAlignment="0" applyProtection="0"/>
    <xf numFmtId="0" fontId="48" fillId="12" borderId="102" applyNumberFormat="0" applyAlignment="0" applyProtection="0"/>
    <xf numFmtId="0" fontId="31" fillId="0" borderId="148" applyNumberFormat="0" applyFill="0" applyAlignment="0" applyProtection="0"/>
    <xf numFmtId="0" fontId="8" fillId="10" borderId="195" applyNumberFormat="0" applyFont="0" applyAlignment="0" applyProtection="0"/>
    <xf numFmtId="0" fontId="8" fillId="10" borderId="168" applyNumberFormat="0" applyFont="0" applyAlignment="0" applyProtection="0"/>
    <xf numFmtId="0" fontId="85" fillId="0" borderId="174"/>
    <xf numFmtId="0" fontId="31" fillId="0" borderId="179" applyNumberFormat="0" applyFill="0" applyAlignment="0" applyProtection="0"/>
    <xf numFmtId="0" fontId="85" fillId="73" borderId="174"/>
    <xf numFmtId="0" fontId="48" fillId="24" borderId="143" applyNumberFormat="0" applyAlignment="0" applyProtection="0"/>
    <xf numFmtId="0" fontId="29" fillId="24" borderId="170" applyNumberFormat="0" applyAlignment="0" applyProtection="0"/>
    <xf numFmtId="0" fontId="41" fillId="13" borderId="194" applyNumberFormat="0" applyAlignment="0" applyProtection="0"/>
    <xf numFmtId="0" fontId="28" fillId="10" borderId="195" applyNumberFormat="0" applyFont="0" applyAlignment="0" applyProtection="0"/>
    <xf numFmtId="0" fontId="29" fillId="24" borderId="170" applyNumberFormat="0" applyAlignment="0" applyProtection="0"/>
    <xf numFmtId="0" fontId="28" fillId="0" borderId="124"/>
    <xf numFmtId="0" fontId="24" fillId="24" borderId="120" applyNumberFormat="0" applyAlignment="0" applyProtection="0"/>
    <xf numFmtId="0" fontId="31" fillId="0" borderId="123" applyNumberFormat="0" applyFill="0" applyAlignment="0" applyProtection="0"/>
    <xf numFmtId="0" fontId="73" fillId="0" borderId="164" applyBorder="0">
      <alignment horizontal="center" vertical="center" wrapText="1"/>
    </xf>
    <xf numFmtId="0" fontId="85" fillId="73" borderId="174"/>
    <xf numFmtId="0" fontId="29" fillId="24" borderId="193" applyNumberFormat="0" applyAlignment="0" applyProtection="0"/>
    <xf numFmtId="0" fontId="24" fillId="24" borderId="169" applyNumberFormat="0" applyAlignment="0" applyProtection="0"/>
    <xf numFmtId="0" fontId="31" fillId="0" borderId="166" applyNumberFormat="0" applyFill="0" applyAlignment="0" applyProtection="0"/>
    <xf numFmtId="0" fontId="31" fillId="0" borderId="142" applyNumberFormat="0" applyFill="0" applyAlignment="0" applyProtection="0"/>
    <xf numFmtId="0" fontId="31" fillId="0" borderId="171" applyNumberFormat="0" applyFill="0" applyAlignment="0" applyProtection="0"/>
    <xf numFmtId="0" fontId="25" fillId="13" borderId="194" applyNumberFormat="0" applyAlignment="0" applyProtection="0"/>
    <xf numFmtId="0" fontId="31" fillId="0" borderId="200" applyNumberFormat="0" applyFill="0" applyAlignment="0" applyProtection="0"/>
    <xf numFmtId="0" fontId="48" fillId="12" borderId="143" applyNumberFormat="0" applyAlignment="0" applyProtection="0"/>
    <xf numFmtId="0" fontId="31" fillId="0" borderId="197" applyNumberFormat="0" applyFill="0" applyAlignment="0" applyProtection="0"/>
    <xf numFmtId="0" fontId="48" fillId="24" borderId="118" applyNumberFormat="0" applyAlignment="0" applyProtection="0"/>
    <xf numFmtId="0" fontId="48" fillId="12" borderId="118" applyNumberFormat="0" applyAlignment="0" applyProtection="0"/>
    <xf numFmtId="0" fontId="8" fillId="10" borderId="85" applyNumberFormat="0" applyFont="0" applyAlignment="0" applyProtection="0"/>
    <xf numFmtId="0" fontId="28" fillId="10" borderId="85" applyNumberFormat="0" applyFont="0" applyAlignment="0" applyProtection="0"/>
    <xf numFmtId="0" fontId="31" fillId="0" borderId="90" applyNumberFormat="0" applyFill="0" applyAlignment="0" applyProtection="0"/>
    <xf numFmtId="0" fontId="18" fillId="10" borderId="168" applyNumberFormat="0" applyFont="0" applyAlignment="0" applyProtection="0"/>
    <xf numFmtId="0" fontId="28" fillId="0" borderId="88"/>
    <xf numFmtId="0" fontId="49" fillId="10" borderId="177" applyNumberFormat="0" applyFont="0" applyAlignment="0" applyProtection="0"/>
    <xf numFmtId="0" fontId="31" fillId="0" borderId="185" applyNumberFormat="0" applyFill="0" applyAlignment="0" applyProtection="0"/>
    <xf numFmtId="0" fontId="31" fillId="0" borderId="123" applyNumberFormat="0" applyFill="0" applyAlignment="0" applyProtection="0"/>
    <xf numFmtId="0" fontId="28" fillId="10" borderId="128" applyNumberFormat="0" applyFont="0" applyAlignment="0" applyProtection="0"/>
    <xf numFmtId="0" fontId="28" fillId="0" borderId="124"/>
    <xf numFmtId="0" fontId="24" fillId="24" borderId="62" applyNumberFormat="0" applyAlignment="0" applyProtection="0"/>
    <xf numFmtId="0" fontId="8" fillId="10" borderId="61" applyNumberFormat="0" applyFont="0" applyAlignment="0" applyProtection="0"/>
    <xf numFmtId="0" fontId="8" fillId="10" borderId="61" applyNumberFormat="0" applyFont="0" applyAlignment="0" applyProtection="0"/>
    <xf numFmtId="0" fontId="29" fillId="24" borderId="78" applyNumberFormat="0" applyAlignment="0" applyProtection="0"/>
    <xf numFmtId="0" fontId="29" fillId="24" borderId="91" applyNumberFormat="0" applyAlignment="0" applyProtection="0"/>
    <xf numFmtId="0" fontId="25" fillId="13" borderId="60" applyNumberFormat="0" applyAlignment="0" applyProtection="0"/>
    <xf numFmtId="0" fontId="29" fillId="24" borderId="146" applyNumberFormat="0" applyAlignment="0" applyProtection="0"/>
    <xf numFmtId="0" fontId="32" fillId="24" borderId="143" applyNumberFormat="0" applyAlignment="0" applyProtection="0"/>
    <xf numFmtId="0" fontId="28" fillId="0" borderId="191"/>
    <xf numFmtId="0" fontId="8" fillId="10" borderId="85" applyNumberFormat="0" applyFont="0" applyAlignment="0" applyProtection="0"/>
    <xf numFmtId="0" fontId="8" fillId="10" borderId="85" applyNumberFormat="0" applyFont="0" applyAlignment="0" applyProtection="0"/>
    <xf numFmtId="0" fontId="16" fillId="24" borderId="60" applyNumberFormat="0" applyAlignment="0" applyProtection="0"/>
    <xf numFmtId="0" fontId="16" fillId="24" borderId="60" applyNumberFormat="0" applyAlignment="0" applyProtection="0"/>
    <xf numFmtId="0" fontId="25" fillId="8" borderId="194" applyNumberFormat="0" applyAlignment="0" applyProtection="0"/>
    <xf numFmtId="0" fontId="41" fillId="13" borderId="95" applyNumberFormat="0" applyAlignment="0" applyProtection="0"/>
    <xf numFmtId="0" fontId="32" fillId="24" borderId="95" applyNumberFormat="0" applyAlignment="0" applyProtection="0"/>
    <xf numFmtId="0" fontId="41" fillId="13" borderId="118" applyNumberFormat="0" applyAlignment="0" applyProtection="0"/>
    <xf numFmtId="0" fontId="31" fillId="0" borderId="52" applyNumberFormat="0" applyFill="0" applyAlignment="0" applyProtection="0"/>
    <xf numFmtId="0" fontId="31" fillId="0" borderId="55" applyNumberFormat="0" applyFill="0" applyAlignment="0" applyProtection="0"/>
    <xf numFmtId="0" fontId="85" fillId="0" borderId="53"/>
    <xf numFmtId="0" fontId="31" fillId="0" borderId="52" applyNumberFormat="0" applyFill="0" applyAlignment="0" applyProtection="0"/>
    <xf numFmtId="0" fontId="49" fillId="10" borderId="50" applyNumberFormat="0" applyFont="0" applyAlignment="0" applyProtection="0"/>
    <xf numFmtId="0" fontId="49" fillId="10" borderId="50" applyNumberFormat="0" applyFont="0" applyAlignment="0" applyProtection="0"/>
    <xf numFmtId="0" fontId="29" fillId="12" borderId="56" applyNumberFormat="0" applyAlignment="0" applyProtection="0"/>
    <xf numFmtId="0" fontId="28" fillId="10" borderId="50" applyNumberFormat="0" applyFont="0" applyAlignment="0" applyProtection="0"/>
    <xf numFmtId="0" fontId="29" fillId="12" borderId="56" applyNumberFormat="0" applyAlignment="0" applyProtection="0"/>
    <xf numFmtId="0" fontId="31" fillId="0" borderId="123" applyNumberFormat="0" applyFill="0" applyAlignment="0" applyProtection="0"/>
    <xf numFmtId="0" fontId="28" fillId="0" borderId="53"/>
    <xf numFmtId="0" fontId="8" fillId="10" borderId="50" applyNumberFormat="0" applyFont="0" applyAlignment="0" applyProtection="0"/>
    <xf numFmtId="0" fontId="31" fillId="0" borderId="55" applyNumberFormat="0" applyFill="0" applyAlignment="0" applyProtection="0"/>
    <xf numFmtId="0" fontId="18" fillId="10" borderId="50" applyNumberFormat="0" applyFont="0" applyAlignment="0" applyProtection="0"/>
    <xf numFmtId="0" fontId="29" fillId="24" borderId="56" applyNumberFormat="0" applyAlignment="0" applyProtection="0"/>
    <xf numFmtId="0" fontId="31" fillId="0" borderId="58" applyNumberFormat="0" applyFill="0" applyAlignment="0" applyProtection="0"/>
    <xf numFmtId="0" fontId="31" fillId="0" borderId="55" applyNumberFormat="0" applyFill="0" applyAlignment="0" applyProtection="0"/>
    <xf numFmtId="0" fontId="31" fillId="0" borderId="58" applyNumberFormat="0" applyFill="0" applyAlignment="0" applyProtection="0"/>
    <xf numFmtId="0" fontId="28" fillId="0" borderId="53"/>
    <xf numFmtId="0" fontId="24" fillId="24" borderId="51" applyNumberFormat="0" applyAlignment="0" applyProtection="0"/>
    <xf numFmtId="0" fontId="28" fillId="10" borderId="50" applyNumberFormat="0" applyFont="0" applyAlignment="0" applyProtection="0"/>
    <xf numFmtId="0" fontId="31" fillId="0" borderId="58" applyNumberFormat="0" applyFill="0" applyAlignment="0" applyProtection="0"/>
    <xf numFmtId="0" fontId="31" fillId="0" borderId="57" applyNumberFormat="0" applyFill="0" applyAlignment="0" applyProtection="0"/>
    <xf numFmtId="0" fontId="24" fillId="24" borderId="51" applyNumberFormat="0" applyAlignment="0" applyProtection="0"/>
    <xf numFmtId="0" fontId="28" fillId="10" borderId="50" applyNumberFormat="0" applyFont="0" applyAlignment="0" applyProtection="0"/>
    <xf numFmtId="0" fontId="18" fillId="10" borderId="50" applyNumberFormat="0" applyFont="0" applyAlignment="0" applyProtection="0"/>
    <xf numFmtId="0" fontId="29" fillId="12" borderId="56" applyNumberFormat="0" applyAlignment="0" applyProtection="0"/>
    <xf numFmtId="0" fontId="49" fillId="10" borderId="50" applyNumberFormat="0" applyFont="0" applyAlignment="0" applyProtection="0"/>
    <xf numFmtId="0" fontId="8" fillId="10" borderId="50" applyNumberFormat="0" applyFont="0" applyAlignment="0" applyProtection="0"/>
    <xf numFmtId="0" fontId="31" fillId="0" borderId="58" applyNumberFormat="0" applyFill="0" applyAlignment="0" applyProtection="0"/>
    <xf numFmtId="0" fontId="31" fillId="0" borderId="57" applyNumberFormat="0" applyFill="0" applyAlignment="0" applyProtection="0"/>
    <xf numFmtId="0" fontId="8" fillId="10" borderId="50" applyNumberFormat="0" applyFont="0" applyAlignment="0" applyProtection="0"/>
    <xf numFmtId="0" fontId="73" fillId="0" borderId="54" applyBorder="0">
      <alignment horizontal="center" vertical="center" wrapText="1"/>
    </xf>
    <xf numFmtId="0" fontId="31" fillId="0" borderId="52" applyNumberFormat="0" applyFill="0" applyAlignment="0" applyProtection="0"/>
    <xf numFmtId="0" fontId="49" fillId="10" borderId="50" applyNumberFormat="0" applyFont="0" applyAlignment="0" applyProtection="0"/>
    <xf numFmtId="0" fontId="31" fillId="0" borderId="57" applyNumberFormat="0" applyFill="0" applyAlignment="0" applyProtection="0"/>
    <xf numFmtId="0" fontId="31" fillId="0" borderId="58" applyNumberFormat="0" applyFill="0" applyAlignment="0" applyProtection="0"/>
    <xf numFmtId="0" fontId="31" fillId="0" borderId="57" applyNumberFormat="0" applyFill="0" applyAlignment="0" applyProtection="0"/>
    <xf numFmtId="0" fontId="31" fillId="0" borderId="58" applyNumberFormat="0" applyFill="0" applyAlignment="0" applyProtection="0"/>
    <xf numFmtId="0" fontId="24" fillId="24" borderId="51" applyNumberFormat="0" applyAlignment="0" applyProtection="0"/>
    <xf numFmtId="0" fontId="29" fillId="12" borderId="56" applyNumberFormat="0" applyAlignment="0" applyProtection="0"/>
    <xf numFmtId="0" fontId="31" fillId="0" borderId="58" applyNumberFormat="0" applyFill="0" applyAlignment="0" applyProtection="0"/>
    <xf numFmtId="0" fontId="29" fillId="12" borderId="56" applyNumberFormat="0" applyAlignment="0" applyProtection="0"/>
    <xf numFmtId="0" fontId="28" fillId="0" borderId="53"/>
    <xf numFmtId="0" fontId="49" fillId="10" borderId="50" applyNumberFormat="0" applyFont="0" applyAlignment="0" applyProtection="0"/>
    <xf numFmtId="0" fontId="31" fillId="0" borderId="58" applyNumberFormat="0" applyFill="0" applyAlignment="0" applyProtection="0"/>
    <xf numFmtId="0" fontId="31" fillId="0" borderId="57" applyNumberFormat="0" applyFill="0" applyAlignment="0" applyProtection="0"/>
    <xf numFmtId="0" fontId="29" fillId="24" borderId="56" applyNumberFormat="0" applyAlignment="0" applyProtection="0"/>
    <xf numFmtId="0" fontId="8" fillId="10" borderId="50" applyNumberFormat="0" applyFont="0" applyAlignment="0" applyProtection="0"/>
    <xf numFmtId="0" fontId="18" fillId="10" borderId="50" applyNumberFormat="0" applyFont="0" applyAlignment="0" applyProtection="0"/>
    <xf numFmtId="0" fontId="31" fillId="0" borderId="121" applyNumberFormat="0" applyFill="0" applyAlignment="0" applyProtection="0"/>
    <xf numFmtId="0" fontId="31" fillId="0" borderId="55" applyNumberFormat="0" applyFill="0" applyAlignment="0" applyProtection="0"/>
    <xf numFmtId="0" fontId="8" fillId="10" borderId="50" applyNumberFormat="0" applyFont="0" applyAlignment="0" applyProtection="0"/>
    <xf numFmtId="0" fontId="25" fillId="8" borderId="167" applyNumberFormat="0" applyAlignment="0" applyProtection="0"/>
    <xf numFmtId="0" fontId="48" fillId="12" borderId="118" applyNumberFormat="0" applyAlignment="0" applyProtection="0"/>
    <xf numFmtId="0" fontId="31" fillId="0" borderId="58" applyNumberFormat="0" applyFill="0" applyAlignment="0" applyProtection="0"/>
    <xf numFmtId="0" fontId="31" fillId="0" borderId="57" applyNumberFormat="0" applyFill="0" applyAlignment="0" applyProtection="0"/>
    <xf numFmtId="0" fontId="29" fillId="24" borderId="56" applyNumberFormat="0" applyAlignment="0" applyProtection="0"/>
    <xf numFmtId="0" fontId="31" fillId="0" borderId="55" applyNumberFormat="0" applyFill="0" applyAlignment="0" applyProtection="0"/>
    <xf numFmtId="0" fontId="29" fillId="12" borderId="56" applyNumberFormat="0" applyAlignment="0" applyProtection="0"/>
    <xf numFmtId="0" fontId="31" fillId="0" borderId="116" applyNumberFormat="0" applyFill="0" applyAlignment="0" applyProtection="0"/>
    <xf numFmtId="0" fontId="31" fillId="0" borderId="52" applyNumberFormat="0" applyFill="0" applyAlignment="0" applyProtection="0"/>
    <xf numFmtId="0" fontId="31" fillId="0" borderId="100" applyNumberFormat="0" applyFill="0" applyAlignment="0" applyProtection="0"/>
    <xf numFmtId="0" fontId="48" fillId="24" borderId="143" applyNumberFormat="0" applyAlignment="0" applyProtection="0"/>
    <xf numFmtId="0" fontId="31" fillId="0" borderId="139" applyNumberFormat="0" applyFill="0" applyAlignment="0" applyProtection="0"/>
    <xf numFmtId="0" fontId="49" fillId="10" borderId="50" applyNumberFormat="0" applyFont="0" applyAlignment="0" applyProtection="0"/>
    <xf numFmtId="0" fontId="73" fillId="0" borderId="141" applyBorder="0">
      <alignment horizontal="center" vertical="center" wrapText="1"/>
    </xf>
    <xf numFmtId="0" fontId="48" fillId="24" borderId="194" applyNumberFormat="0" applyAlignment="0" applyProtection="0"/>
    <xf numFmtId="0" fontId="73" fillId="0" borderId="198" applyBorder="0">
      <alignment horizontal="center" vertical="center" wrapText="1"/>
    </xf>
    <xf numFmtId="0" fontId="49" fillId="10" borderId="168" applyNumberFormat="0" applyFont="0" applyAlignment="0" applyProtection="0"/>
    <xf numFmtId="0" fontId="31" fillId="0" borderId="148" applyNumberFormat="0" applyFill="0" applyAlignment="0" applyProtection="0"/>
    <xf numFmtId="0" fontId="41" fillId="13" borderId="143" applyNumberFormat="0" applyAlignment="0" applyProtection="0"/>
    <xf numFmtId="0" fontId="31" fillId="0" borderId="163" applyNumberFormat="0" applyFill="0" applyAlignment="0" applyProtection="0"/>
    <xf numFmtId="0" fontId="25" fillId="8" borderId="194" applyNumberFormat="0" applyAlignment="0" applyProtection="0"/>
    <xf numFmtId="0" fontId="31" fillId="0" borderId="172" applyNumberFormat="0" applyFill="0" applyAlignment="0" applyProtection="0"/>
    <xf numFmtId="0" fontId="28" fillId="0" borderId="88"/>
    <xf numFmtId="0" fontId="31" fillId="0" borderId="93" applyNumberFormat="0" applyFill="0" applyAlignment="0" applyProtection="0"/>
    <xf numFmtId="0" fontId="31" fillId="0" borderId="93" applyNumberFormat="0" applyFill="0" applyAlignment="0" applyProtection="0"/>
    <xf numFmtId="0" fontId="8" fillId="10" borderId="85" applyNumberFormat="0" applyFont="0" applyAlignment="0" applyProtection="0"/>
    <xf numFmtId="0" fontId="29" fillId="12" borderId="91" applyNumberFormat="0" applyAlignment="0" applyProtection="0"/>
    <xf numFmtId="0" fontId="49" fillId="10" borderId="85" applyNumberFormat="0" applyFont="0" applyAlignment="0" applyProtection="0"/>
    <xf numFmtId="0" fontId="31" fillId="0" borderId="185" applyNumberFormat="0" applyFill="0" applyAlignment="0" applyProtection="0"/>
    <xf numFmtId="0" fontId="29" fillId="24" borderId="78" applyNumberFormat="0" applyAlignment="0" applyProtection="0"/>
    <xf numFmtId="0" fontId="24" fillId="24" borderId="169" applyNumberFormat="0" applyAlignment="0" applyProtection="0"/>
    <xf numFmtId="0" fontId="24" fillId="24" borderId="196" applyNumberFormat="0" applyAlignment="0" applyProtection="0"/>
    <xf numFmtId="0" fontId="18" fillId="10" borderId="195" applyNumberFormat="0" applyFont="0" applyAlignment="0" applyProtection="0"/>
    <xf numFmtId="0" fontId="28" fillId="10" borderId="195" applyNumberFormat="0" applyFont="0" applyAlignment="0" applyProtection="0"/>
    <xf numFmtId="0" fontId="28" fillId="10" borderId="177" applyNumberFormat="0" applyFont="0" applyAlignment="0" applyProtection="0"/>
    <xf numFmtId="0" fontId="73" fillId="0" borderId="198" applyBorder="0">
      <alignment horizontal="center" vertical="center" wrapText="1"/>
    </xf>
    <xf numFmtId="0" fontId="8" fillId="45" borderId="202" applyNumberFormat="0" applyFont="0" applyAlignment="0" applyProtection="0"/>
    <xf numFmtId="0" fontId="25" fillId="8" borderId="118" applyNumberFormat="0" applyAlignment="0" applyProtection="0"/>
    <xf numFmtId="0" fontId="31" fillId="0" borderId="142" applyNumberFormat="0" applyFill="0" applyAlignment="0" applyProtection="0"/>
    <xf numFmtId="0" fontId="16" fillId="24" borderId="194" applyNumberFormat="0" applyAlignment="0" applyProtection="0"/>
    <xf numFmtId="0" fontId="29" fillId="24" borderId="193" applyNumberFormat="0" applyAlignment="0" applyProtection="0"/>
    <xf numFmtId="0" fontId="31" fillId="0" borderId="185" applyNumberFormat="0" applyFill="0" applyAlignment="0" applyProtection="0"/>
    <xf numFmtId="0" fontId="24" fillId="24" borderId="97" applyNumberFormat="0" applyAlignment="0" applyProtection="0"/>
    <xf numFmtId="0" fontId="28" fillId="10" borderId="96" applyNumberFormat="0" applyFont="0" applyAlignment="0" applyProtection="0"/>
    <xf numFmtId="0" fontId="28" fillId="10" borderId="119" applyNumberFormat="0" applyFont="0" applyAlignment="0" applyProtection="0"/>
    <xf numFmtId="0" fontId="41" fillId="13" borderId="95" applyNumberFormat="0" applyAlignment="0" applyProtection="0"/>
    <xf numFmtId="0" fontId="25" fillId="13" borderId="95" applyNumberFormat="0" applyAlignment="0" applyProtection="0"/>
    <xf numFmtId="0" fontId="48" fillId="24" borderId="176" applyNumberFormat="0" applyAlignment="0" applyProtection="0"/>
    <xf numFmtId="0" fontId="29" fillId="24" borderId="117" applyNumberFormat="0" applyAlignment="0" applyProtection="0"/>
    <xf numFmtId="0" fontId="16" fillId="24" borderId="95" applyNumberFormat="0" applyAlignment="0" applyProtection="0"/>
    <xf numFmtId="0" fontId="49" fillId="10" borderId="119" applyNumberFormat="0" applyFont="0" applyAlignment="0" applyProtection="0"/>
    <xf numFmtId="0" fontId="25" fillId="13" borderId="134" applyNumberFormat="0" applyAlignment="0" applyProtection="0"/>
    <xf numFmtId="0" fontId="29" fillId="12" borderId="91" applyNumberFormat="0" applyAlignment="0" applyProtection="0"/>
    <xf numFmtId="0" fontId="85" fillId="0" borderId="88"/>
    <xf numFmtId="0" fontId="28" fillId="0" borderId="88"/>
    <xf numFmtId="0" fontId="49" fillId="10" borderId="85" applyNumberFormat="0" applyFont="0" applyAlignment="0" applyProtection="0"/>
    <xf numFmtId="0" fontId="49" fillId="10" borderId="85" applyNumberFormat="0" applyFont="0" applyAlignment="0" applyProtection="0"/>
    <xf numFmtId="0" fontId="16" fillId="24" borderId="167" applyNumberFormat="0" applyAlignment="0" applyProtection="0"/>
    <xf numFmtId="0" fontId="28" fillId="0" borderId="88"/>
    <xf numFmtId="0" fontId="31" fillId="0" borderId="116" applyNumberFormat="0" applyFill="0" applyAlignment="0" applyProtection="0"/>
    <xf numFmtId="0" fontId="73" fillId="0" borderId="89" applyBorder="0">
      <alignment horizontal="center" vertical="center" wrapText="1"/>
    </xf>
    <xf numFmtId="0" fontId="8" fillId="10" borderId="85" applyNumberFormat="0" applyFont="0" applyAlignment="0" applyProtection="0"/>
    <xf numFmtId="0" fontId="31" fillId="0" borderId="87" applyNumberFormat="0" applyFill="0" applyAlignment="0" applyProtection="0"/>
    <xf numFmtId="0" fontId="18" fillId="10" borderId="119" applyNumberFormat="0" applyFont="0" applyAlignment="0" applyProtection="0"/>
    <xf numFmtId="0" fontId="73" fillId="0" borderId="173" applyBorder="0">
      <alignment horizontal="center" vertical="center" wrapText="1"/>
    </xf>
    <xf numFmtId="0" fontId="41" fillId="13" borderId="102" applyNumberFormat="0" applyAlignment="0" applyProtection="0"/>
    <xf numFmtId="0" fontId="31" fillId="0" borderId="166" applyNumberFormat="0" applyFill="0" applyAlignment="0" applyProtection="0"/>
    <xf numFmtId="0" fontId="28" fillId="10" borderId="168" applyNumberFormat="0" applyFont="0" applyAlignment="0" applyProtection="0"/>
    <xf numFmtId="0" fontId="85" fillId="0" borderId="191"/>
    <xf numFmtId="0" fontId="8" fillId="10" borderId="195" applyNumberFormat="0" applyFont="0" applyAlignment="0" applyProtection="0"/>
    <xf numFmtId="0" fontId="31" fillId="0" borderId="158" applyNumberFormat="0" applyFill="0" applyAlignment="0" applyProtection="0"/>
    <xf numFmtId="0" fontId="8" fillId="10" borderId="119" applyNumberFormat="0" applyFont="0" applyAlignment="0" applyProtection="0"/>
    <xf numFmtId="0" fontId="31" fillId="0" borderId="148" applyNumberFormat="0" applyFill="0" applyAlignment="0" applyProtection="0"/>
    <xf numFmtId="0" fontId="48" fillId="24" borderId="167" applyNumberFormat="0" applyAlignment="0" applyProtection="0"/>
    <xf numFmtId="0" fontId="41" fillId="13" borderId="118" applyNumberFormat="0" applyAlignment="0" applyProtection="0"/>
    <xf numFmtId="0" fontId="28" fillId="10" borderId="119" applyNumberFormat="0" applyFont="0" applyAlignment="0" applyProtection="0"/>
    <xf numFmtId="0" fontId="25" fillId="13" borderId="194" applyNumberFormat="0" applyAlignment="0" applyProtection="0"/>
    <xf numFmtId="0" fontId="29" fillId="24" borderId="170" applyNumberFormat="0" applyAlignment="0" applyProtection="0"/>
    <xf numFmtId="0" fontId="31" fillId="0" borderId="58" applyNumberFormat="0" applyFill="0" applyAlignment="0" applyProtection="0"/>
    <xf numFmtId="0" fontId="31" fillId="0" borderId="58" applyNumberFormat="0" applyFill="0" applyAlignment="0" applyProtection="0"/>
    <xf numFmtId="0" fontId="29" fillId="24" borderId="56" applyNumberFormat="0" applyAlignment="0" applyProtection="0"/>
    <xf numFmtId="0" fontId="8" fillId="10" borderId="50" applyNumberFormat="0" applyFont="0" applyAlignment="0" applyProtection="0"/>
    <xf numFmtId="0" fontId="28" fillId="10" borderId="50" applyNumberFormat="0" applyFont="0" applyAlignment="0" applyProtection="0"/>
    <xf numFmtId="0" fontId="31" fillId="0" borderId="87" applyNumberFormat="0" applyFill="0" applyAlignment="0" applyProtection="0"/>
    <xf numFmtId="0" fontId="28" fillId="10" borderId="161" applyNumberFormat="0" applyFont="0" applyAlignment="0" applyProtection="0"/>
    <xf numFmtId="0" fontId="41" fillId="13" borderId="102" applyNumberFormat="0" applyAlignment="0" applyProtection="0"/>
    <xf numFmtId="0" fontId="29" fillId="24" borderId="56" applyNumberFormat="0" applyAlignment="0" applyProtection="0"/>
    <xf numFmtId="0" fontId="29" fillId="24" borderId="56" applyNumberFormat="0" applyAlignment="0" applyProtection="0"/>
    <xf numFmtId="0" fontId="31" fillId="0" borderId="100" applyNumberFormat="0" applyFill="0" applyAlignment="0" applyProtection="0"/>
    <xf numFmtId="0" fontId="8" fillId="10" borderId="177" applyNumberFormat="0" applyFont="0" applyAlignment="0" applyProtection="0"/>
    <xf numFmtId="0" fontId="28" fillId="10" borderId="161" applyNumberFormat="0" applyFont="0" applyAlignment="0" applyProtection="0"/>
    <xf numFmtId="0" fontId="25" fillId="13" borderId="143" applyNumberFormat="0" applyAlignment="0" applyProtection="0"/>
    <xf numFmtId="0" fontId="29" fillId="24" borderId="146" applyNumberFormat="0" applyAlignment="0" applyProtection="0"/>
    <xf numFmtId="0" fontId="85" fillId="73" borderId="82"/>
    <xf numFmtId="0" fontId="49" fillId="10" borderId="103" applyNumberFormat="0" applyFont="0" applyAlignment="0" applyProtection="0"/>
    <xf numFmtId="0" fontId="8" fillId="10" borderId="177" applyNumberFormat="0" applyFont="0" applyAlignment="0" applyProtection="0"/>
    <xf numFmtId="0" fontId="28" fillId="0" borderId="82"/>
    <xf numFmtId="0" fontId="48" fillId="24" borderId="75" applyNumberFormat="0" applyAlignment="0" applyProtection="0"/>
    <xf numFmtId="0" fontId="29" fillId="12" borderId="78" applyNumberFormat="0" applyAlignment="0" applyProtection="0"/>
    <xf numFmtId="0" fontId="31" fillId="0" borderId="74" applyNumberFormat="0" applyFill="0" applyAlignment="0" applyProtection="0"/>
    <xf numFmtId="0" fontId="31" fillId="0" borderId="74" applyNumberFormat="0" applyFill="0" applyAlignment="0" applyProtection="0"/>
    <xf numFmtId="0" fontId="73" fillId="0" borderId="81" applyBorder="0">
      <alignment horizontal="center" vertical="center" wrapText="1"/>
    </xf>
    <xf numFmtId="0" fontId="8" fillId="45" borderId="94" applyNumberFormat="0" applyFont="0" applyAlignment="0" applyProtection="0"/>
    <xf numFmtId="0" fontId="25" fillId="8" borderId="118" applyNumberFormat="0" applyAlignment="0" applyProtection="0"/>
    <xf numFmtId="0" fontId="32" fillId="24" borderId="118" applyNumberFormat="0" applyAlignment="0" applyProtection="0"/>
    <xf numFmtId="0" fontId="31" fillId="0" borderId="123" applyNumberFormat="0" applyFill="0" applyAlignment="0" applyProtection="0"/>
    <xf numFmtId="0" fontId="31" fillId="0" borderId="148" applyNumberFormat="0" applyFill="0" applyAlignment="0" applyProtection="0"/>
    <xf numFmtId="0" fontId="28" fillId="0" borderId="180"/>
    <xf numFmtId="0" fontId="16" fillId="24" borderId="118" applyNumberFormat="0" applyAlignment="0" applyProtection="0"/>
    <xf numFmtId="0" fontId="16" fillId="24" borderId="118" applyNumberFormat="0" applyAlignment="0" applyProtection="0"/>
    <xf numFmtId="0" fontId="16" fillId="24" borderId="102" applyNumberFormat="0" applyAlignment="0" applyProtection="0"/>
    <xf numFmtId="0" fontId="8" fillId="10" borderId="144" applyNumberFormat="0" applyFont="0" applyAlignment="0" applyProtection="0"/>
    <xf numFmtId="0" fontId="18" fillId="10" borderId="103" applyNumberFormat="0" applyFont="0" applyAlignment="0" applyProtection="0"/>
    <xf numFmtId="0" fontId="31" fillId="0" borderId="158" applyNumberFormat="0" applyFill="0" applyAlignment="0" applyProtection="0"/>
    <xf numFmtId="0" fontId="49" fillId="10" borderId="168" applyNumberFormat="0" applyFont="0" applyAlignment="0" applyProtection="0"/>
    <xf numFmtId="0" fontId="29" fillId="24" borderId="193" applyNumberFormat="0" applyAlignment="0" applyProtection="0"/>
    <xf numFmtId="0" fontId="24" fillId="24" borderId="120" applyNumberFormat="0" applyAlignment="0" applyProtection="0"/>
    <xf numFmtId="0" fontId="16" fillId="24" borderId="194" applyNumberFormat="0" applyAlignment="0" applyProtection="0"/>
    <xf numFmtId="0" fontId="31" fillId="0" borderId="90" applyNumberFormat="0" applyFill="0" applyAlignment="0" applyProtection="0"/>
    <xf numFmtId="0" fontId="29" fillId="24" borderId="91" applyNumberFormat="0" applyAlignment="0" applyProtection="0"/>
    <xf numFmtId="0" fontId="28" fillId="10" borderId="85" applyNumberFormat="0" applyFont="0" applyAlignment="0" applyProtection="0"/>
    <xf numFmtId="0" fontId="29" fillId="24" borderId="117" applyNumberFormat="0" applyAlignment="0" applyProtection="0"/>
    <xf numFmtId="0" fontId="49" fillId="10" borderId="168" applyNumberFormat="0" applyFont="0" applyAlignment="0" applyProtection="0"/>
    <xf numFmtId="0" fontId="41" fillId="13" borderId="127" applyNumberFormat="0" applyAlignment="0" applyProtection="0"/>
    <xf numFmtId="0" fontId="85" fillId="0" borderId="124"/>
    <xf numFmtId="0" fontId="31" fillId="0" borderId="90" applyNumberFormat="0" applyFill="0" applyAlignment="0" applyProtection="0"/>
    <xf numFmtId="0" fontId="29" fillId="24" borderId="91" applyNumberFormat="0" applyAlignment="0" applyProtection="0"/>
    <xf numFmtId="0" fontId="48" fillId="12" borderId="143" applyNumberFormat="0" applyAlignment="0" applyProtection="0"/>
    <xf numFmtId="0" fontId="25" fillId="8" borderId="143" applyNumberFormat="0" applyAlignment="0" applyProtection="0"/>
    <xf numFmtId="0" fontId="29" fillId="24" borderId="133" applyNumberFormat="0" applyAlignment="0" applyProtection="0"/>
    <xf numFmtId="0" fontId="31" fillId="0" borderId="100" applyNumberFormat="0" applyFill="0" applyAlignment="0" applyProtection="0"/>
    <xf numFmtId="0" fontId="25" fillId="8" borderId="118" applyNumberFormat="0" applyAlignment="0" applyProtection="0"/>
    <xf numFmtId="0" fontId="25" fillId="8" borderId="75" applyNumberFormat="0" applyAlignment="0" applyProtection="0"/>
    <xf numFmtId="0" fontId="31" fillId="0" borderId="93" applyNumberFormat="0" applyFill="0" applyAlignment="0" applyProtection="0"/>
    <xf numFmtId="0" fontId="85" fillId="0" borderId="174"/>
    <xf numFmtId="0" fontId="48" fillId="12" borderId="75" applyNumberFormat="0" applyAlignment="0" applyProtection="0"/>
    <xf numFmtId="0" fontId="28" fillId="10" borderId="188" applyNumberFormat="0" applyFont="0" applyAlignment="0" applyProtection="0"/>
    <xf numFmtId="0" fontId="31" fillId="0" borderId="116" applyNumberFormat="0" applyFill="0" applyAlignment="0" applyProtection="0"/>
    <xf numFmtId="0" fontId="8" fillId="10" borderId="112" applyNumberFormat="0" applyFont="0" applyAlignment="0" applyProtection="0"/>
    <xf numFmtId="0" fontId="29" fillId="24" borderId="146" applyNumberFormat="0" applyAlignment="0" applyProtection="0"/>
    <xf numFmtId="0" fontId="31" fillId="0" borderId="105" applyNumberFormat="0" applyFill="0" applyAlignment="0" applyProtection="0"/>
    <xf numFmtId="0" fontId="25" fillId="13" borderId="102" applyNumberFormat="0" applyAlignment="0" applyProtection="0"/>
    <xf numFmtId="0" fontId="7" fillId="0" borderId="71">
      <alignment horizontal="center"/>
    </xf>
    <xf numFmtId="0" fontId="29" fillId="12" borderId="101" applyNumberFormat="0" applyAlignment="0" applyProtection="0"/>
    <xf numFmtId="0" fontId="18" fillId="10" borderId="76" applyNumberFormat="0" applyFont="0" applyAlignment="0" applyProtection="0"/>
    <xf numFmtId="0" fontId="31" fillId="0" borderId="158" applyNumberFormat="0" applyFill="0" applyAlignment="0" applyProtection="0"/>
    <xf numFmtId="0" fontId="25" fillId="13" borderId="143" applyNumberFormat="0" applyAlignment="0" applyProtection="0"/>
    <xf numFmtId="0" fontId="29" fillId="24" borderId="78" applyNumberFormat="0" applyAlignment="0" applyProtection="0"/>
    <xf numFmtId="0" fontId="31" fillId="0" borderId="74" applyNumberFormat="0" applyFill="0" applyAlignment="0" applyProtection="0"/>
    <xf numFmtId="0" fontId="29" fillId="12" borderId="170" applyNumberFormat="0" applyAlignment="0" applyProtection="0"/>
    <xf numFmtId="0" fontId="28" fillId="0" borderId="180"/>
    <xf numFmtId="0" fontId="31" fillId="0" borderId="197" applyNumberFormat="0" applyFill="0" applyAlignment="0" applyProtection="0"/>
    <xf numFmtId="0" fontId="31" fillId="0" borderId="185" applyNumberFormat="0" applyFill="0" applyAlignment="0" applyProtection="0"/>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32"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24"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48" fillId="12"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16" fillId="24" borderId="49" applyNumberFormat="0" applyAlignment="0" applyProtection="0"/>
    <xf numFmtId="0" fontId="31" fillId="0" borderId="122" applyNumberFormat="0" applyFill="0" applyAlignment="0" applyProtection="0"/>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8" fillId="0" borderId="53"/>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41"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13"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25" fillId="8" borderId="49" applyNumberFormat="0" applyAlignment="0" applyProtection="0"/>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85" fillId="73" borderId="53"/>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73" fillId="0" borderId="54" applyBorder="0">
      <alignment horizontal="center" vertical="center" wrapText="1"/>
    </xf>
    <xf numFmtId="0" fontId="28" fillId="10" borderId="119" applyNumberFormat="0" applyFont="0" applyAlignment="0" applyProtection="0"/>
    <xf numFmtId="0" fontId="31" fillId="0" borderId="165" applyNumberFormat="0" applyFill="0" applyAlignment="0" applyProtection="0"/>
    <xf numFmtId="0" fontId="41" fillId="13" borderId="203" applyNumberFormat="0" applyAlignment="0" applyProtection="0"/>
    <xf numFmtId="0" fontId="18" fillId="10" borderId="177" applyNumberFormat="0" applyFont="0" applyAlignment="0" applyProtection="0"/>
    <xf numFmtId="0" fontId="25" fillId="13" borderId="167" applyNumberFormat="0" applyAlignment="0" applyProtection="0"/>
    <xf numFmtId="0" fontId="31" fillId="0" borderId="199" applyNumberFormat="0" applyFill="0" applyAlignment="0" applyProtection="0"/>
    <xf numFmtId="0" fontId="29" fillId="24" borderId="91" applyNumberFormat="0" applyAlignment="0" applyProtection="0"/>
    <xf numFmtId="0" fontId="29" fillId="12" borderId="91" applyNumberFormat="0" applyAlignment="0" applyProtection="0"/>
    <xf numFmtId="0" fontId="49" fillId="10" borderId="50" applyNumberFormat="0" applyFont="0" applyAlignment="0" applyProtection="0"/>
    <xf numFmtId="0" fontId="48" fillId="12" borderId="49" applyNumberFormat="0" applyAlignment="0" applyProtection="0"/>
    <xf numFmtId="0" fontId="25" fillId="8" borderId="49" applyNumberFormat="0" applyAlignment="0" applyProtection="0"/>
    <xf numFmtId="0" fontId="31" fillId="0" borderId="55" applyNumberFormat="0" applyFill="0" applyAlignment="0" applyProtection="0"/>
    <xf numFmtId="0" fontId="31" fillId="0" borderId="52" applyNumberFormat="0" applyFill="0" applyAlignment="0" applyProtection="0"/>
    <xf numFmtId="0" fontId="24" fillId="24" borderId="51" applyNumberFormat="0" applyAlignment="0" applyProtection="0"/>
    <xf numFmtId="0" fontId="8" fillId="10" borderId="50" applyNumberFormat="0" applyFont="0" applyAlignment="0" applyProtection="0"/>
    <xf numFmtId="0" fontId="41" fillId="13" borderId="49" applyNumberFormat="0" applyAlignment="0" applyProtection="0"/>
    <xf numFmtId="0" fontId="48" fillId="12" borderId="49" applyNumberFormat="0" applyAlignment="0" applyProtection="0"/>
    <xf numFmtId="0" fontId="48" fillId="24" borderId="49" applyNumberFormat="0" applyAlignment="0" applyProtection="0"/>
    <xf numFmtId="0" fontId="31" fillId="0" borderId="55" applyNumberFormat="0" applyFill="0" applyAlignment="0" applyProtection="0"/>
    <xf numFmtId="0" fontId="48" fillId="24" borderId="49" applyNumberFormat="0" applyAlignment="0" applyProtection="0"/>
    <xf numFmtId="0" fontId="49" fillId="10" borderId="50" applyNumberFormat="0" applyFont="0" applyAlignment="0" applyProtection="0"/>
    <xf numFmtId="0" fontId="29" fillId="12" borderId="56" applyNumberFormat="0" applyAlignment="0" applyProtection="0"/>
    <xf numFmtId="0" fontId="8" fillId="10" borderId="50" applyNumberFormat="0" applyFont="0" applyAlignment="0" applyProtection="0"/>
    <xf numFmtId="0" fontId="8" fillId="10" borderId="50" applyNumberFormat="0" applyFont="0" applyAlignment="0" applyProtection="0"/>
    <xf numFmtId="0" fontId="49" fillId="10" borderId="50" applyNumberFormat="0" applyFont="0" applyAlignment="0" applyProtection="0"/>
    <xf numFmtId="0" fontId="31" fillId="0" borderId="52" applyNumberFormat="0" applyFill="0" applyAlignment="0" applyProtection="0"/>
    <xf numFmtId="0" fontId="31" fillId="0" borderId="55" applyNumberFormat="0" applyFill="0" applyAlignment="0" applyProtection="0"/>
    <xf numFmtId="0" fontId="31" fillId="0" borderId="52" applyNumberFormat="0" applyFill="0" applyAlignment="0" applyProtection="0"/>
    <xf numFmtId="0" fontId="31" fillId="0" borderId="55" applyNumberFormat="0" applyFill="0" applyAlignment="0" applyProtection="0"/>
    <xf numFmtId="0" fontId="49" fillId="10" borderId="119" applyNumberFormat="0" applyFon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32"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24"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48" fillId="12"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16" fillId="24" borderId="60" applyNumberFormat="0" applyAlignment="0" applyProtection="0"/>
    <xf numFmtId="0" fontId="31" fillId="0" borderId="90" applyNumberFormat="0" applyFill="0" applyAlignment="0" applyProtection="0"/>
    <xf numFmtId="0" fontId="8" fillId="10" borderId="96" applyNumberFormat="0" applyFont="0" applyAlignment="0" applyProtection="0"/>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8" fillId="0" borderId="64"/>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41"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13"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25" fillId="8" borderId="60" applyNumberFormat="0" applyAlignment="0" applyProtection="0"/>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85" fillId="73" borderId="64"/>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73" fillId="0" borderId="48" applyBorder="0">
      <alignment horizontal="center" vertical="center" wrapText="1"/>
    </xf>
    <xf numFmtId="0" fontId="48" fillId="24" borderId="167" applyNumberFormat="0" applyAlignment="0" applyProtection="0"/>
    <xf numFmtId="0" fontId="32" fillId="24" borderId="167" applyNumberFormat="0" applyAlignment="0" applyProtection="0"/>
    <xf numFmtId="0" fontId="8" fillId="10" borderId="168" applyNumberFormat="0" applyFont="0" applyAlignment="0" applyProtection="0"/>
    <xf numFmtId="0" fontId="16" fillId="24" borderId="176" applyNumberFormat="0" applyAlignment="0" applyProtection="0"/>
    <xf numFmtId="0" fontId="28" fillId="10" borderId="177" applyNumberFormat="0" applyFont="0" applyAlignment="0" applyProtection="0"/>
    <xf numFmtId="0" fontId="31" fillId="0" borderId="108" applyNumberFormat="0" applyFill="0" applyAlignment="0" applyProtection="0"/>
    <xf numFmtId="0" fontId="41" fillId="13" borderId="102" applyNumberFormat="0" applyAlignment="0" applyProtection="0"/>
    <xf numFmtId="0" fontId="41" fillId="13" borderId="102" applyNumberFormat="0" applyAlignment="0" applyProtection="0"/>
    <xf numFmtId="0" fontId="73" fillId="0" borderId="138" applyBorder="0">
      <alignment horizontal="center" vertical="center" wrapText="1"/>
    </xf>
    <xf numFmtId="0" fontId="49" fillId="10" borderId="68" applyNumberFormat="0" applyFont="0" applyAlignment="0" applyProtection="0"/>
    <xf numFmtId="0" fontId="48" fillId="12" borderId="67" applyNumberFormat="0" applyAlignment="0" applyProtection="0"/>
    <xf numFmtId="0" fontId="25" fillId="8" borderId="67" applyNumberFormat="0" applyAlignment="0" applyProtection="0"/>
    <xf numFmtId="0" fontId="31" fillId="0" borderId="65" applyNumberFormat="0" applyFill="0" applyAlignment="0" applyProtection="0"/>
    <xf numFmtId="0" fontId="31" fillId="0" borderId="70" applyNumberFormat="0" applyFill="0" applyAlignment="0" applyProtection="0"/>
    <xf numFmtId="0" fontId="24" fillId="24" borderId="69" applyNumberFormat="0" applyAlignment="0" applyProtection="0"/>
    <xf numFmtId="0" fontId="8" fillId="10" borderId="68" applyNumberFormat="0" applyFont="0" applyAlignment="0" applyProtection="0"/>
    <xf numFmtId="0" fontId="41" fillId="13" borderId="67" applyNumberFormat="0" applyAlignment="0" applyProtection="0"/>
    <xf numFmtId="0" fontId="48" fillId="12" borderId="67" applyNumberFormat="0" applyAlignment="0" applyProtection="0"/>
    <xf numFmtId="0" fontId="48" fillId="24" borderId="67" applyNumberFormat="0" applyAlignment="0" applyProtection="0"/>
    <xf numFmtId="0" fontId="31" fillId="0" borderId="65" applyNumberFormat="0" applyFill="0" applyAlignment="0" applyProtection="0"/>
    <xf numFmtId="0" fontId="48" fillId="24" borderId="67" applyNumberFormat="0" applyAlignment="0" applyProtection="0"/>
    <xf numFmtId="0" fontId="49" fillId="10" borderId="68" applyNumberFormat="0" applyFont="0" applyAlignment="0" applyProtection="0"/>
    <xf numFmtId="0" fontId="29" fillId="12" borderId="66" applyNumberFormat="0" applyAlignment="0" applyProtection="0"/>
    <xf numFmtId="0" fontId="8" fillId="10" borderId="68" applyNumberFormat="0" applyFont="0" applyAlignment="0" applyProtection="0"/>
    <xf numFmtId="0" fontId="8" fillId="10" borderId="61" applyNumberFormat="0" applyFont="0" applyAlignment="0" applyProtection="0"/>
    <xf numFmtId="0" fontId="49" fillId="10" borderId="61" applyNumberFormat="0" applyFont="0" applyAlignment="0" applyProtection="0"/>
    <xf numFmtId="0" fontId="31" fillId="0" borderId="63" applyNumberFormat="0" applyFill="0" applyAlignment="0" applyProtection="0"/>
    <xf numFmtId="0" fontId="31" fillId="0" borderId="65" applyNumberFormat="0" applyFill="0" applyAlignment="0" applyProtection="0"/>
    <xf numFmtId="0" fontId="31" fillId="0" borderId="70" applyNumberFormat="0" applyFill="0" applyAlignment="0" applyProtection="0"/>
    <xf numFmtId="0" fontId="31" fillId="0" borderId="65" applyNumberFormat="0" applyFill="0" applyAlignment="0" applyProtection="0"/>
    <xf numFmtId="0" fontId="48" fillId="24" borderId="167" applyNumberFormat="0" applyAlignment="0" applyProtection="0"/>
    <xf numFmtId="0" fontId="49" fillId="10" borderId="195" applyNumberFormat="0" applyFont="0" applyAlignment="0" applyProtection="0"/>
    <xf numFmtId="0" fontId="31" fillId="0" borderId="163" applyNumberFormat="0" applyFill="0" applyAlignment="0" applyProtection="0"/>
    <xf numFmtId="0" fontId="8" fillId="10" borderId="144" applyNumberFormat="0" applyFont="0" applyAlignment="0" applyProtection="0"/>
    <xf numFmtId="0" fontId="48" fillId="12" borderId="102" applyNumberFormat="0" applyAlignment="0" applyProtection="0"/>
    <xf numFmtId="0" fontId="24" fillId="24" borderId="120" applyNumberFormat="0" applyAlignment="0" applyProtection="0"/>
    <xf numFmtId="0" fontId="31" fillId="0" borderId="158" applyNumberFormat="0" applyFill="0" applyAlignment="0" applyProtection="0"/>
    <xf numFmtId="0" fontId="24" fillId="24" borderId="155" applyNumberFormat="0" applyAlignment="0" applyProtection="0"/>
    <xf numFmtId="0" fontId="18" fillId="10" borderId="103" applyNumberFormat="0" applyFont="0" applyAlignment="0" applyProtection="0"/>
    <xf numFmtId="0" fontId="49" fillId="10" borderId="103" applyNumberFormat="0" applyFont="0" applyAlignment="0" applyProtection="0"/>
    <xf numFmtId="0" fontId="28" fillId="10" borderId="168" applyNumberFormat="0" applyFont="0" applyAlignment="0" applyProtection="0"/>
    <xf numFmtId="0" fontId="28" fillId="10" borderId="119" applyNumberFormat="0" applyFont="0" applyAlignment="0" applyProtection="0"/>
    <xf numFmtId="0" fontId="18" fillId="10" borderId="119" applyNumberFormat="0" applyFont="0" applyAlignment="0" applyProtection="0"/>
    <xf numFmtId="0" fontId="31" fillId="0" borderId="148" applyNumberFormat="0" applyFill="0" applyAlignment="0" applyProtection="0"/>
    <xf numFmtId="0" fontId="48" fillId="12" borderId="134" applyNumberFormat="0" applyAlignment="0" applyProtection="0"/>
    <xf numFmtId="0" fontId="29" fillId="24" borderId="170" applyNumberFormat="0" applyAlignment="0" applyProtection="0"/>
    <xf numFmtId="0" fontId="32" fillId="24" borderId="187" applyNumberFormat="0" applyAlignment="0" applyProtection="0"/>
    <xf numFmtId="0" fontId="25" fillId="8" borderId="167" applyNumberFormat="0" applyAlignment="0" applyProtection="0"/>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32"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24"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48" fillId="12"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16" fillId="24" borderId="84" applyNumberFormat="0" applyAlignment="0" applyProtection="0"/>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28" fillId="0" borderId="88"/>
    <xf numFmtId="0" fontId="8" fillId="10" borderId="168" applyNumberFormat="0" applyFon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41"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13"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25" fillId="8" borderId="84" applyNumberFormat="0" applyAlignment="0" applyProtection="0"/>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85" fillId="73" borderId="88"/>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73" fillId="0" borderId="89" applyBorder="0">
      <alignment horizontal="center" vertical="center" wrapText="1"/>
    </xf>
    <xf numFmtId="0" fontId="29" fillId="12" borderId="170" applyNumberFormat="0" applyAlignment="0" applyProtection="0"/>
    <xf numFmtId="0" fontId="25" fillId="8" borderId="167" applyNumberFormat="0" applyAlignment="0" applyProtection="0"/>
    <xf numFmtId="0" fontId="31" fillId="0" borderId="184" applyNumberFormat="0" applyFill="0" applyAlignment="0" applyProtection="0"/>
    <xf numFmtId="0" fontId="31" fillId="0" borderId="185" applyNumberFormat="0" applyFill="0" applyAlignment="0" applyProtection="0"/>
    <xf numFmtId="0" fontId="25" fillId="8" borderId="118" applyNumberFormat="0" applyAlignment="0" applyProtection="0"/>
    <xf numFmtId="0" fontId="29" fillId="24" borderId="117" applyNumberFormat="0" applyAlignment="0" applyProtection="0"/>
    <xf numFmtId="0" fontId="28" fillId="0" borderId="180"/>
    <xf numFmtId="0" fontId="49" fillId="10" borderId="85" applyNumberFormat="0" applyFont="0" applyAlignment="0" applyProtection="0"/>
    <xf numFmtId="0" fontId="48" fillId="12" borderId="84" applyNumberFormat="0" applyAlignment="0" applyProtection="0"/>
    <xf numFmtId="0" fontId="25" fillId="8" borderId="84" applyNumberFormat="0" applyAlignment="0" applyProtection="0"/>
    <xf numFmtId="0" fontId="31" fillId="0" borderId="90" applyNumberFormat="0" applyFill="0" applyAlignment="0" applyProtection="0"/>
    <xf numFmtId="0" fontId="31" fillId="0" borderId="87" applyNumberFormat="0" applyFill="0" applyAlignment="0" applyProtection="0"/>
    <xf numFmtId="0" fontId="24" fillId="24" borderId="86" applyNumberFormat="0" applyAlignment="0" applyProtection="0"/>
    <xf numFmtId="0" fontId="8" fillId="10" borderId="85" applyNumberFormat="0" applyFont="0" applyAlignment="0" applyProtection="0"/>
    <xf numFmtId="0" fontId="41" fillId="13" borderId="84" applyNumberFormat="0" applyAlignment="0" applyProtection="0"/>
    <xf numFmtId="0" fontId="48" fillId="12" borderId="84" applyNumberFormat="0" applyAlignment="0" applyProtection="0"/>
    <xf numFmtId="0" fontId="48" fillId="24" borderId="84" applyNumberFormat="0" applyAlignment="0" applyProtection="0"/>
    <xf numFmtId="0" fontId="31" fillId="0" borderId="90" applyNumberFormat="0" applyFill="0" applyAlignment="0" applyProtection="0"/>
    <xf numFmtId="0" fontId="48" fillId="24" borderId="84" applyNumberFormat="0" applyAlignment="0" applyProtection="0"/>
    <xf numFmtId="0" fontId="49" fillId="10" borderId="85" applyNumberFormat="0" applyFont="0" applyAlignment="0" applyProtection="0"/>
    <xf numFmtId="0" fontId="29" fillId="12" borderId="91" applyNumberFormat="0" applyAlignment="0" applyProtection="0"/>
    <xf numFmtId="0" fontId="8" fillId="10" borderId="85" applyNumberFormat="0" applyFont="0" applyAlignment="0" applyProtection="0"/>
    <xf numFmtId="0" fontId="8" fillId="10" borderId="85" applyNumberFormat="0" applyFont="0" applyAlignment="0" applyProtection="0"/>
    <xf numFmtId="0" fontId="49" fillId="10" borderId="85" applyNumberFormat="0" applyFont="0" applyAlignment="0" applyProtection="0"/>
    <xf numFmtId="0" fontId="31" fillId="0" borderId="87" applyNumberFormat="0" applyFill="0" applyAlignment="0" applyProtection="0"/>
    <xf numFmtId="0" fontId="31" fillId="0" borderId="90" applyNumberFormat="0" applyFill="0" applyAlignment="0" applyProtection="0"/>
    <xf numFmtId="0" fontId="31" fillId="0" borderId="87" applyNumberFormat="0" applyFill="0" applyAlignment="0" applyProtection="0"/>
    <xf numFmtId="0" fontId="31" fillId="0" borderId="90" applyNumberFormat="0" applyFill="0" applyAlignment="0" applyProtection="0"/>
    <xf numFmtId="0" fontId="49" fillId="10" borderId="177" applyNumberFormat="0" applyFont="0" applyAlignment="0" applyProtection="0"/>
    <xf numFmtId="0" fontId="16" fillId="24" borderId="134" applyNumberFormat="0" applyAlignment="0" applyProtection="0"/>
    <xf numFmtId="0" fontId="28" fillId="0" borderId="191"/>
    <xf numFmtId="0" fontId="31" fillId="0" borderId="200" applyNumberFormat="0" applyFill="0" applyAlignment="0" applyProtection="0"/>
    <xf numFmtId="0" fontId="31" fillId="0" borderId="171" applyNumberFormat="0" applyFill="0" applyAlignment="0" applyProtection="0"/>
    <xf numFmtId="0" fontId="41" fillId="13" borderId="194" applyNumberFormat="0" applyAlignment="0" applyProtection="0"/>
    <xf numFmtId="0" fontId="28" fillId="0" borderId="149"/>
    <xf numFmtId="0" fontId="85" fillId="0" borderId="149"/>
    <xf numFmtId="0" fontId="31" fillId="0" borderId="185" applyNumberFormat="0" applyFill="0" applyAlignment="0" applyProtection="0"/>
    <xf numFmtId="0" fontId="16" fillId="24" borderId="102" applyNumberFormat="0" applyAlignment="0" applyProtection="0"/>
    <xf numFmtId="0" fontId="41" fillId="13" borderId="187" applyNumberFormat="0" applyAlignment="0" applyProtection="0"/>
    <xf numFmtId="0" fontId="8" fillId="10" borderId="177" applyNumberFormat="0" applyFont="0" applyAlignment="0" applyProtection="0"/>
    <xf numFmtId="0" fontId="29" fillId="24" borderId="146" applyNumberFormat="0" applyAlignment="0" applyProtection="0"/>
    <xf numFmtId="0" fontId="18" fillId="10" borderId="195" applyNumberFormat="0" applyFont="0" applyAlignment="0" applyProtection="0"/>
    <xf numFmtId="0" fontId="28" fillId="10" borderId="177" applyNumberFormat="0" applyFont="0" applyAlignment="0" applyProtection="0"/>
    <xf numFmtId="0" fontId="25" fillId="8" borderId="134" applyNumberFormat="0" applyAlignment="0" applyProtection="0"/>
    <xf numFmtId="0" fontId="49" fillId="10" borderId="177" applyNumberFormat="0" applyFont="0" applyAlignment="0" applyProtection="0"/>
    <xf numFmtId="0" fontId="48" fillId="12" borderId="194" applyNumberFormat="0" applyAlignment="0" applyProtection="0"/>
    <xf numFmtId="0" fontId="31" fillId="0" borderId="171" applyNumberFormat="0" applyFill="0" applyAlignment="0" applyProtection="0"/>
    <xf numFmtId="0" fontId="28" fillId="0" borderId="124"/>
    <xf numFmtId="0" fontId="31" fillId="0" borderId="197" applyNumberFormat="0" applyFill="0" applyAlignment="0" applyProtection="0"/>
    <xf numFmtId="0" fontId="48" fillId="24" borderId="167" applyNumberFormat="0" applyAlignment="0" applyProtection="0"/>
    <xf numFmtId="0" fontId="8" fillId="10" borderId="188" applyNumberFormat="0" applyFont="0" applyAlignment="0" applyProtection="0"/>
    <xf numFmtId="0" fontId="8" fillId="10" borderId="188" applyNumberFormat="0" applyFont="0" applyAlignment="0" applyProtection="0"/>
    <xf numFmtId="0" fontId="31" fillId="0" borderId="137" applyNumberFormat="0" applyFill="0" applyAlignment="0" applyProtection="0"/>
    <xf numFmtId="0" fontId="31" fillId="0" borderId="123" applyNumberFormat="0" applyFill="0" applyAlignment="0" applyProtection="0"/>
    <xf numFmtId="0" fontId="31" fillId="0" borderId="148" applyNumberFormat="0" applyFill="0" applyAlignment="0" applyProtection="0"/>
    <xf numFmtId="0" fontId="25" fillId="13" borderId="160" applyNumberFormat="0" applyAlignment="0" applyProtection="0"/>
    <xf numFmtId="0" fontId="25" fillId="13" borderId="167" applyNumberFormat="0" applyAlignment="0" applyProtection="0"/>
    <xf numFmtId="0" fontId="31" fillId="0" borderId="172" applyNumberFormat="0" applyFill="0" applyAlignment="0" applyProtection="0"/>
    <xf numFmtId="0" fontId="49" fillId="10" borderId="168" applyNumberFormat="0" applyFont="0" applyAlignment="0" applyProtection="0"/>
    <xf numFmtId="0" fontId="48" fillId="12" borderId="143" applyNumberFormat="0" applyAlignment="0" applyProtection="0"/>
    <xf numFmtId="0" fontId="31" fillId="0" borderId="121" applyNumberFormat="0" applyFill="0" applyAlignment="0" applyProtection="0"/>
    <xf numFmtId="0" fontId="29" fillId="24" borderId="117" applyNumberFormat="0" applyAlignment="0" applyProtection="0"/>
    <xf numFmtId="0" fontId="8" fillId="10" borderId="168" applyNumberFormat="0" applyFont="0" applyAlignment="0" applyProtection="0"/>
    <xf numFmtId="0" fontId="41" fillId="13" borderId="134" applyNumberFormat="0" applyAlignment="0" applyProtection="0"/>
    <xf numFmtId="0" fontId="28" fillId="10" borderId="135" applyNumberFormat="0" applyFont="0" applyAlignment="0" applyProtection="0"/>
    <xf numFmtId="0" fontId="73" fillId="0" borderId="106" applyBorder="0">
      <alignment horizontal="center" vertical="center" wrapText="1"/>
    </xf>
    <xf numFmtId="0" fontId="25" fillId="13" borderId="143" applyNumberFormat="0" applyAlignment="0" applyProtection="0"/>
    <xf numFmtId="0" fontId="25" fillId="8" borderId="118" applyNumberFormat="0" applyAlignment="0" applyProtection="0"/>
    <xf numFmtId="0" fontId="31" fillId="0" borderId="121" applyNumberFormat="0" applyFill="0" applyAlignment="0" applyProtection="0"/>
    <xf numFmtId="0" fontId="48" fillId="12" borderId="118" applyNumberFormat="0" applyAlignment="0" applyProtection="0"/>
    <xf numFmtId="0" fontId="41" fillId="13" borderId="167" applyNumberFormat="0" applyAlignment="0" applyProtection="0"/>
    <xf numFmtId="0" fontId="18" fillId="10" borderId="177" applyNumberFormat="0" applyFont="0" applyAlignment="0" applyProtection="0"/>
    <xf numFmtId="0" fontId="25" fillId="13" borderId="102" applyNumberFormat="0" applyAlignment="0" applyProtection="0"/>
    <xf numFmtId="0" fontId="29" fillId="24" borderId="146" applyNumberFormat="0" applyAlignment="0" applyProtection="0"/>
    <xf numFmtId="0" fontId="73" fillId="0" borderId="141" applyBorder="0">
      <alignment horizontal="center" vertical="center" wrapText="1"/>
    </xf>
    <xf numFmtId="0" fontId="25" fillId="13" borderId="118" applyNumberFormat="0" applyAlignment="0" applyProtection="0"/>
    <xf numFmtId="0" fontId="28" fillId="10" borderId="119" applyNumberFormat="0" applyFont="0" applyAlignment="0" applyProtection="0"/>
    <xf numFmtId="0" fontId="28" fillId="10" borderId="119" applyNumberFormat="0" applyFont="0" applyAlignment="0" applyProtection="0"/>
    <xf numFmtId="0" fontId="29" fillId="24" borderId="117" applyNumberFormat="0" applyAlignment="0" applyProtection="0"/>
    <xf numFmtId="0" fontId="31" fillId="0" borderId="123" applyNumberFormat="0" applyFill="0" applyAlignment="0" applyProtection="0"/>
    <xf numFmtId="0" fontId="49" fillId="10" borderId="195" applyNumberFormat="0" applyFont="0" applyAlignment="0" applyProtection="0"/>
    <xf numFmtId="0" fontId="16" fillId="24" borderId="203" applyNumberFormat="0" applyAlignment="0" applyProtection="0"/>
    <xf numFmtId="0" fontId="31" fillId="0" borderId="172" applyNumberFormat="0" applyFill="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32"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24"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48" fillId="12"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16" fillId="24" borderId="95" applyNumberFormat="0" applyAlignment="0" applyProtection="0"/>
    <xf numFmtId="0" fontId="85" fillId="0" borderId="124"/>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8" fillId="0" borderId="99"/>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41"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13"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25" fillId="8" borderId="95" applyNumberFormat="0" applyAlignment="0" applyProtection="0"/>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85" fillId="73" borderId="99"/>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73" fillId="0" borderId="81" applyBorder="0">
      <alignment horizontal="center" vertical="center" wrapText="1"/>
    </xf>
    <xf numFmtId="0" fontId="31" fillId="0" borderId="192" applyNumberFormat="0" applyFill="0" applyAlignment="0" applyProtection="0"/>
    <xf numFmtId="0" fontId="31" fillId="0" borderId="200" applyNumberFormat="0" applyFill="0" applyAlignment="0" applyProtection="0"/>
    <xf numFmtId="0" fontId="29" fillId="24" borderId="193" applyNumberFormat="0" applyAlignment="0" applyProtection="0"/>
    <xf numFmtId="0" fontId="28" fillId="10" borderId="195" applyNumberFormat="0" applyFont="0" applyAlignment="0" applyProtection="0"/>
    <xf numFmtId="0" fontId="24" fillId="24" borderId="205" applyNumberFormat="0" applyAlignment="0" applyProtection="0"/>
    <xf numFmtId="0" fontId="29" fillId="24" borderId="146" applyNumberFormat="0" applyAlignment="0" applyProtection="0"/>
    <xf numFmtId="0" fontId="31" fillId="0" borderId="151" applyNumberFormat="0" applyFill="0" applyAlignment="0" applyProtection="0"/>
    <xf numFmtId="0" fontId="31" fillId="0" borderId="151" applyNumberFormat="0" applyFill="0" applyAlignment="0" applyProtection="0"/>
    <xf numFmtId="0" fontId="18" fillId="10" borderId="188" applyNumberFormat="0" applyFont="0" applyAlignment="0" applyProtection="0"/>
    <xf numFmtId="0" fontId="49" fillId="10" borderId="103" applyNumberFormat="0" applyFont="0" applyAlignment="0" applyProtection="0"/>
    <xf numFmtId="0" fontId="48" fillId="12" borderId="102" applyNumberFormat="0" applyAlignment="0" applyProtection="0"/>
    <xf numFmtId="0" fontId="25" fillId="8" borderId="102" applyNumberFormat="0" applyAlignment="0" applyProtection="0"/>
    <xf numFmtId="0" fontId="31" fillId="0" borderId="100" applyNumberFormat="0" applyFill="0" applyAlignment="0" applyProtection="0"/>
    <xf numFmtId="0" fontId="31" fillId="0" borderId="105" applyNumberFormat="0" applyFill="0" applyAlignment="0" applyProtection="0"/>
    <xf numFmtId="0" fontId="24" fillId="24" borderId="104" applyNumberFormat="0" applyAlignment="0" applyProtection="0"/>
    <xf numFmtId="0" fontId="8" fillId="10" borderId="103" applyNumberFormat="0" applyFont="0" applyAlignment="0" applyProtection="0"/>
    <xf numFmtId="0" fontId="41" fillId="13" borderId="102" applyNumberFormat="0" applyAlignment="0" applyProtection="0"/>
    <xf numFmtId="0" fontId="48" fillId="12" borderId="102" applyNumberFormat="0" applyAlignment="0" applyProtection="0"/>
    <xf numFmtId="0" fontId="48" fillId="24" borderId="102" applyNumberFormat="0" applyAlignment="0" applyProtection="0"/>
    <xf numFmtId="0" fontId="31" fillId="0" borderId="100" applyNumberFormat="0" applyFill="0" applyAlignment="0" applyProtection="0"/>
    <xf numFmtId="0" fontId="48" fillId="24" borderId="102" applyNumberFormat="0" applyAlignment="0" applyProtection="0"/>
    <xf numFmtId="0" fontId="49" fillId="10" borderId="103" applyNumberFormat="0" applyFont="0" applyAlignment="0" applyProtection="0"/>
    <xf numFmtId="0" fontId="29" fillId="12" borderId="101" applyNumberFormat="0" applyAlignment="0" applyProtection="0"/>
    <xf numFmtId="0" fontId="8" fillId="10" borderId="103" applyNumberFormat="0" applyFont="0" applyAlignment="0" applyProtection="0"/>
    <xf numFmtId="0" fontId="8" fillId="10" borderId="96" applyNumberFormat="0" applyFont="0" applyAlignment="0" applyProtection="0"/>
    <xf numFmtId="0" fontId="49" fillId="10" borderId="96" applyNumberFormat="0" applyFont="0" applyAlignment="0" applyProtection="0"/>
    <xf numFmtId="0" fontId="31" fillId="0" borderId="98" applyNumberFormat="0" applyFill="0" applyAlignment="0" applyProtection="0"/>
    <xf numFmtId="0" fontId="31" fillId="0" borderId="100" applyNumberFormat="0" applyFill="0" applyAlignment="0" applyProtection="0"/>
    <xf numFmtId="0" fontId="31" fillId="0" borderId="105" applyNumberFormat="0" applyFill="0" applyAlignment="0" applyProtection="0"/>
    <xf numFmtId="0" fontId="31" fillId="0" borderId="100" applyNumberFormat="0" applyFill="0" applyAlignment="0" applyProtection="0"/>
    <xf numFmtId="0" fontId="25" fillId="13" borderId="194" applyNumberFormat="0" applyAlignment="0" applyProtection="0"/>
    <xf numFmtId="0" fontId="31" fillId="0" borderId="140" applyNumberFormat="0" applyFill="0" applyAlignment="0" applyProtection="0"/>
    <xf numFmtId="0" fontId="24" fillId="24" borderId="196" applyNumberFormat="0" applyAlignment="0" applyProtection="0"/>
    <xf numFmtId="0" fontId="48" fillId="12" borderId="167" applyNumberFormat="0" applyAlignment="0" applyProtection="0"/>
    <xf numFmtId="0" fontId="31" fillId="0" borderId="185" applyNumberFormat="0" applyFill="0" applyAlignment="0" applyProtection="0"/>
    <xf numFmtId="0" fontId="31" fillId="0" borderId="184" applyNumberFormat="0" applyFill="0" applyAlignment="0" applyProtection="0"/>
    <xf numFmtId="0" fontId="31" fillId="0" borderId="137" applyNumberFormat="0" applyFill="0" applyAlignment="0" applyProtection="0"/>
    <xf numFmtId="0" fontId="29" fillId="24" borderId="146" applyNumberFormat="0" applyAlignment="0" applyProtection="0"/>
    <xf numFmtId="0" fontId="24" fillId="24" borderId="162" applyNumberFormat="0" applyAlignment="0" applyProtection="0"/>
    <xf numFmtId="0" fontId="73" fillId="0" borderId="109" applyBorder="0">
      <alignment horizontal="center" vertical="center" wrapText="1"/>
    </xf>
    <xf numFmtId="0" fontId="28" fillId="10" borderId="154" applyNumberFormat="0" applyFont="0" applyAlignment="0" applyProtection="0"/>
    <xf numFmtId="0" fontId="48" fillId="12" borderId="194" applyNumberFormat="0" applyAlignment="0" applyProtection="0"/>
    <xf numFmtId="0" fontId="25" fillId="13" borderId="118" applyNumberFormat="0" applyAlignment="0" applyProtection="0"/>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32"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24"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48" fillId="12"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16" fillId="24" borderId="111" applyNumberFormat="0" applyAlignment="0" applyProtection="0"/>
    <xf numFmtId="0" fontId="49" fillId="10" borderId="154" applyNumberFormat="0" applyFont="0" applyAlignment="0" applyProtection="0"/>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8" fillId="0" borderId="115"/>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41"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13"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25" fillId="8" borderId="111" applyNumberFormat="0" applyAlignment="0" applyProtection="0"/>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85" fillId="73" borderId="115"/>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73" fillId="0" borderId="109" applyBorder="0">
      <alignment horizontal="center" vertical="center" wrapText="1"/>
    </xf>
    <xf numFmtId="0" fontId="25" fillId="8" borderId="194" applyNumberFormat="0" applyAlignment="0" applyProtection="0"/>
    <xf numFmtId="0" fontId="48" fillId="24" borderId="194" applyNumberFormat="0" applyAlignment="0" applyProtection="0"/>
    <xf numFmtId="0" fontId="8" fillId="10" borderId="195" applyNumberFormat="0" applyFont="0" applyAlignment="0" applyProtection="0"/>
    <xf numFmtId="0" fontId="25" fillId="13" borderId="194" applyNumberFormat="0" applyAlignment="0" applyProtection="0"/>
    <xf numFmtId="0" fontId="25" fillId="8" borderId="194" applyNumberFormat="0" applyAlignment="0" applyProtection="0"/>
    <xf numFmtId="0" fontId="31" fillId="0" borderId="199" applyNumberFormat="0" applyFill="0" applyAlignment="0" applyProtection="0"/>
    <xf numFmtId="0" fontId="8" fillId="10" borderId="195" applyNumberFormat="0" applyFont="0" applyAlignment="0" applyProtection="0"/>
    <xf numFmtId="0" fontId="31" fillId="0" borderId="172" applyNumberFormat="0" applyFill="0" applyAlignment="0" applyProtection="0"/>
    <xf numFmtId="0" fontId="28" fillId="10" borderId="177" applyNumberFormat="0" applyFont="0" applyAlignment="0" applyProtection="0"/>
    <xf numFmtId="0" fontId="28" fillId="10" borderId="195" applyNumberFormat="0" applyFont="0" applyAlignment="0" applyProtection="0"/>
    <xf numFmtId="0" fontId="48" fillId="12" borderId="167" applyNumberFormat="0" applyAlignment="0" applyProtection="0"/>
    <xf numFmtId="0" fontId="8" fillId="10" borderId="161" applyNumberFormat="0" applyFont="0" applyAlignment="0" applyProtection="0"/>
    <xf numFmtId="0" fontId="49" fillId="10" borderId="119" applyNumberFormat="0" applyFont="0" applyAlignment="0" applyProtection="0"/>
    <xf numFmtId="0" fontId="48" fillId="12" borderId="118" applyNumberFormat="0" applyAlignment="0" applyProtection="0"/>
    <xf numFmtId="0" fontId="25" fillId="8" borderId="118" applyNumberFormat="0" applyAlignment="0" applyProtection="0"/>
    <xf numFmtId="0" fontId="31" fillId="0" borderId="116" applyNumberFormat="0" applyFill="0" applyAlignment="0" applyProtection="0"/>
    <xf numFmtId="0" fontId="31" fillId="0" borderId="121" applyNumberFormat="0" applyFill="0" applyAlignment="0" applyProtection="0"/>
    <xf numFmtId="0" fontId="24" fillId="24" borderId="120" applyNumberFormat="0" applyAlignment="0" applyProtection="0"/>
    <xf numFmtId="0" fontId="8" fillId="10" borderId="119" applyNumberFormat="0" applyFont="0" applyAlignment="0" applyProtection="0"/>
    <xf numFmtId="0" fontId="41" fillId="13" borderId="118" applyNumberFormat="0" applyAlignment="0" applyProtection="0"/>
    <xf numFmtId="0" fontId="48" fillId="12" borderId="118" applyNumberFormat="0" applyAlignment="0" applyProtection="0"/>
    <xf numFmtId="0" fontId="48" fillId="24" borderId="118" applyNumberFormat="0" applyAlignment="0" applyProtection="0"/>
    <xf numFmtId="0" fontId="31" fillId="0" borderId="116" applyNumberFormat="0" applyFill="0" applyAlignment="0" applyProtection="0"/>
    <xf numFmtId="0" fontId="48" fillId="24" borderId="118" applyNumberFormat="0" applyAlignment="0" applyProtection="0"/>
    <xf numFmtId="0" fontId="49" fillId="10" borderId="119" applyNumberFormat="0" applyFont="0" applyAlignment="0" applyProtection="0"/>
    <xf numFmtId="0" fontId="29" fillId="12" borderId="117" applyNumberFormat="0" applyAlignment="0" applyProtection="0"/>
    <xf numFmtId="0" fontId="8" fillId="10" borderId="119" applyNumberFormat="0" applyFont="0" applyAlignment="0" applyProtection="0"/>
    <xf numFmtId="0" fontId="8" fillId="10" borderId="112" applyNumberFormat="0" applyFont="0" applyAlignment="0" applyProtection="0"/>
    <xf numFmtId="0" fontId="49" fillId="10" borderId="112" applyNumberFormat="0" applyFont="0" applyAlignment="0" applyProtection="0"/>
    <xf numFmtId="0" fontId="31" fillId="0" borderId="114" applyNumberFormat="0" applyFill="0" applyAlignment="0" applyProtection="0"/>
    <xf numFmtId="0" fontId="31" fillId="0" borderId="116" applyNumberFormat="0" applyFill="0" applyAlignment="0" applyProtection="0"/>
    <xf numFmtId="0" fontId="31" fillId="0" borderId="121" applyNumberFormat="0" applyFill="0" applyAlignment="0" applyProtection="0"/>
    <xf numFmtId="0" fontId="31" fillId="0" borderId="116" applyNumberFormat="0" applyFill="0" applyAlignment="0" applyProtection="0"/>
    <xf numFmtId="0" fontId="24" fillId="24" borderId="196" applyNumberFormat="0" applyAlignment="0" applyProtection="0"/>
    <xf numFmtId="0" fontId="31" fillId="0" borderId="158" applyNumberFormat="0" applyFill="0" applyAlignment="0" applyProtection="0"/>
    <xf numFmtId="0" fontId="16" fillId="24" borderId="134" applyNumberFormat="0" applyAlignment="0" applyProtection="0"/>
    <xf numFmtId="0" fontId="73" fillId="0" borderId="201" applyBorder="0">
      <alignment horizontal="center" vertical="center" wrapText="1"/>
    </xf>
    <xf numFmtId="0" fontId="16" fillId="24" borderId="194" applyNumberFormat="0" applyAlignment="0" applyProtection="0"/>
    <xf numFmtId="0" fontId="25" fillId="13" borderId="194" applyNumberFormat="0" applyAlignment="0" applyProtection="0"/>
    <xf numFmtId="0" fontId="28" fillId="0" borderId="174"/>
    <xf numFmtId="0" fontId="48" fillId="12" borderId="194" applyNumberFormat="0" applyAlignment="0" applyProtection="0"/>
    <xf numFmtId="0" fontId="31" fillId="0" borderId="200" applyNumberFormat="0" applyFill="0" applyAlignment="0" applyProtection="0"/>
    <xf numFmtId="0" fontId="24" fillId="24" borderId="162" applyNumberFormat="0" applyAlignment="0" applyProtection="0"/>
    <xf numFmtId="0" fontId="31" fillId="0" borderId="185" applyNumberFormat="0" applyFill="0" applyAlignment="0" applyProtection="0"/>
    <xf numFmtId="0" fontId="31" fillId="0" borderId="166" applyNumberFormat="0" applyFill="0" applyAlignment="0" applyProtection="0"/>
    <xf numFmtId="0" fontId="28" fillId="10" borderId="195" applyNumberFormat="0" applyFont="0" applyAlignment="0" applyProtection="0"/>
    <xf numFmtId="0" fontId="8" fillId="10" borderId="204" applyNumberFormat="0" applyFont="0" applyAlignment="0" applyProtection="0"/>
    <xf numFmtId="0" fontId="31" fillId="0" borderId="158" applyNumberFormat="0" applyFill="0" applyAlignment="0" applyProtection="0"/>
    <xf numFmtId="0" fontId="48" fillId="12" borderId="194" applyNumberFormat="0" applyAlignment="0" applyProtection="0"/>
    <xf numFmtId="0" fontId="31" fillId="0" borderId="171" applyNumberFormat="0" applyFill="0" applyAlignment="0" applyProtection="0"/>
    <xf numFmtId="0" fontId="49" fillId="10" borderId="204" applyNumberFormat="0" applyFont="0" applyAlignment="0" applyProtection="0"/>
    <xf numFmtId="0" fontId="24" fillId="24" borderId="205" applyNumberFormat="0" applyAlignment="0" applyProtection="0"/>
    <xf numFmtId="0" fontId="29" fillId="24" borderId="170" applyNumberFormat="0" applyAlignment="0" applyProtection="0"/>
    <xf numFmtId="0" fontId="49" fillId="10" borderId="177" applyNumberFormat="0" applyFont="0" applyAlignment="0" applyProtection="0"/>
    <xf numFmtId="0" fontId="73" fillId="0" borderId="138" applyBorder="0">
      <alignment horizontal="center" vertical="center" wrapText="1"/>
    </xf>
    <xf numFmtId="0" fontId="25" fillId="13" borderId="176" applyNumberFormat="0" applyAlignment="0" applyProtection="0"/>
    <xf numFmtId="0" fontId="31" fillId="0" borderId="185" applyNumberFormat="0" applyFill="0" applyAlignment="0" applyProtection="0"/>
    <xf numFmtId="0" fontId="73" fillId="0" borderId="173" applyBorder="0">
      <alignment horizontal="center" vertical="center" wrapText="1"/>
    </xf>
    <xf numFmtId="0" fontId="28" fillId="10" borderId="168" applyNumberFormat="0" applyFont="0" applyAlignment="0" applyProtection="0"/>
    <xf numFmtId="0" fontId="25" fillId="13" borderId="134"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32"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24"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48" fillId="12"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16" fillId="24" borderId="127" applyNumberFormat="0" applyAlignment="0" applyProtection="0"/>
    <xf numFmtId="0" fontId="49" fillId="10" borderId="168" applyNumberFormat="0" applyFont="0" applyAlignment="0" applyProtection="0"/>
    <xf numFmtId="0" fontId="48" fillId="12" borderId="167" applyNumberFormat="0" applyAlignment="0" applyProtection="0"/>
    <xf numFmtId="0" fontId="49" fillId="10" borderId="177" applyNumberFormat="0" applyFont="0" applyAlignment="0" applyProtection="0"/>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8" fillId="0" borderId="131"/>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41"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13"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25" fillId="8" borderId="127" applyNumberFormat="0" applyAlignment="0" applyProtection="0"/>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85" fillId="73" borderId="131"/>
    <xf numFmtId="0" fontId="48" fillId="12" borderId="167" applyNumberFormat="0" applyAlignment="0" applyProtection="0"/>
    <xf numFmtId="0" fontId="41" fillId="13" borderId="167" applyNumberFormat="0" applyAlignment="0" applyProtection="0"/>
    <xf numFmtId="0" fontId="8" fillId="10" borderId="168" applyNumberFormat="0" applyFont="0" applyAlignment="0" applyProtection="0"/>
    <xf numFmtId="0" fontId="8" fillId="10" borderId="168" applyNumberFormat="0" applyFont="0" applyAlignment="0" applyProtection="0"/>
    <xf numFmtId="0" fontId="49" fillId="10" borderId="168" applyNumberFormat="0" applyFont="0" applyAlignment="0" applyProtection="0"/>
    <xf numFmtId="0" fontId="29" fillId="12" borderId="170" applyNumberFormat="0" applyAlignment="0" applyProtection="0"/>
    <xf numFmtId="0" fontId="31" fillId="0" borderId="172" applyNumberFormat="0" applyFill="0" applyAlignment="0" applyProtection="0"/>
    <xf numFmtId="0" fontId="16" fillId="24" borderId="203" applyNumberFormat="0" applyAlignment="0" applyProtection="0"/>
    <xf numFmtId="0" fontId="73" fillId="0" borderId="173" applyBorder="0">
      <alignment horizontal="center" vertical="center" wrapText="1"/>
    </xf>
    <xf numFmtId="0" fontId="32" fillId="24" borderId="167" applyNumberFormat="0" applyAlignment="0" applyProtection="0"/>
    <xf numFmtId="0" fontId="16" fillId="24" borderId="167" applyNumberFormat="0" applyAlignment="0" applyProtection="0"/>
    <xf numFmtId="0" fontId="25" fillId="13" borderId="167" applyNumberFormat="0" applyAlignment="0" applyProtection="0"/>
    <xf numFmtId="0" fontId="8" fillId="10" borderId="168" applyNumberFormat="0" applyFont="0" applyAlignment="0" applyProtection="0"/>
    <xf numFmtId="0" fontId="24" fillId="24" borderId="169" applyNumberFormat="0" applyAlignment="0" applyProtection="0"/>
    <xf numFmtId="0" fontId="29" fillId="24" borderId="170" applyNumberFormat="0" applyAlignment="0" applyProtection="0"/>
    <xf numFmtId="0" fontId="29" fillId="24" borderId="170" applyNumberFormat="0" applyAlignment="0" applyProtection="0"/>
    <xf numFmtId="0" fontId="31" fillId="0" borderId="165" applyNumberFormat="0" applyFill="0" applyAlignment="0" applyProtection="0"/>
    <xf numFmtId="0" fontId="31" fillId="0" borderId="166" applyNumberFormat="0" applyFill="0" applyAlignment="0" applyProtection="0"/>
    <xf numFmtId="0" fontId="48" fillId="24" borderId="194" applyNumberFormat="0" applyAlignment="0" applyProtection="0"/>
    <xf numFmtId="0" fontId="73" fillId="0" borderId="201" applyBorder="0">
      <alignment horizontal="center" vertical="center" wrapText="1"/>
    </xf>
    <xf numFmtId="0" fontId="31" fillId="0" borderId="199" applyNumberFormat="0" applyFill="0" applyAlignment="0" applyProtection="0"/>
    <xf numFmtId="0" fontId="49" fillId="10" borderId="135" applyNumberFormat="0" applyFont="0" applyAlignment="0" applyProtection="0"/>
    <xf numFmtId="0" fontId="48" fillId="12" borderId="134" applyNumberFormat="0" applyAlignment="0" applyProtection="0"/>
    <xf numFmtId="0" fontId="25" fillId="8" borderId="134" applyNumberFormat="0" applyAlignment="0" applyProtection="0"/>
    <xf numFmtId="0" fontId="31" fillId="0" borderId="132" applyNumberFormat="0" applyFill="0" applyAlignment="0" applyProtection="0"/>
    <xf numFmtId="0" fontId="31" fillId="0" borderId="137" applyNumberFormat="0" applyFill="0" applyAlignment="0" applyProtection="0"/>
    <xf numFmtId="0" fontId="24" fillId="24" borderId="136" applyNumberFormat="0" applyAlignment="0" applyProtection="0"/>
    <xf numFmtId="0" fontId="8" fillId="10" borderId="135" applyNumberFormat="0" applyFont="0" applyAlignment="0" applyProtection="0"/>
    <xf numFmtId="0" fontId="41" fillId="13" borderId="134" applyNumberFormat="0" applyAlignment="0" applyProtection="0"/>
    <xf numFmtId="0" fontId="48" fillId="12" borderId="134" applyNumberFormat="0" applyAlignment="0" applyProtection="0"/>
    <xf numFmtId="0" fontId="48" fillId="24" borderId="134" applyNumberFormat="0" applyAlignment="0" applyProtection="0"/>
    <xf numFmtId="0" fontId="31" fillId="0" borderId="132" applyNumberFormat="0" applyFill="0" applyAlignment="0" applyProtection="0"/>
    <xf numFmtId="0" fontId="48" fillId="24" borderId="134" applyNumberFormat="0" applyAlignment="0" applyProtection="0"/>
    <xf numFmtId="0" fontId="49" fillId="10" borderId="135" applyNumberFormat="0" applyFont="0" applyAlignment="0" applyProtection="0"/>
    <xf numFmtId="0" fontId="29" fillId="12" borderId="133" applyNumberFormat="0" applyAlignment="0" applyProtection="0"/>
    <xf numFmtId="0" fontId="8" fillId="10" borderId="135" applyNumberFormat="0" applyFont="0" applyAlignment="0" applyProtection="0"/>
    <xf numFmtId="0" fontId="8" fillId="10" borderId="128" applyNumberFormat="0" applyFont="0" applyAlignment="0" applyProtection="0"/>
    <xf numFmtId="0" fontId="49" fillId="10" borderId="128" applyNumberFormat="0" applyFont="0" applyAlignment="0" applyProtection="0"/>
    <xf numFmtId="0" fontId="31" fillId="0" borderId="130" applyNumberFormat="0" applyFill="0" applyAlignment="0" applyProtection="0"/>
    <xf numFmtId="0" fontId="31" fillId="0" borderId="132" applyNumberFormat="0" applyFill="0" applyAlignment="0" applyProtection="0"/>
    <xf numFmtId="0" fontId="31" fillId="0" borderId="137" applyNumberFormat="0" applyFill="0" applyAlignment="0" applyProtection="0"/>
    <xf numFmtId="0" fontId="31" fillId="0" borderId="132" applyNumberFormat="0" applyFill="0" applyAlignment="0" applyProtection="0"/>
    <xf numFmtId="0" fontId="28" fillId="10" borderId="195" applyNumberFormat="0" applyFont="0" applyAlignment="0" applyProtection="0"/>
    <xf numFmtId="0" fontId="85" fillId="0" borderId="180"/>
    <xf numFmtId="0" fontId="73" fillId="0" borderId="201" applyBorder="0">
      <alignment horizontal="center" vertical="center" wrapText="1"/>
    </xf>
    <xf numFmtId="0" fontId="24" fillId="24" borderId="196" applyNumberFormat="0" applyAlignment="0" applyProtection="0"/>
    <xf numFmtId="0" fontId="24" fillId="24" borderId="196" applyNumberFormat="0" applyAlignment="0" applyProtection="0"/>
    <xf numFmtId="0" fontId="31" fillId="0" borderId="158" applyNumberFormat="0" applyFill="0" applyAlignment="0" applyProtection="0"/>
    <xf numFmtId="0" fontId="31" fillId="0" borderId="185" applyNumberFormat="0" applyFill="0" applyAlignment="0" applyProtection="0"/>
    <xf numFmtId="0" fontId="25" fillId="13" borderId="194" applyNumberFormat="0" applyAlignment="0" applyProtection="0"/>
    <xf numFmtId="0" fontId="73" fillId="0" borderId="164" applyBorder="0">
      <alignment horizontal="center" vertical="center" wrapText="1"/>
    </xf>
    <xf numFmtId="0" fontId="24" fillId="24" borderId="189" applyNumberFormat="0" applyAlignment="0" applyProtection="0"/>
    <xf numFmtId="0" fontId="25" fillId="13" borderId="160" applyNumberFormat="0" applyAlignment="0" applyProtection="0"/>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32"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24"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48" fillId="12"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16" fillId="24" borderId="153" applyNumberFormat="0" applyAlignment="0" applyProtection="0"/>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8" fillId="0" borderId="157"/>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41"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13"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25" fillId="8" borderId="153" applyNumberFormat="0" applyAlignment="0" applyProtection="0"/>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85" fillId="73" borderId="157"/>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73" fillId="0" borderId="141" applyBorder="0">
      <alignment horizontal="center" vertical="center" wrapText="1"/>
    </xf>
    <xf numFmtId="0" fontId="85" fillId="0" borderId="191"/>
    <xf numFmtId="0" fontId="85" fillId="0" borderId="191"/>
    <xf numFmtId="0" fontId="49" fillId="10" borderId="161" applyNumberFormat="0" applyFont="0" applyAlignment="0" applyProtection="0"/>
    <xf numFmtId="0" fontId="48" fillId="12" borderId="160" applyNumberFormat="0" applyAlignment="0" applyProtection="0"/>
    <xf numFmtId="0" fontId="25" fillId="8" borderId="160" applyNumberFormat="0" applyAlignment="0" applyProtection="0"/>
    <xf numFmtId="0" fontId="31" fillId="0" borderId="158" applyNumberFormat="0" applyFill="0" applyAlignment="0" applyProtection="0"/>
    <xf numFmtId="0" fontId="31" fillId="0" borderId="163" applyNumberFormat="0" applyFill="0" applyAlignment="0" applyProtection="0"/>
    <xf numFmtId="0" fontId="24" fillId="24" borderId="162" applyNumberFormat="0" applyAlignment="0" applyProtection="0"/>
    <xf numFmtId="0" fontId="8" fillId="10" borderId="161" applyNumberFormat="0" applyFont="0" applyAlignment="0" applyProtection="0"/>
    <xf numFmtId="0" fontId="41" fillId="13" borderId="160" applyNumberFormat="0" applyAlignment="0" applyProtection="0"/>
    <xf numFmtId="0" fontId="48" fillId="12" borderId="160" applyNumberFormat="0" applyAlignment="0" applyProtection="0"/>
    <xf numFmtId="0" fontId="48" fillId="24" borderId="160" applyNumberFormat="0" applyAlignment="0" applyProtection="0"/>
    <xf numFmtId="0" fontId="31" fillId="0" borderId="158" applyNumberFormat="0" applyFill="0" applyAlignment="0" applyProtection="0"/>
    <xf numFmtId="0" fontId="48" fillId="24" borderId="160" applyNumberFormat="0" applyAlignment="0" applyProtection="0"/>
    <xf numFmtId="0" fontId="49" fillId="10" borderId="161" applyNumberFormat="0" applyFont="0" applyAlignment="0" applyProtection="0"/>
    <xf numFmtId="0" fontId="29" fillId="12" borderId="159" applyNumberFormat="0" applyAlignment="0" applyProtection="0"/>
    <xf numFmtId="0" fontId="8" fillId="10" borderId="161" applyNumberFormat="0" applyFont="0" applyAlignment="0" applyProtection="0"/>
    <xf numFmtId="0" fontId="8" fillId="10" borderId="154" applyNumberFormat="0" applyFont="0" applyAlignment="0" applyProtection="0"/>
    <xf numFmtId="0" fontId="49" fillId="10" borderId="154" applyNumberFormat="0" applyFont="0" applyAlignment="0" applyProtection="0"/>
    <xf numFmtId="0" fontId="31" fillId="0" borderId="156" applyNumberFormat="0" applyFill="0" applyAlignment="0" applyProtection="0"/>
    <xf numFmtId="0" fontId="31" fillId="0" borderId="158" applyNumberFormat="0" applyFill="0" applyAlignment="0" applyProtection="0"/>
    <xf numFmtId="0" fontId="31" fillId="0" borderId="163" applyNumberFormat="0" applyFill="0" applyAlignment="0" applyProtection="0"/>
    <xf numFmtId="0" fontId="31" fillId="0" borderId="158" applyNumberFormat="0" applyFill="0" applyAlignment="0" applyProtection="0"/>
    <xf numFmtId="0" fontId="48" fillId="24" borderId="194" applyNumberFormat="0" applyAlignment="0" applyProtection="0"/>
    <xf numFmtId="0" fontId="31" fillId="0" borderId="197" applyNumberFormat="0" applyFill="0" applyAlignment="0" applyProtection="0"/>
    <xf numFmtId="0" fontId="29" fillId="24" borderId="193" applyNumberFormat="0" applyAlignment="0" applyProtection="0"/>
    <xf numFmtId="0" fontId="73" fillId="0" borderId="126"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32"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24"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48" fillId="12"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16" fillId="24" borderId="176" applyNumberFormat="0" applyAlignment="0" applyProtection="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8" fillId="0" borderId="18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41"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13"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25" fillId="8" borderId="176" applyNumberFormat="0" applyAlignment="0" applyProtection="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85" fillId="73" borderId="180"/>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73" fillId="0" borderId="181" applyBorder="0">
      <alignment horizontal="center" vertical="center" wrapText="1"/>
    </xf>
    <xf numFmtId="0" fontId="49" fillId="10" borderId="177" applyNumberFormat="0" applyFont="0" applyAlignment="0" applyProtection="0"/>
    <xf numFmtId="0" fontId="48" fillId="12" borderId="176" applyNumberFormat="0" applyAlignment="0" applyProtection="0"/>
    <xf numFmtId="0" fontId="25" fillId="8" borderId="176" applyNumberFormat="0" applyAlignment="0" applyProtection="0"/>
    <xf numFmtId="0" fontId="31" fillId="0" borderId="182" applyNumberFormat="0" applyFill="0" applyAlignment="0" applyProtection="0"/>
    <xf numFmtId="0" fontId="31" fillId="0" borderId="179" applyNumberFormat="0" applyFill="0" applyAlignment="0" applyProtection="0"/>
    <xf numFmtId="0" fontId="24" fillId="24" borderId="178" applyNumberFormat="0" applyAlignment="0" applyProtection="0"/>
    <xf numFmtId="0" fontId="8" fillId="10" borderId="177" applyNumberFormat="0" applyFont="0" applyAlignment="0" applyProtection="0"/>
    <xf numFmtId="0" fontId="41" fillId="13" borderId="176" applyNumberFormat="0" applyAlignment="0" applyProtection="0"/>
    <xf numFmtId="0" fontId="48" fillId="12" borderId="176" applyNumberFormat="0" applyAlignment="0" applyProtection="0"/>
    <xf numFmtId="0" fontId="48" fillId="24" borderId="176" applyNumberFormat="0" applyAlignment="0" applyProtection="0"/>
    <xf numFmtId="0" fontId="31" fillId="0" borderId="182" applyNumberFormat="0" applyFill="0" applyAlignment="0" applyProtection="0"/>
    <xf numFmtId="0" fontId="48" fillId="24" borderId="176" applyNumberFormat="0" applyAlignment="0" applyProtection="0"/>
    <xf numFmtId="0" fontId="49" fillId="10" borderId="177" applyNumberFormat="0" applyFont="0" applyAlignment="0" applyProtection="0"/>
    <xf numFmtId="0" fontId="29" fillId="12" borderId="183" applyNumberFormat="0" applyAlignment="0" applyProtection="0"/>
    <xf numFmtId="0" fontId="8" fillId="10" borderId="177" applyNumberFormat="0" applyFont="0" applyAlignment="0" applyProtection="0"/>
    <xf numFmtId="0" fontId="8" fillId="10" borderId="177" applyNumberFormat="0" applyFont="0" applyAlignment="0" applyProtection="0"/>
    <xf numFmtId="0" fontId="49" fillId="10" borderId="177" applyNumberFormat="0" applyFont="0" applyAlignment="0" applyProtection="0"/>
    <xf numFmtId="0" fontId="31" fillId="0" borderId="179" applyNumberFormat="0" applyFill="0" applyAlignment="0" applyProtection="0"/>
    <xf numFmtId="0" fontId="31" fillId="0" borderId="182" applyNumberFormat="0" applyFill="0" applyAlignment="0" applyProtection="0"/>
    <xf numFmtId="0" fontId="31" fillId="0" borderId="179" applyNumberFormat="0" applyFill="0" applyAlignment="0" applyProtection="0"/>
    <xf numFmtId="0" fontId="31" fillId="0" borderId="182" applyNumberFormat="0" applyFill="0" applyAlignment="0" applyProtection="0"/>
    <xf numFmtId="0" fontId="16" fillId="24" borderId="194" applyNumberFormat="0" applyAlignment="0" applyProtection="0"/>
    <xf numFmtId="0" fontId="73" fillId="0" borderId="198" applyBorder="0">
      <alignment horizontal="center" vertical="center" wrapText="1"/>
    </xf>
    <xf numFmtId="0" fontId="25" fillId="13" borderId="194"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32"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24"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48" fillId="12"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16" fillId="24" borderId="187" applyNumberFormat="0" applyAlignment="0" applyProtection="0"/>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8" fillId="0" borderId="191"/>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41"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13"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25" fillId="8" borderId="187" applyNumberFormat="0" applyAlignment="0" applyProtection="0"/>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85" fillId="73" borderId="191"/>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73" fillId="0" borderId="173" applyBorder="0">
      <alignment horizontal="center" vertical="center" wrapText="1"/>
    </xf>
    <xf numFmtId="0" fontId="49" fillId="10" borderId="195" applyNumberFormat="0" applyFont="0" applyAlignment="0" applyProtection="0"/>
    <xf numFmtId="0" fontId="48" fillId="12" borderId="194" applyNumberFormat="0" applyAlignment="0" applyProtection="0"/>
    <xf numFmtId="0" fontId="25" fillId="8" borderId="194" applyNumberFormat="0" applyAlignment="0" applyProtection="0"/>
    <xf numFmtId="0" fontId="31" fillId="0" borderId="192" applyNumberFormat="0" applyFill="0" applyAlignment="0" applyProtection="0"/>
    <xf numFmtId="0" fontId="31" fillId="0" borderId="197" applyNumberFormat="0" applyFill="0" applyAlignment="0" applyProtection="0"/>
    <xf numFmtId="0" fontId="24" fillId="24" borderId="196" applyNumberFormat="0" applyAlignment="0" applyProtection="0"/>
    <xf numFmtId="0" fontId="8" fillId="10" borderId="195" applyNumberFormat="0" applyFont="0" applyAlignment="0" applyProtection="0"/>
    <xf numFmtId="0" fontId="41" fillId="13" borderId="194" applyNumberFormat="0" applyAlignment="0" applyProtection="0"/>
    <xf numFmtId="0" fontId="48" fillId="12" borderId="194" applyNumberFormat="0" applyAlignment="0" applyProtection="0"/>
    <xf numFmtId="0" fontId="48" fillId="24" borderId="194" applyNumberFormat="0" applyAlignment="0" applyProtection="0"/>
    <xf numFmtId="0" fontId="31" fillId="0" borderId="192" applyNumberFormat="0" applyFill="0" applyAlignment="0" applyProtection="0"/>
    <xf numFmtId="0" fontId="48" fillId="24" borderId="194" applyNumberFormat="0" applyAlignment="0" applyProtection="0"/>
    <xf numFmtId="0" fontId="49" fillId="10" borderId="195" applyNumberFormat="0" applyFont="0" applyAlignment="0" applyProtection="0"/>
    <xf numFmtId="0" fontId="29" fillId="12" borderId="193" applyNumberFormat="0" applyAlignment="0" applyProtection="0"/>
    <xf numFmtId="0" fontId="8" fillId="10" borderId="195" applyNumberFormat="0" applyFont="0" applyAlignment="0" applyProtection="0"/>
    <xf numFmtId="0" fontId="8" fillId="10" borderId="188" applyNumberFormat="0" applyFont="0" applyAlignment="0" applyProtection="0"/>
    <xf numFmtId="0" fontId="49" fillId="10" borderId="188" applyNumberFormat="0" applyFont="0" applyAlignment="0" applyProtection="0"/>
    <xf numFmtId="0" fontId="31" fillId="0" borderId="190" applyNumberFormat="0" applyFill="0" applyAlignment="0" applyProtection="0"/>
    <xf numFmtId="0" fontId="31" fillId="0" borderId="192" applyNumberFormat="0" applyFill="0" applyAlignment="0" applyProtection="0"/>
    <xf numFmtId="0" fontId="31" fillId="0" borderId="197" applyNumberFormat="0" applyFill="0" applyAlignment="0" applyProtection="0"/>
    <xf numFmtId="0" fontId="31" fillId="0" borderId="192" applyNumberFormat="0" applyFill="0" applyAlignment="0" applyProtection="0"/>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32"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24"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48" fillId="12"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16" fillId="24" borderId="203" applyNumberFormat="0" applyAlignment="0" applyProtection="0"/>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8" fillId="0" borderId="207"/>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41"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13"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25" fillId="8" borderId="203" applyNumberFormat="0" applyAlignment="0" applyProtection="0"/>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85" fillId="73" borderId="207"/>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73" fillId="0" borderId="201" applyBorder="0">
      <alignment horizontal="center" vertical="center" wrapText="1"/>
    </xf>
    <xf numFmtId="0" fontId="49" fillId="10" borderId="211" applyNumberFormat="0" applyFont="0" applyAlignment="0" applyProtection="0"/>
    <xf numFmtId="0" fontId="48" fillId="12" borderId="210" applyNumberFormat="0" applyAlignment="0" applyProtection="0"/>
    <xf numFmtId="0" fontId="25" fillId="8" borderId="210" applyNumberFormat="0" applyAlignment="0" applyProtection="0"/>
    <xf numFmtId="0" fontId="31" fillId="0" borderId="208" applyNumberFormat="0" applyFill="0" applyAlignment="0" applyProtection="0"/>
    <xf numFmtId="0" fontId="31" fillId="0" borderId="213" applyNumberFormat="0" applyFill="0" applyAlignment="0" applyProtection="0"/>
    <xf numFmtId="0" fontId="24" fillId="24" borderId="212" applyNumberFormat="0" applyAlignment="0" applyProtection="0"/>
    <xf numFmtId="0" fontId="8" fillId="10" borderId="211" applyNumberFormat="0" applyFont="0" applyAlignment="0" applyProtection="0"/>
    <xf numFmtId="0" fontId="41" fillId="13" borderId="210" applyNumberFormat="0" applyAlignment="0" applyProtection="0"/>
    <xf numFmtId="0" fontId="48" fillId="12" borderId="210" applyNumberFormat="0" applyAlignment="0" applyProtection="0"/>
    <xf numFmtId="0" fontId="48" fillId="24" borderId="210" applyNumberFormat="0" applyAlignment="0" applyProtection="0"/>
    <xf numFmtId="0" fontId="31" fillId="0" borderId="208" applyNumberFormat="0" applyFill="0" applyAlignment="0" applyProtection="0"/>
    <xf numFmtId="0" fontId="48" fillId="24" borderId="210" applyNumberFormat="0" applyAlignment="0" applyProtection="0"/>
    <xf numFmtId="0" fontId="49" fillId="10" borderId="211" applyNumberFormat="0" applyFont="0" applyAlignment="0" applyProtection="0"/>
    <xf numFmtId="0" fontId="29" fillId="12" borderId="209" applyNumberFormat="0" applyAlignment="0" applyProtection="0"/>
    <xf numFmtId="0" fontId="8" fillId="10" borderId="211" applyNumberFormat="0" applyFont="0" applyAlignment="0" applyProtection="0"/>
    <xf numFmtId="0" fontId="8" fillId="10" borderId="204" applyNumberFormat="0" applyFont="0" applyAlignment="0" applyProtection="0"/>
    <xf numFmtId="0" fontId="49" fillId="10" borderId="204" applyNumberFormat="0" applyFont="0" applyAlignment="0" applyProtection="0"/>
    <xf numFmtId="0" fontId="31" fillId="0" borderId="206" applyNumberFormat="0" applyFill="0" applyAlignment="0" applyProtection="0"/>
    <xf numFmtId="0" fontId="31" fillId="0" borderId="208" applyNumberFormat="0" applyFill="0" applyAlignment="0" applyProtection="0"/>
    <xf numFmtId="0" fontId="31" fillId="0" borderId="213" applyNumberFormat="0" applyFill="0" applyAlignment="0" applyProtection="0"/>
    <xf numFmtId="0" fontId="31" fillId="0" borderId="208" applyNumberFormat="0" applyFill="0" applyAlignment="0" applyProtection="0"/>
    <xf numFmtId="0" fontId="8" fillId="10" borderId="269" applyNumberFormat="0" applyFont="0" applyAlignment="0" applyProtection="0"/>
    <xf numFmtId="0" fontId="48" fillId="12" borderId="268" applyNumberFormat="0" applyAlignment="0" applyProtection="0"/>
    <xf numFmtId="0" fontId="28" fillId="0" borderId="298"/>
    <xf numFmtId="0" fontId="73" fillId="0" borderId="242" applyBorder="0">
      <alignment horizontal="center" vertical="center" wrapText="1"/>
    </xf>
    <xf numFmtId="0" fontId="85" fillId="0" borderId="234"/>
    <xf numFmtId="0" fontId="32" fillId="24" borderId="237" applyNumberFormat="0" applyAlignment="0" applyProtection="0"/>
    <xf numFmtId="0" fontId="31" fillId="0" borderId="241" applyNumberFormat="0" applyFill="0" applyAlignment="0" applyProtection="0"/>
    <xf numFmtId="0" fontId="49" fillId="10" borderId="238" applyNumberFormat="0" applyFont="0" applyAlignment="0" applyProtection="0"/>
    <xf numFmtId="0" fontId="73" fillId="0" borderId="242" applyBorder="0">
      <alignment horizontal="center" vertical="center" wrapText="1"/>
    </xf>
    <xf numFmtId="0" fontId="48" fillId="24" borderId="237" applyNumberFormat="0" applyAlignment="0" applyProtection="0"/>
    <xf numFmtId="0" fontId="28" fillId="10" borderId="238" applyNumberFormat="0" applyFont="0" applyAlignment="0" applyProtection="0"/>
    <xf numFmtId="0" fontId="49" fillId="10" borderId="238" applyNumberFormat="0" applyFont="0" applyAlignment="0" applyProtection="0"/>
    <xf numFmtId="0" fontId="49" fillId="10" borderId="238" applyNumberFormat="0" applyFont="0" applyAlignment="0" applyProtection="0"/>
    <xf numFmtId="0" fontId="85" fillId="0" borderId="234"/>
    <xf numFmtId="0" fontId="49" fillId="10" borderId="238" applyNumberFormat="0" applyFont="0" applyAlignment="0" applyProtection="0"/>
    <xf numFmtId="0" fontId="49" fillId="10" borderId="244" applyNumberFormat="0" applyFont="0" applyAlignment="0" applyProtection="0"/>
    <xf numFmtId="0" fontId="28" fillId="10" borderId="269" applyNumberFormat="0" applyFont="0" applyAlignment="0" applyProtection="0"/>
    <xf numFmtId="0" fontId="8" fillId="45" borderId="299" applyNumberFormat="0" applyFont="0" applyAlignment="0" applyProtection="0"/>
    <xf numFmtId="0" fontId="24" fillId="24" borderId="263" applyNumberFormat="0" applyAlignment="0" applyProtection="0"/>
    <xf numFmtId="0" fontId="8" fillId="10" borderId="269" applyNumberFormat="0" applyFont="0" applyAlignment="0" applyProtection="0"/>
    <xf numFmtId="0" fontId="29" fillId="12" borderId="250" applyNumberFormat="0" applyAlignment="0" applyProtection="0"/>
    <xf numFmtId="0" fontId="25" fillId="8" borderId="268" applyNumberFormat="0" applyAlignment="0" applyProtection="0"/>
    <xf numFmtId="0" fontId="29" fillId="24" borderId="271" applyNumberFormat="0" applyAlignment="0" applyProtection="0"/>
    <xf numFmtId="0" fontId="31" fillId="0" borderId="227" applyNumberFormat="0" applyFill="0" applyAlignment="0" applyProtection="0"/>
    <xf numFmtId="0" fontId="8" fillId="10" borderId="222" applyNumberFormat="0" applyFont="0" applyAlignment="0" applyProtection="0"/>
    <xf numFmtId="0" fontId="31" fillId="0" borderId="219" applyNumberFormat="0" applyFill="0" applyAlignment="0" applyProtection="0"/>
    <xf numFmtId="0" fontId="24" fillId="24" borderId="223" applyNumberFormat="0" applyAlignment="0" applyProtection="0"/>
    <xf numFmtId="0" fontId="8" fillId="10" borderId="222" applyNumberFormat="0" applyFont="0" applyAlignment="0" applyProtection="0"/>
    <xf numFmtId="0" fontId="48" fillId="24" borderId="221" applyNumberFormat="0" applyAlignment="0" applyProtection="0"/>
    <xf numFmtId="0" fontId="29" fillId="24" borderId="220" applyNumberFormat="0" applyAlignment="0" applyProtection="0"/>
    <xf numFmtId="0" fontId="85" fillId="0" borderId="247"/>
    <xf numFmtId="0" fontId="8" fillId="10" borderId="244" applyNumberFormat="0" applyFont="0" applyAlignment="0" applyProtection="0"/>
    <xf numFmtId="0" fontId="28" fillId="10" borderId="301" applyNumberFormat="0" applyFont="0" applyAlignment="0" applyProtection="0"/>
    <xf numFmtId="0" fontId="28" fillId="10" borderId="244" applyNumberFormat="0" applyFont="0" applyAlignment="0" applyProtection="0"/>
    <xf numFmtId="0" fontId="8" fillId="10" borderId="292" applyNumberFormat="0" applyFont="0" applyAlignment="0" applyProtection="0"/>
    <xf numFmtId="0" fontId="31" fillId="0" borderId="249" applyNumberFormat="0" applyFill="0" applyAlignment="0" applyProtection="0"/>
    <xf numFmtId="0" fontId="31" fillId="0" borderId="249" applyNumberFormat="0" applyFill="0" applyAlignment="0" applyProtection="0"/>
    <xf numFmtId="0" fontId="48" fillId="12" borderId="268" applyNumberFormat="0" applyAlignment="0" applyProtection="0"/>
    <xf numFmtId="0" fontId="29" fillId="24" borderId="260" applyNumberFormat="0" applyAlignment="0" applyProtection="0"/>
    <xf numFmtId="0" fontId="16" fillId="24" borderId="237" applyNumberFormat="0" applyAlignment="0" applyProtection="0"/>
    <xf numFmtId="0" fontId="73" fillId="0" borderId="288" applyBorder="0">
      <alignment horizontal="center" vertical="center" wrapText="1"/>
    </xf>
    <xf numFmtId="0" fontId="28" fillId="10" borderId="238" applyNumberFormat="0" applyFont="0" applyAlignment="0" applyProtection="0"/>
    <xf numFmtId="0" fontId="48" fillId="12" borderId="237" applyNumberFormat="0" applyAlignment="0" applyProtection="0"/>
    <xf numFmtId="0" fontId="29" fillId="12" borderId="220" applyNumberFormat="0" applyAlignment="0" applyProtection="0"/>
    <xf numFmtId="0" fontId="8" fillId="10" borderId="244" applyNumberFormat="0" applyFont="0" applyAlignment="0" applyProtection="0"/>
    <xf numFmtId="0" fontId="16" fillId="24" borderId="268" applyNumberFormat="0" applyAlignment="0" applyProtection="0"/>
    <xf numFmtId="0" fontId="31" fillId="0" borderId="313" applyNumberFormat="0" applyFill="0" applyAlignment="0" applyProtection="0"/>
    <xf numFmtId="0" fontId="25" fillId="8" borderId="237" applyNumberFormat="0" applyAlignment="0" applyProtection="0"/>
    <xf numFmtId="0" fontId="49" fillId="10" borderId="238" applyNumberFormat="0" applyFont="0" applyAlignment="0" applyProtection="0"/>
    <xf numFmtId="0" fontId="24" fillId="24" borderId="270" applyNumberFormat="0" applyAlignment="0" applyProtection="0"/>
    <xf numFmtId="0" fontId="29" fillId="12" borderId="250" applyNumberFormat="0" applyAlignment="0" applyProtection="0"/>
    <xf numFmtId="0" fontId="31" fillId="0" borderId="249" applyNumberFormat="0" applyFill="0" applyAlignment="0" applyProtection="0"/>
    <xf numFmtId="0" fontId="31" fillId="0" borderId="219" applyNumberFormat="0" applyFill="0" applyAlignment="0" applyProtection="0"/>
    <xf numFmtId="0" fontId="8" fillId="10" borderId="269" applyNumberFormat="0" applyFont="0" applyAlignment="0" applyProtection="0"/>
    <xf numFmtId="0" fontId="8" fillId="10" borderId="244" applyNumberFormat="0" applyFont="0" applyAlignment="0" applyProtection="0"/>
    <xf numFmtId="0" fontId="73" fillId="0" borderId="228" applyBorder="0">
      <alignment horizontal="center" vertical="center" wrapText="1"/>
    </xf>
    <xf numFmtId="0" fontId="24" fillId="24" borderId="293" applyNumberFormat="0" applyAlignment="0" applyProtection="0"/>
    <xf numFmtId="0" fontId="28" fillId="0" borderId="234"/>
    <xf numFmtId="0" fontId="85" fillId="73" borderId="298"/>
    <xf numFmtId="0" fontId="31" fillId="0" borderId="241" applyNumberFormat="0" applyFill="0" applyAlignment="0" applyProtection="0"/>
    <xf numFmtId="0" fontId="48" fillId="24" borderId="291" applyNumberFormat="0" applyAlignment="0" applyProtection="0"/>
    <xf numFmtId="0" fontId="25" fillId="8" borderId="237" applyNumberFormat="0" applyAlignment="0" applyProtection="0"/>
    <xf numFmtId="0" fontId="25" fillId="13" borderId="237" applyNumberFormat="0" applyAlignment="0" applyProtection="0"/>
    <xf numFmtId="0" fontId="25" fillId="13" borderId="237" applyNumberFormat="0" applyAlignment="0" applyProtection="0"/>
    <xf numFmtId="0" fontId="28" fillId="10" borderId="238" applyNumberFormat="0" applyFont="0" applyAlignment="0" applyProtection="0"/>
    <xf numFmtId="0" fontId="25" fillId="8" borderId="291" applyNumberFormat="0" applyAlignment="0" applyProtection="0"/>
    <xf numFmtId="0" fontId="16" fillId="24" borderId="237" applyNumberFormat="0" applyAlignment="0" applyProtection="0"/>
    <xf numFmtId="0" fontId="31" fillId="0" borderId="319" applyNumberFormat="0" applyFill="0" applyAlignment="0" applyProtection="0"/>
    <xf numFmtId="0" fontId="49" fillId="10" borderId="269" applyNumberFormat="0" applyFont="0" applyAlignment="0" applyProtection="0"/>
    <xf numFmtId="0" fontId="29" fillId="24" borderId="271" applyNumberFormat="0" applyAlignment="0" applyProtection="0"/>
    <xf numFmtId="0" fontId="85" fillId="73" borderId="275"/>
    <xf numFmtId="0" fontId="31" fillId="0" borderId="273" applyNumberFormat="0" applyFill="0" applyAlignment="0" applyProtection="0"/>
    <xf numFmtId="0" fontId="49" fillId="10" borderId="269" applyNumberFormat="0" applyFont="0" applyAlignment="0" applyProtection="0"/>
    <xf numFmtId="0" fontId="25" fillId="13" borderId="277" applyNumberFormat="0" applyAlignment="0" applyProtection="0"/>
    <xf numFmtId="0" fontId="18" fillId="10" borderId="244" applyNumberFormat="0" applyFont="0" applyAlignment="0" applyProtection="0"/>
    <xf numFmtId="0" fontId="8" fillId="10" borderId="292" applyNumberFormat="0" applyFont="0" applyAlignment="0" applyProtection="0"/>
    <xf numFmtId="0" fontId="8" fillId="10" borderId="324" applyNumberFormat="0" applyFont="0" applyAlignment="0" applyProtection="0"/>
    <xf numFmtId="0" fontId="8" fillId="10" borderId="238" applyNumberFormat="0" applyFont="0" applyAlignment="0" applyProtection="0"/>
    <xf numFmtId="0" fontId="25" fillId="13" borderId="307" applyNumberFormat="0" applyAlignment="0" applyProtection="0"/>
    <xf numFmtId="0" fontId="48" fillId="12" borderId="237" applyNumberFormat="0" applyAlignment="0" applyProtection="0"/>
    <xf numFmtId="0" fontId="49" fillId="10" borderId="238" applyNumberFormat="0" applyFont="0" applyAlignment="0" applyProtection="0"/>
    <xf numFmtId="0" fontId="31" fillId="0" borderId="240" applyNumberFormat="0" applyFill="0" applyAlignment="0" applyProtection="0"/>
    <xf numFmtId="0" fontId="28" fillId="10" borderId="238" applyNumberFormat="0" applyFont="0" applyAlignment="0" applyProtection="0"/>
    <xf numFmtId="0" fontId="28" fillId="10" borderId="238" applyNumberFormat="0" applyFont="0" applyAlignment="0" applyProtection="0"/>
    <xf numFmtId="0" fontId="85" fillId="0" borderId="321"/>
    <xf numFmtId="0" fontId="32" fillId="24" borderId="210" applyNumberFormat="0" applyAlignment="0" applyProtection="0"/>
    <xf numFmtId="0" fontId="16" fillId="24" borderId="210" applyNumberFormat="0" applyAlignment="0" applyProtection="0"/>
    <xf numFmtId="0" fontId="16" fillId="24" borderId="210" applyNumberFormat="0" applyAlignment="0" applyProtection="0"/>
    <xf numFmtId="0" fontId="16" fillId="24" borderId="210" applyNumberFormat="0" applyAlignment="0" applyProtection="0"/>
    <xf numFmtId="0" fontId="73" fillId="0" borderId="265" applyBorder="0">
      <alignment horizontal="center" vertical="center" wrapText="1"/>
    </xf>
    <xf numFmtId="0" fontId="28" fillId="0" borderId="275"/>
    <xf numFmtId="0" fontId="49" fillId="10" borderId="238" applyNumberFormat="0" applyFont="0" applyAlignment="0" applyProtection="0"/>
    <xf numFmtId="0" fontId="85" fillId="0" borderId="234"/>
    <xf numFmtId="0" fontId="31" fillId="0" borderId="241" applyNumberFormat="0" applyFill="0" applyAlignment="0" applyProtection="0"/>
    <xf numFmtId="0" fontId="8" fillId="10" borderId="238" applyNumberFormat="0" applyFont="0" applyAlignment="0" applyProtection="0"/>
    <xf numFmtId="0" fontId="29" fillId="12" borderId="317" applyNumberFormat="0" applyAlignment="0" applyProtection="0"/>
    <xf numFmtId="0" fontId="49" fillId="10" borderId="238" applyNumberFormat="0" applyFont="0" applyAlignment="0" applyProtection="0"/>
    <xf numFmtId="0" fontId="48" fillId="24" borderId="237" applyNumberFormat="0" applyAlignment="0" applyProtection="0"/>
    <xf numFmtId="0" fontId="16" fillId="24" borderId="237" applyNumberFormat="0" applyAlignment="0" applyProtection="0"/>
    <xf numFmtId="0" fontId="25" fillId="13" borderId="237" applyNumberFormat="0" applyAlignment="0" applyProtection="0"/>
    <xf numFmtId="0" fontId="28" fillId="0" borderId="234"/>
    <xf numFmtId="0" fontId="73" fillId="0" borderId="242" applyBorder="0">
      <alignment horizontal="center" vertical="center" wrapText="1"/>
    </xf>
    <xf numFmtId="0" fontId="8" fillId="10" borderId="278" applyNumberFormat="0" applyFont="0" applyAlignment="0" applyProtection="0"/>
    <xf numFmtId="0" fontId="24" fillId="24" borderId="270" applyNumberFormat="0" applyAlignment="0" applyProtection="0"/>
    <xf numFmtId="0" fontId="85" fillId="0" borderId="321"/>
    <xf numFmtId="0" fontId="25" fillId="8" borderId="314" applyNumberFormat="0" applyAlignment="0" applyProtection="0"/>
    <xf numFmtId="0" fontId="49" fillId="10" borderId="244" applyNumberFormat="0" applyFont="0" applyAlignment="0" applyProtection="0"/>
    <xf numFmtId="0" fontId="73" fillId="0" borderId="297" applyBorder="0">
      <alignment horizontal="center" vertical="center" wrapText="1"/>
    </xf>
    <xf numFmtId="0" fontId="49" fillId="10" borderId="292" applyNumberFormat="0" applyFont="0" applyAlignment="0" applyProtection="0"/>
    <xf numFmtId="0" fontId="29" fillId="24" borderId="294" applyNumberFormat="0" applyAlignment="0" applyProtection="0"/>
    <xf numFmtId="0" fontId="8" fillId="10" borderId="244" applyNumberFormat="0" applyFont="0" applyAlignment="0" applyProtection="0"/>
    <xf numFmtId="0" fontId="41" fillId="13" borderId="210" applyNumberFormat="0" applyAlignment="0" applyProtection="0"/>
    <xf numFmtId="0" fontId="25" fillId="13" borderId="210" applyNumberFormat="0" applyAlignment="0" applyProtection="0"/>
    <xf numFmtId="0" fontId="25" fillId="13" borderId="210" applyNumberFormat="0" applyAlignment="0" applyProtection="0"/>
    <xf numFmtId="0" fontId="25" fillId="13" borderId="210" applyNumberFormat="0" applyAlignment="0" applyProtection="0"/>
    <xf numFmtId="0" fontId="73" fillId="0" borderId="201" applyBorder="0">
      <alignment horizontal="center" vertical="center" wrapText="1"/>
    </xf>
    <xf numFmtId="0" fontId="31" fillId="0" borderId="272" applyNumberFormat="0" applyFill="0" applyAlignment="0" applyProtection="0"/>
    <xf numFmtId="0" fontId="31" fillId="0" borderId="267" applyNumberFormat="0" applyFill="0" applyAlignment="0" applyProtection="0"/>
    <xf numFmtId="0" fontId="41" fillId="13" borderId="268" applyNumberFormat="0" applyAlignment="0" applyProtection="0"/>
    <xf numFmtId="0" fontId="8" fillId="10" borderId="269" applyNumberFormat="0" applyFont="0" applyAlignment="0" applyProtection="0"/>
    <xf numFmtId="0" fontId="16" fillId="24" borderId="268" applyNumberFormat="0" applyAlignment="0" applyProtection="0"/>
    <xf numFmtId="0" fontId="25" fillId="13" borderId="291" applyNumberFormat="0" applyAlignment="0" applyProtection="0"/>
    <xf numFmtId="0" fontId="28" fillId="0" borderId="234"/>
    <xf numFmtId="0" fontId="31" fillId="0" borderId="241" applyNumberFormat="0" applyFill="0" applyAlignment="0" applyProtection="0"/>
    <xf numFmtId="0" fontId="48" fillId="12" borderId="314" applyNumberFormat="0" applyAlignment="0" applyProtection="0"/>
    <xf numFmtId="0" fontId="32" fillId="24" borderId="323" applyNumberFormat="0" applyAlignment="0" applyProtection="0"/>
    <xf numFmtId="0" fontId="18" fillId="10" borderId="324" applyNumberFormat="0" applyFont="0" applyAlignment="0" applyProtection="0"/>
    <xf numFmtId="0" fontId="49" fillId="10" borderId="324" applyNumberFormat="0" applyFont="0" applyAlignment="0" applyProtection="0"/>
    <xf numFmtId="0" fontId="18" fillId="10" borderId="278" applyNumberFormat="0" applyFont="0" applyAlignment="0" applyProtection="0"/>
    <xf numFmtId="0" fontId="31" fillId="0" borderId="313" applyNumberFormat="0" applyFill="0" applyAlignment="0" applyProtection="0"/>
    <xf numFmtId="0" fontId="16" fillId="24" borderId="314" applyNumberFormat="0" applyAlignment="0" applyProtection="0"/>
    <xf numFmtId="0" fontId="31" fillId="0" borderId="272" applyNumberFormat="0" applyFill="0" applyAlignment="0" applyProtection="0"/>
    <xf numFmtId="0" fontId="8" fillId="10" borderId="269" applyNumberFormat="0" applyFont="0" applyAlignment="0" applyProtection="0"/>
    <xf numFmtId="0" fontId="48" fillId="24" borderId="314" applyNumberFormat="0" applyAlignment="0" applyProtection="0"/>
    <xf numFmtId="0" fontId="48" fillId="24" borderId="268" applyNumberFormat="0" applyAlignment="0" applyProtection="0"/>
    <xf numFmtId="0" fontId="28" fillId="10" borderId="278" applyNumberFormat="0" applyFont="0" applyAlignment="0" applyProtection="0"/>
    <xf numFmtId="0" fontId="25" fillId="8" borderId="314" applyNumberFormat="0" applyAlignment="0" applyProtection="0"/>
    <xf numFmtId="0" fontId="31" fillId="0" borderId="252" applyNumberFormat="0" applyFill="0" applyAlignment="0" applyProtection="0"/>
    <xf numFmtId="0" fontId="29" fillId="24" borderId="250" applyNumberFormat="0" applyAlignment="0" applyProtection="0"/>
    <xf numFmtId="0" fontId="49" fillId="10" borderId="244" applyNumberFormat="0" applyFont="0" applyAlignment="0" applyProtection="0"/>
    <xf numFmtId="0" fontId="31" fillId="0" borderId="252" applyNumberFormat="0" applyFill="0" applyAlignment="0" applyProtection="0"/>
    <xf numFmtId="0" fontId="31" fillId="0" borderId="252" applyNumberFormat="0" applyFill="0" applyAlignment="0" applyProtection="0"/>
    <xf numFmtId="0" fontId="31" fillId="0" borderId="252" applyNumberFormat="0" applyFill="0" applyAlignment="0" applyProtection="0"/>
    <xf numFmtId="0" fontId="8" fillId="10" borderId="244" applyNumberFormat="0" applyFont="0" applyAlignment="0" applyProtection="0"/>
    <xf numFmtId="0" fontId="28" fillId="10" borderId="285" applyNumberFormat="0" applyFont="0" applyAlignment="0" applyProtection="0"/>
    <xf numFmtId="0" fontId="24" fillId="24" borderId="316" applyNumberFormat="0" applyAlignment="0" applyProtection="0"/>
    <xf numFmtId="0" fontId="32" fillId="24" borderId="291" applyNumberFormat="0" applyAlignment="0" applyProtection="0"/>
    <xf numFmtId="0" fontId="8" fillId="10" borderId="269" applyNumberFormat="0" applyFont="0" applyAlignment="0" applyProtection="0"/>
    <xf numFmtId="0" fontId="25" fillId="13" borderId="221" applyNumberFormat="0" applyAlignment="0" applyProtection="0"/>
    <xf numFmtId="0" fontId="31" fillId="0" borderId="219" applyNumberFormat="0" applyFill="0" applyAlignment="0" applyProtection="0"/>
    <xf numFmtId="0" fontId="73" fillId="0" borderId="225" applyBorder="0">
      <alignment horizontal="center" vertical="center" wrapText="1"/>
    </xf>
    <xf numFmtId="0" fontId="25" fillId="8" borderId="221" applyNumberFormat="0" applyAlignment="0" applyProtection="0"/>
    <xf numFmtId="0" fontId="25" fillId="13" borderId="221" applyNumberFormat="0" applyAlignment="0" applyProtection="0"/>
    <xf numFmtId="0" fontId="49" fillId="10" borderId="222" applyNumberFormat="0" applyFont="0" applyAlignment="0" applyProtection="0"/>
    <xf numFmtId="0" fontId="73" fillId="0" borderId="225" applyBorder="0">
      <alignment horizontal="center" vertical="center" wrapText="1"/>
    </xf>
    <xf numFmtId="0" fontId="31" fillId="0" borderId="224" applyNumberFormat="0" applyFill="0" applyAlignment="0" applyProtection="0"/>
    <xf numFmtId="0" fontId="31" fillId="0" borderId="224" applyNumberFormat="0" applyFill="0" applyAlignment="0" applyProtection="0"/>
    <xf numFmtId="0" fontId="49" fillId="10" borderId="222" applyNumberFormat="0" applyFont="0" applyAlignment="0" applyProtection="0"/>
    <xf numFmtId="0" fontId="8" fillId="10" borderId="222" applyNumberFormat="0" applyFont="0" applyAlignment="0" applyProtection="0"/>
    <xf numFmtId="0" fontId="25" fillId="8" borderId="221" applyNumberFormat="0" applyAlignment="0" applyProtection="0"/>
    <xf numFmtId="0" fontId="41" fillId="13" borderId="221" applyNumberFormat="0" applyAlignment="0" applyProtection="0"/>
    <xf numFmtId="0" fontId="31" fillId="0" borderId="227" applyNumberFormat="0" applyFill="0" applyAlignment="0" applyProtection="0"/>
    <xf numFmtId="0" fontId="31" fillId="0" borderId="226" applyNumberFormat="0" applyFill="0" applyAlignment="0" applyProtection="0"/>
    <xf numFmtId="0" fontId="41" fillId="13" borderId="221" applyNumberFormat="0" applyAlignment="0" applyProtection="0"/>
    <xf numFmtId="0" fontId="16" fillId="24" borderId="221" applyNumberFormat="0" applyAlignment="0" applyProtection="0"/>
    <xf numFmtId="0" fontId="31" fillId="0" borderId="227" applyNumberFormat="0" applyFill="0" applyAlignment="0" applyProtection="0"/>
    <xf numFmtId="0" fontId="31" fillId="0" borderId="227" applyNumberFormat="0" applyFill="0" applyAlignment="0" applyProtection="0"/>
    <xf numFmtId="0" fontId="31" fillId="0" borderId="227" applyNumberFormat="0" applyFill="0" applyAlignment="0" applyProtection="0"/>
    <xf numFmtId="0" fontId="28" fillId="0" borderId="275"/>
    <xf numFmtId="0" fontId="85" fillId="73" borderId="321"/>
    <xf numFmtId="0" fontId="24" fillId="24" borderId="256" applyNumberFormat="0" applyAlignment="0" applyProtection="0"/>
    <xf numFmtId="0" fontId="31" fillId="0" borderId="246" applyNumberFormat="0" applyFill="0" applyAlignment="0" applyProtection="0"/>
    <xf numFmtId="0" fontId="31" fillId="0" borderId="252" applyNumberFormat="0" applyFill="0" applyAlignment="0" applyProtection="0"/>
    <xf numFmtId="0" fontId="49" fillId="10" borderId="244" applyNumberFormat="0" applyFont="0" applyAlignment="0" applyProtection="0"/>
    <xf numFmtId="0" fontId="24" fillId="24" borderId="223" applyNumberFormat="0" applyAlignment="0" applyProtection="0"/>
    <xf numFmtId="0" fontId="49" fillId="10" borderId="222" applyNumberFormat="0" applyFont="0" applyAlignment="0" applyProtection="0"/>
    <xf numFmtId="0" fontId="48" fillId="24" borderId="221" applyNumberFormat="0" applyAlignment="0" applyProtection="0"/>
    <xf numFmtId="0" fontId="48" fillId="24" borderId="221" applyNumberFormat="0" applyAlignment="0" applyProtection="0"/>
    <xf numFmtId="0" fontId="32" fillId="24" borderId="268" applyNumberFormat="0" applyAlignment="0" applyProtection="0"/>
    <xf numFmtId="0" fontId="18" fillId="10" borderId="211" applyNumberFormat="0" applyFont="0" applyAlignment="0" applyProtection="0"/>
    <xf numFmtId="0" fontId="28" fillId="10" borderId="211" applyNumberFormat="0" applyFont="0" applyAlignment="0" applyProtection="0"/>
    <xf numFmtId="0" fontId="28" fillId="10" borderId="211" applyNumberFormat="0" applyFont="0" applyAlignment="0" applyProtection="0"/>
    <xf numFmtId="0" fontId="8" fillId="10" borderId="211" applyNumberFormat="0" applyFont="0" applyAlignment="0" applyProtection="0"/>
    <xf numFmtId="0" fontId="28" fillId="10" borderId="211" applyNumberFormat="0" applyFont="0" applyAlignment="0" applyProtection="0"/>
    <xf numFmtId="0" fontId="29" fillId="24" borderId="250" applyNumberFormat="0" applyAlignment="0" applyProtection="0"/>
    <xf numFmtId="0" fontId="24" fillId="24" borderId="212" applyNumberFormat="0" applyAlignment="0" applyProtection="0"/>
    <xf numFmtId="0" fontId="29" fillId="24" borderId="209" applyNumberFormat="0" applyAlignment="0" applyProtection="0"/>
    <xf numFmtId="0" fontId="29" fillId="24" borderId="209" applyNumberFormat="0" applyAlignment="0" applyProtection="0"/>
    <xf numFmtId="0" fontId="29" fillId="24" borderId="209" applyNumberFormat="0" applyAlignment="0" applyProtection="0"/>
    <xf numFmtId="0" fontId="73" fillId="0" borderId="225" applyBorder="0">
      <alignment horizontal="center" vertical="center" wrapText="1"/>
    </xf>
    <xf numFmtId="0" fontId="29" fillId="24" borderId="250" applyNumberFormat="0" applyAlignment="0" applyProtection="0"/>
    <xf numFmtId="0" fontId="24" fillId="24" borderId="245" applyNumberFormat="0" applyAlignment="0" applyProtection="0"/>
    <xf numFmtId="0" fontId="31" fillId="0" borderId="246" applyNumberFormat="0" applyFill="0" applyAlignment="0" applyProtection="0"/>
    <xf numFmtId="0" fontId="31" fillId="0" borderId="318" applyNumberFormat="0" applyFill="0" applyAlignment="0" applyProtection="0"/>
    <xf numFmtId="0" fontId="48" fillId="24" borderId="210" applyNumberFormat="0" applyAlignment="0" applyProtection="0"/>
    <xf numFmtId="0" fontId="48" fillId="24" borderId="210" applyNumberFormat="0" applyAlignment="0" applyProtection="0"/>
    <xf numFmtId="0" fontId="48" fillId="12" borderId="210" applyNumberFormat="0" applyAlignment="0" applyProtection="0"/>
    <xf numFmtId="0" fontId="48" fillId="12" borderId="210" applyNumberFormat="0" applyAlignment="0" applyProtection="0"/>
    <xf numFmtId="0" fontId="48" fillId="12" borderId="314" applyNumberFormat="0" applyAlignment="0" applyProtection="0"/>
    <xf numFmtId="0" fontId="41" fillId="13" borderId="210" applyNumberFormat="0" applyAlignment="0" applyProtection="0"/>
    <xf numFmtId="0" fontId="25" fillId="8" borderId="210" applyNumberFormat="0" applyAlignment="0" applyProtection="0"/>
    <xf numFmtId="0" fontId="8" fillId="10" borderId="211" applyNumberFormat="0" applyFont="0" applyAlignment="0" applyProtection="0"/>
    <xf numFmtId="0" fontId="8" fillId="10" borderId="211" applyNumberFormat="0" applyFont="0" applyAlignment="0" applyProtection="0"/>
    <xf numFmtId="0" fontId="49" fillId="10" borderId="211" applyNumberFormat="0" applyFont="0" applyAlignment="0" applyProtection="0"/>
    <xf numFmtId="0" fontId="49" fillId="10" borderId="211" applyNumberFormat="0" applyFont="0" applyAlignment="0" applyProtection="0"/>
    <xf numFmtId="0" fontId="24" fillId="24" borderId="212" applyNumberFormat="0" applyAlignment="0" applyProtection="0"/>
    <xf numFmtId="0" fontId="29" fillId="12" borderId="209" applyNumberFormat="0" applyAlignment="0" applyProtection="0"/>
    <xf numFmtId="0" fontId="49" fillId="10" borderId="269" applyNumberFormat="0" applyFont="0" applyAlignment="0" applyProtection="0"/>
    <xf numFmtId="0" fontId="31" fillId="0" borderId="213" applyNumberFormat="0" applyFill="0" applyAlignment="0" applyProtection="0"/>
    <xf numFmtId="0" fontId="31" fillId="0" borderId="213" applyNumberFormat="0" applyFill="0" applyAlignment="0" applyProtection="0"/>
    <xf numFmtId="0" fontId="31" fillId="0" borderId="208" applyNumberFormat="0" applyFill="0" applyAlignment="0" applyProtection="0"/>
    <xf numFmtId="0" fontId="31" fillId="0" borderId="208" applyNumberFormat="0" applyFill="0" applyAlignment="0" applyProtection="0"/>
    <xf numFmtId="0" fontId="32" fillId="24" borderId="210" applyNumberFormat="0" applyAlignment="0" applyProtection="0"/>
    <xf numFmtId="0" fontId="16" fillId="24" borderId="210" applyNumberFormat="0" applyAlignment="0" applyProtection="0"/>
    <xf numFmtId="0" fontId="16" fillId="24" borderId="210" applyNumberFormat="0" applyAlignment="0" applyProtection="0"/>
    <xf numFmtId="0" fontId="16" fillId="24" borderId="210" applyNumberFormat="0" applyAlignment="0" applyProtection="0"/>
    <xf numFmtId="0" fontId="41" fillId="13" borderId="210" applyNumberFormat="0" applyAlignment="0" applyProtection="0"/>
    <xf numFmtId="0" fontId="25" fillId="13" borderId="210" applyNumberFormat="0" applyAlignment="0" applyProtection="0"/>
    <xf numFmtId="0" fontId="25" fillId="13" borderId="210" applyNumberFormat="0" applyAlignment="0" applyProtection="0"/>
    <xf numFmtId="0" fontId="25" fillId="13" borderId="210" applyNumberFormat="0" applyAlignment="0" applyProtection="0"/>
    <xf numFmtId="0" fontId="24" fillId="24" borderId="239" applyNumberFormat="0" applyAlignment="0" applyProtection="0"/>
    <xf numFmtId="0" fontId="18" fillId="10" borderId="211" applyNumberFormat="0" applyFont="0" applyAlignment="0" applyProtection="0"/>
    <xf numFmtId="0" fontId="28" fillId="10" borderId="211" applyNumberFormat="0" applyFont="0" applyAlignment="0" applyProtection="0"/>
    <xf numFmtId="0" fontId="28" fillId="10" borderId="211" applyNumberFormat="0" applyFont="0" applyAlignment="0" applyProtection="0"/>
    <xf numFmtId="0" fontId="8" fillId="10" borderId="211" applyNumberFormat="0" applyFont="0" applyAlignment="0" applyProtection="0"/>
    <xf numFmtId="0" fontId="28" fillId="10" borderId="211" applyNumberFormat="0" applyFont="0" applyAlignment="0" applyProtection="0"/>
    <xf numFmtId="0" fontId="24" fillId="24" borderId="212" applyNumberFormat="0" applyAlignment="0" applyProtection="0"/>
    <xf numFmtId="0" fontId="29" fillId="24" borderId="209" applyNumberFormat="0" applyAlignment="0" applyProtection="0"/>
    <xf numFmtId="0" fontId="29" fillId="24" borderId="209" applyNumberFormat="0" applyAlignment="0" applyProtection="0"/>
    <xf numFmtId="0" fontId="29" fillId="24" borderId="209" applyNumberFormat="0" applyAlignment="0" applyProtection="0"/>
    <xf numFmtId="0" fontId="8" fillId="10" borderId="292" applyNumberFormat="0" applyFont="0" applyAlignment="0" applyProtection="0"/>
    <xf numFmtId="0" fontId="29" fillId="12" borderId="271" applyNumberFormat="0" applyAlignment="0" applyProtection="0"/>
    <xf numFmtId="0" fontId="29" fillId="24" borderId="306" applyNumberFormat="0" applyAlignment="0" applyProtection="0"/>
    <xf numFmtId="0" fontId="29" fillId="12" borderId="271" applyNumberFormat="0" applyAlignment="0" applyProtection="0"/>
    <xf numFmtId="0" fontId="85" fillId="0" borderId="275"/>
    <xf numFmtId="0" fontId="25" fillId="13" borderId="237" applyNumberFormat="0" applyAlignment="0" applyProtection="0"/>
    <xf numFmtId="0" fontId="48" fillId="24" borderId="210" applyNumberFormat="0" applyAlignment="0" applyProtection="0"/>
    <xf numFmtId="0" fontId="25" fillId="8" borderId="237" applyNumberFormat="0" applyAlignment="0" applyProtection="0"/>
    <xf numFmtId="0" fontId="41" fillId="13" borderId="237" applyNumberFormat="0" applyAlignment="0" applyProtection="0"/>
    <xf numFmtId="0" fontId="25" fillId="13" borderId="237" applyNumberFormat="0" applyAlignment="0" applyProtection="0"/>
    <xf numFmtId="0" fontId="28" fillId="10" borderId="238" applyNumberFormat="0" applyFont="0" applyAlignment="0" applyProtection="0"/>
    <xf numFmtId="0" fontId="32" fillId="24" borderId="237" applyNumberFormat="0" applyAlignment="0" applyProtection="0"/>
    <xf numFmtId="0" fontId="48" fillId="24" borderId="237" applyNumberFormat="0" applyAlignment="0" applyProtection="0"/>
    <xf numFmtId="0" fontId="48" fillId="12" borderId="237" applyNumberFormat="0" applyAlignment="0" applyProtection="0"/>
    <xf numFmtId="0" fontId="28" fillId="0" borderId="234"/>
    <xf numFmtId="0" fontId="85" fillId="0" borderId="234"/>
    <xf numFmtId="0" fontId="48" fillId="12" borderId="237" applyNumberFormat="0" applyAlignment="0" applyProtection="0"/>
    <xf numFmtId="0" fontId="41" fillId="13" borderId="291" applyNumberFormat="0" applyAlignment="0" applyProtection="0"/>
    <xf numFmtId="0" fontId="16" fillId="24" borderId="314" applyNumberFormat="0" applyAlignment="0" applyProtection="0"/>
    <xf numFmtId="0" fontId="31" fillId="0" borderId="319" applyNumberFormat="0" applyFill="0" applyAlignment="0" applyProtection="0"/>
    <xf numFmtId="0" fontId="73" fillId="0" borderId="320" applyBorder="0">
      <alignment horizontal="center" vertical="center" wrapText="1"/>
    </xf>
    <xf numFmtId="0" fontId="29" fillId="24" borderId="250" applyNumberFormat="0" applyAlignment="0" applyProtection="0"/>
    <xf numFmtId="0" fontId="49" fillId="10" borderId="244" applyNumberFormat="0" applyFont="0" applyAlignment="0" applyProtection="0"/>
    <xf numFmtId="0" fontId="8" fillId="45" borderId="276" applyNumberFormat="0" applyFont="0" applyAlignment="0" applyProtection="0"/>
    <xf numFmtId="0" fontId="29" fillId="24" borderId="317" applyNumberFormat="0" applyAlignment="0" applyProtection="0"/>
    <xf numFmtId="0" fontId="18" fillId="10" borderId="244" applyNumberFormat="0" applyFont="0" applyAlignment="0" applyProtection="0"/>
    <xf numFmtId="0" fontId="48" fillId="12" borderId="237" applyNumberFormat="0" applyAlignment="0" applyProtection="0"/>
    <xf numFmtId="0" fontId="48" fillId="24" borderId="291" applyNumberFormat="0" applyAlignment="0" applyProtection="0"/>
    <xf numFmtId="0" fontId="28" fillId="10" borderId="238" applyNumberFormat="0" applyFont="0" applyAlignment="0" applyProtection="0"/>
    <xf numFmtId="0" fontId="8" fillId="10" borderId="238" applyNumberFormat="0" applyFont="0" applyAlignment="0" applyProtection="0"/>
    <xf numFmtId="0" fontId="31" fillId="0" borderId="241" applyNumberFormat="0" applyFill="0" applyAlignment="0" applyProtection="0"/>
    <xf numFmtId="0" fontId="29" fillId="24" borderId="283" applyNumberFormat="0" applyAlignment="0" applyProtection="0"/>
    <xf numFmtId="0" fontId="49" fillId="10" borderId="238" applyNumberFormat="0" applyFont="0" applyAlignment="0" applyProtection="0"/>
    <xf numFmtId="0" fontId="31" fillId="0" borderId="241" applyNumberFormat="0" applyFill="0" applyAlignment="0" applyProtection="0"/>
    <xf numFmtId="0" fontId="29" fillId="24" borderId="294" applyNumberFormat="0" applyAlignment="0" applyProtection="0"/>
    <xf numFmtId="0" fontId="48" fillId="24" borderId="237" applyNumberFormat="0" applyAlignment="0" applyProtection="0"/>
    <xf numFmtId="0" fontId="49" fillId="10" borderId="238" applyNumberFormat="0" applyFont="0" applyAlignment="0" applyProtection="0"/>
    <xf numFmtId="0" fontId="25" fillId="13" borderId="237" applyNumberFormat="0" applyAlignment="0" applyProtection="0"/>
    <xf numFmtId="0" fontId="18" fillId="10" borderId="238" applyNumberFormat="0" applyFont="0" applyAlignment="0" applyProtection="0"/>
    <xf numFmtId="0" fontId="28" fillId="10" borderId="238" applyNumberFormat="0" applyFont="0" applyAlignment="0" applyProtection="0"/>
    <xf numFmtId="0" fontId="31" fillId="0" borderId="241" applyNumberFormat="0" applyFill="0" applyAlignment="0" applyProtection="0"/>
    <xf numFmtId="0" fontId="73" fillId="0" borderId="242" applyBorder="0">
      <alignment horizontal="center" vertical="center" wrapText="1"/>
    </xf>
    <xf numFmtId="0" fontId="16" fillId="24" borderId="237" applyNumberFormat="0" applyAlignment="0" applyProtection="0"/>
    <xf numFmtId="0" fontId="25" fillId="13" borderId="237" applyNumberFormat="0" applyAlignment="0" applyProtection="0"/>
    <xf numFmtId="0" fontId="25" fillId="13" borderId="237" applyNumberFormat="0" applyAlignment="0" applyProtection="0"/>
    <xf numFmtId="0" fontId="18" fillId="10" borderId="238" applyNumberFormat="0" applyFont="0" applyAlignment="0" applyProtection="0"/>
    <xf numFmtId="0" fontId="28" fillId="10" borderId="238" applyNumberFormat="0" applyFont="0" applyAlignment="0" applyProtection="0"/>
    <xf numFmtId="0" fontId="8" fillId="10" borderId="238" applyNumberFormat="0" applyFont="0" applyAlignment="0" applyProtection="0"/>
    <xf numFmtId="0" fontId="28" fillId="10" borderId="238" applyNumberFormat="0" applyFont="0" applyAlignment="0" applyProtection="0"/>
    <xf numFmtId="0" fontId="85" fillId="0" borderId="234"/>
    <xf numFmtId="0" fontId="31" fillId="0" borderId="290" applyNumberFormat="0" applyFill="0" applyAlignment="0" applyProtection="0"/>
    <xf numFmtId="0" fontId="18" fillId="10" borderId="238" applyNumberFormat="0" applyFont="0" applyAlignment="0" applyProtection="0"/>
    <xf numFmtId="0" fontId="25" fillId="13" borderId="237" applyNumberFormat="0" applyAlignment="0" applyProtection="0"/>
    <xf numFmtId="0" fontId="41" fillId="13" borderId="237" applyNumberFormat="0" applyAlignment="0" applyProtection="0"/>
    <xf numFmtId="0" fontId="73" fillId="0" borderId="242" applyBorder="0">
      <alignment horizontal="center" vertical="center" wrapText="1"/>
    </xf>
    <xf numFmtId="0" fontId="8" fillId="10" borderId="238" applyNumberFormat="0" applyFont="0" applyAlignment="0" applyProtection="0"/>
    <xf numFmtId="0" fontId="41" fillId="13" borderId="237" applyNumberFormat="0" applyAlignment="0" applyProtection="0"/>
    <xf numFmtId="0" fontId="48" fillId="12" borderId="237" applyNumberFormat="0" applyAlignment="0" applyProtection="0"/>
    <xf numFmtId="0" fontId="48" fillId="12" borderId="237" applyNumberFormat="0" applyAlignment="0" applyProtection="0"/>
    <xf numFmtId="0" fontId="48" fillId="24" borderId="237" applyNumberFormat="0" applyAlignment="0" applyProtection="0"/>
    <xf numFmtId="0" fontId="28" fillId="0" borderId="234"/>
    <xf numFmtId="0" fontId="48" fillId="12" borderId="237" applyNumberFormat="0" applyAlignment="0" applyProtection="0"/>
    <xf numFmtId="0" fontId="28" fillId="10" borderId="238" applyNumberFormat="0" applyFont="0" applyAlignment="0" applyProtection="0"/>
    <xf numFmtId="0" fontId="48" fillId="24" borderId="237" applyNumberFormat="0" applyAlignment="0" applyProtection="0"/>
    <xf numFmtId="0" fontId="31" fillId="0" borderId="241" applyNumberFormat="0" applyFill="0" applyAlignment="0" applyProtection="0"/>
    <xf numFmtId="0" fontId="25" fillId="13" borderId="237" applyNumberFormat="0" applyAlignment="0" applyProtection="0"/>
    <xf numFmtId="0" fontId="16" fillId="24" borderId="237" applyNumberFormat="0" applyAlignment="0" applyProtection="0"/>
    <xf numFmtId="0" fontId="28" fillId="0" borderId="234"/>
    <xf numFmtId="0" fontId="28" fillId="0" borderId="234"/>
    <xf numFmtId="0" fontId="85" fillId="0" borderId="234"/>
    <xf numFmtId="0" fontId="85" fillId="0" borderId="234"/>
    <xf numFmtId="0" fontId="48" fillId="12" borderId="237" applyNumberFormat="0" applyAlignment="0" applyProtection="0"/>
    <xf numFmtId="0" fontId="25" fillId="8" borderId="237" applyNumberFormat="0" applyAlignment="0" applyProtection="0"/>
    <xf numFmtId="0" fontId="48" fillId="12" borderId="237" applyNumberFormat="0" applyAlignment="0" applyProtection="0"/>
    <xf numFmtId="0" fontId="8" fillId="10" borderId="238" applyNumberFormat="0" applyFont="0" applyAlignment="0" applyProtection="0"/>
    <xf numFmtId="0" fontId="28" fillId="0" borderId="234"/>
    <xf numFmtId="0" fontId="85" fillId="0" borderId="234"/>
    <xf numFmtId="0" fontId="48" fillId="12" borderId="237" applyNumberFormat="0" applyAlignment="0" applyProtection="0"/>
    <xf numFmtId="0" fontId="25" fillId="8" borderId="237" applyNumberFormat="0" applyAlignment="0" applyProtection="0"/>
    <xf numFmtId="0" fontId="31" fillId="0" borderId="267" applyNumberFormat="0" applyFill="0" applyAlignment="0" applyProtection="0"/>
    <xf numFmtId="0" fontId="25" fillId="8" borderId="268" applyNumberFormat="0" applyAlignment="0" applyProtection="0"/>
    <xf numFmtId="0" fontId="25" fillId="13" borderId="268" applyNumberFormat="0" applyAlignment="0" applyProtection="0"/>
    <xf numFmtId="0" fontId="8" fillId="10" borderId="269" applyNumberFormat="0" applyFont="0" applyAlignment="0" applyProtection="0"/>
    <xf numFmtId="0" fontId="48" fillId="24" borderId="268" applyNumberFormat="0" applyAlignment="0" applyProtection="0"/>
    <xf numFmtId="0" fontId="73" fillId="0" borderId="274" applyBorder="0">
      <alignment horizontal="center" vertical="center" wrapText="1"/>
    </xf>
    <xf numFmtId="0" fontId="32"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28" fillId="0" borderId="275"/>
    <xf numFmtId="0" fontId="16" fillId="24" borderId="268" applyNumberFormat="0" applyAlignment="0" applyProtection="0"/>
    <xf numFmtId="0" fontId="28" fillId="0" borderId="275"/>
    <xf numFmtId="0" fontId="41" fillId="13" borderId="243" applyNumberFormat="0" applyAlignment="0" applyProtection="0"/>
    <xf numFmtId="0" fontId="41" fillId="13" borderId="243" applyNumberFormat="0" applyAlignment="0" applyProtection="0"/>
    <xf numFmtId="0" fontId="25" fillId="13" borderId="243" applyNumberFormat="0" applyAlignment="0" applyProtection="0"/>
    <xf numFmtId="0" fontId="28" fillId="0" borderId="298"/>
    <xf numFmtId="0" fontId="18" fillId="10" borderId="244" applyNumberFormat="0" applyFont="0" applyAlignment="0" applyProtection="0"/>
    <xf numFmtId="0" fontId="28" fillId="10" borderId="244" applyNumberFormat="0" applyFont="0" applyAlignment="0" applyProtection="0"/>
    <xf numFmtId="0" fontId="8" fillId="10" borderId="244" applyNumberFormat="0" applyFont="0" applyAlignment="0" applyProtection="0"/>
    <xf numFmtId="0" fontId="8" fillId="10" borderId="244" applyNumberFormat="0" applyFont="0" applyAlignment="0" applyProtection="0"/>
    <xf numFmtId="0" fontId="29" fillId="12" borderId="294" applyNumberFormat="0" applyAlignment="0" applyProtection="0"/>
    <xf numFmtId="0" fontId="31" fillId="0" borderId="246" applyNumberFormat="0" applyFill="0" applyAlignment="0" applyProtection="0"/>
    <xf numFmtId="0" fontId="85" fillId="0" borderId="321"/>
    <xf numFmtId="0" fontId="48" fillId="24" borderId="314" applyNumberFormat="0" applyAlignment="0" applyProtection="0"/>
    <xf numFmtId="0" fontId="48" fillId="12" borderId="314" applyNumberFormat="0" applyAlignment="0" applyProtection="0"/>
    <xf numFmtId="0" fontId="28" fillId="0" borderId="321"/>
    <xf numFmtId="0" fontId="31" fillId="0" borderId="318" applyNumberFormat="0" applyFill="0" applyAlignment="0" applyProtection="0"/>
    <xf numFmtId="0" fontId="24" fillId="24" borderId="245" applyNumberFormat="0" applyAlignment="0" applyProtection="0"/>
    <xf numFmtId="0" fontId="28" fillId="10" borderId="315" applyNumberFormat="0" applyFont="0" applyAlignment="0" applyProtection="0"/>
    <xf numFmtId="0" fontId="48" fillId="12" borderId="268" applyNumberFormat="0" applyAlignment="0" applyProtection="0"/>
    <xf numFmtId="0" fontId="28" fillId="10" borderId="315" applyNumberFormat="0" applyFont="0" applyAlignment="0" applyProtection="0"/>
    <xf numFmtId="0" fontId="8" fillId="45" borderId="276" applyNumberFormat="0" applyFont="0" applyAlignment="0" applyProtection="0"/>
    <xf numFmtId="0" fontId="49" fillId="10" borderId="278" applyNumberFormat="0" applyFont="0" applyAlignment="0" applyProtection="0"/>
    <xf numFmtId="0" fontId="8" fillId="45" borderId="322" applyNumberFormat="0" applyFont="0" applyAlignment="0" applyProtection="0"/>
    <xf numFmtId="0" fontId="31" fillId="0" borderId="313" applyNumberFormat="0" applyFill="0" applyAlignment="0" applyProtection="0"/>
    <xf numFmtId="0" fontId="24" fillId="24" borderId="316" applyNumberFormat="0" applyAlignment="0" applyProtection="0"/>
    <xf numFmtId="0" fontId="8" fillId="10" borderId="315" applyNumberFormat="0" applyFont="0" applyAlignment="0" applyProtection="0"/>
    <xf numFmtId="0" fontId="8" fillId="45" borderId="322" applyNumberFormat="0" applyFont="0" applyAlignment="0" applyProtection="0"/>
    <xf numFmtId="0" fontId="31" fillId="0" borderId="312" applyNumberFormat="0" applyFill="0" applyAlignment="0" applyProtection="0"/>
    <xf numFmtId="0" fontId="16" fillId="24" borderId="314" applyNumberFormat="0" applyAlignment="0" applyProtection="0"/>
    <xf numFmtId="0" fontId="25" fillId="8" borderId="314" applyNumberFormat="0" applyAlignment="0" applyProtection="0"/>
    <xf numFmtId="0" fontId="16" fillId="24" borderId="254" applyNumberFormat="0" applyAlignment="0" applyProtection="0"/>
    <xf numFmtId="0" fontId="28" fillId="10" borderId="244" applyNumberFormat="0" applyFont="0" applyAlignment="0" applyProtection="0"/>
    <xf numFmtId="0" fontId="31" fillId="0" borderId="251" applyNumberFormat="0" applyFill="0" applyAlignment="0" applyProtection="0"/>
    <xf numFmtId="0" fontId="85" fillId="0" borderId="247"/>
    <xf numFmtId="0" fontId="29" fillId="24" borderId="294" applyNumberFormat="0" applyAlignment="0" applyProtection="0"/>
    <xf numFmtId="0" fontId="8" fillId="10" borderId="244" applyNumberFormat="0" applyFont="0" applyAlignment="0" applyProtection="0"/>
    <xf numFmtId="0" fontId="31" fillId="0" borderId="318" applyNumberFormat="0" applyFill="0" applyAlignment="0" applyProtection="0"/>
    <xf numFmtId="0" fontId="31" fillId="0" borderId="224" applyNumberFormat="0" applyFill="0" applyAlignment="0" applyProtection="0"/>
    <xf numFmtId="0" fontId="25" fillId="8" borderId="221" applyNumberFormat="0" applyAlignment="0" applyProtection="0"/>
    <xf numFmtId="0" fontId="41" fillId="13" borderId="221" applyNumberFormat="0" applyAlignment="0" applyProtection="0"/>
    <xf numFmtId="0" fontId="31" fillId="0" borderId="251" applyNumberFormat="0" applyFill="0" applyAlignment="0" applyProtection="0"/>
    <xf numFmtId="0" fontId="48" fillId="12" borderId="221" applyNumberFormat="0" applyAlignment="0" applyProtection="0"/>
    <xf numFmtId="0" fontId="41" fillId="13" borderId="277" applyNumberFormat="0" applyAlignment="0" applyProtection="0"/>
    <xf numFmtId="0" fontId="25" fillId="13" borderId="237" applyNumberFormat="0" applyAlignment="0" applyProtection="0"/>
    <xf numFmtId="0" fontId="29" fillId="24" borderId="220" applyNumberFormat="0" applyAlignment="0" applyProtection="0"/>
    <xf numFmtId="0" fontId="28" fillId="10" borderId="222" applyNumberFormat="0" applyFont="0" applyAlignment="0" applyProtection="0"/>
    <xf numFmtId="0" fontId="8" fillId="10" borderId="244" applyNumberFormat="0" applyFont="0" applyAlignment="0" applyProtection="0"/>
    <xf numFmtId="0" fontId="18" fillId="10" borderId="238" applyNumberFormat="0" applyFont="0" applyAlignment="0" applyProtection="0"/>
    <xf numFmtId="0" fontId="48" fillId="24" borderId="237" applyNumberFormat="0" applyAlignment="0" applyProtection="0"/>
    <xf numFmtId="0" fontId="16" fillId="24" borderId="268" applyNumberFormat="0" applyAlignment="0" applyProtection="0"/>
    <xf numFmtId="0" fontId="25" fillId="13" borderId="268" applyNumberFormat="0" applyAlignment="0" applyProtection="0"/>
    <xf numFmtId="0" fontId="8" fillId="45" borderId="276" applyNumberFormat="0" applyFont="0" applyAlignment="0" applyProtection="0"/>
    <xf numFmtId="0" fontId="85" fillId="73" borderId="275"/>
    <xf numFmtId="0" fontId="28" fillId="0" borderId="234"/>
    <xf numFmtId="0" fontId="48" fillId="12" borderId="237" applyNumberFormat="0" applyAlignment="0" applyProtection="0"/>
    <xf numFmtId="0" fontId="48" fillId="24" borderId="237" applyNumberFormat="0" applyAlignment="0" applyProtection="0"/>
    <xf numFmtId="0" fontId="8" fillId="10" borderId="238" applyNumberFormat="0" applyFont="0" applyAlignment="0" applyProtection="0"/>
    <xf numFmtId="0" fontId="25" fillId="8" borderId="237" applyNumberFormat="0" applyAlignment="0" applyProtection="0"/>
    <xf numFmtId="0" fontId="48" fillId="24" borderId="237" applyNumberFormat="0" applyAlignment="0" applyProtection="0"/>
    <xf numFmtId="0" fontId="32" fillId="24" borderId="237" applyNumberFormat="0" applyAlignment="0" applyProtection="0"/>
    <xf numFmtId="0" fontId="8" fillId="10" borderId="238" applyNumberFormat="0" applyFont="0" applyAlignment="0" applyProtection="0"/>
    <xf numFmtId="0" fontId="8" fillId="10" borderId="238" applyNumberFormat="0" applyFont="0" applyAlignment="0" applyProtection="0"/>
    <xf numFmtId="0" fontId="49" fillId="10" borderId="238" applyNumberFormat="0" applyFont="0" applyAlignment="0" applyProtection="0"/>
    <xf numFmtId="0" fontId="48" fillId="12" borderId="268" applyNumberFormat="0" applyAlignment="0" applyProtection="0"/>
    <xf numFmtId="0" fontId="25" fillId="13" borderId="314" applyNumberFormat="0" applyAlignment="0" applyProtection="0"/>
    <xf numFmtId="0" fontId="25" fillId="8" borderId="314" applyNumberFormat="0" applyAlignment="0" applyProtection="0"/>
    <xf numFmtId="0" fontId="73" fillId="0" borderId="320" applyBorder="0">
      <alignment horizontal="center" vertical="center" wrapText="1"/>
    </xf>
    <xf numFmtId="0" fontId="48" fillId="24" borderId="314" applyNumberFormat="0" applyAlignment="0" applyProtection="0"/>
    <xf numFmtId="0" fontId="25" fillId="13" borderId="314" applyNumberFormat="0" applyAlignment="0" applyProtection="0"/>
    <xf numFmtId="0" fontId="28" fillId="0" borderId="321"/>
    <xf numFmtId="0" fontId="31" fillId="0" borderId="290" applyNumberFormat="0" applyFill="0" applyAlignment="0" applyProtection="0"/>
    <xf numFmtId="0" fontId="16" fillId="24" borderId="291" applyNumberFormat="0" applyAlignment="0" applyProtection="0"/>
    <xf numFmtId="0" fontId="8" fillId="10" borderId="211" applyNumberFormat="0" applyFont="0" applyAlignment="0" applyProtection="0"/>
    <xf numFmtId="0" fontId="49" fillId="10" borderId="211" applyNumberFormat="0" applyFont="0" applyAlignment="0" applyProtection="0"/>
    <xf numFmtId="0" fontId="31" fillId="0" borderId="252" applyNumberFormat="0" applyFill="0" applyAlignment="0" applyProtection="0"/>
    <xf numFmtId="0" fontId="31" fillId="0" borderId="296" applyNumberFormat="0" applyFill="0" applyAlignment="0" applyProtection="0"/>
    <xf numFmtId="0" fontId="25" fillId="8" borderId="291" applyNumberFormat="0" applyAlignment="0" applyProtection="0"/>
    <xf numFmtId="0" fontId="25" fillId="13" borderId="300" applyNumberFormat="0" applyAlignment="0" applyProtection="0"/>
    <xf numFmtId="0" fontId="48" fillId="24" borderId="268" applyNumberFormat="0" applyAlignment="0" applyProtection="0"/>
    <xf numFmtId="0" fontId="31" fillId="0" borderId="273" applyNumberFormat="0" applyFill="0" applyAlignment="0" applyProtection="0"/>
    <xf numFmtId="0" fontId="31" fillId="0" borderId="313" applyNumberFormat="0" applyFill="0" applyAlignment="0" applyProtection="0"/>
    <xf numFmtId="0" fontId="28" fillId="0" borderId="207"/>
    <xf numFmtId="0" fontId="28" fillId="0" borderId="207"/>
    <xf numFmtId="0" fontId="31" fillId="0" borderId="213" applyNumberFormat="0" applyFill="0" applyAlignment="0" applyProtection="0"/>
    <xf numFmtId="0" fontId="85" fillId="0" borderId="207"/>
    <xf numFmtId="0" fontId="85" fillId="0" borderId="207"/>
    <xf numFmtId="0" fontId="48" fillId="12" borderId="210" applyNumberFormat="0" applyAlignment="0" applyProtection="0"/>
    <xf numFmtId="0" fontId="48" fillId="12" borderId="210" applyNumberFormat="0" applyAlignment="0" applyProtection="0"/>
    <xf numFmtId="0" fontId="25" fillId="8" borderId="210" applyNumberFormat="0" applyAlignment="0" applyProtection="0"/>
    <xf numFmtId="0" fontId="29" fillId="12" borderId="209" applyNumberFormat="0" applyAlignment="0" applyProtection="0"/>
    <xf numFmtId="0" fontId="31" fillId="0" borderId="208" applyNumberFormat="0" applyFill="0" applyAlignment="0" applyProtection="0"/>
    <xf numFmtId="0" fontId="31" fillId="0" borderId="208" applyNumberFormat="0" applyFill="0" applyAlignment="0" applyProtection="0"/>
    <xf numFmtId="0" fontId="29" fillId="12" borderId="209" applyNumberFormat="0" applyAlignment="0" applyProtection="0"/>
    <xf numFmtId="0" fontId="29" fillId="24" borderId="209" applyNumberFormat="0" applyAlignment="0" applyProtection="0"/>
    <xf numFmtId="0" fontId="29" fillId="24" borderId="209" applyNumberFormat="0" applyAlignment="0" applyProtection="0"/>
    <xf numFmtId="0" fontId="29" fillId="24" borderId="209" applyNumberFormat="0" applyAlignment="0" applyProtection="0"/>
    <xf numFmtId="0" fontId="48" fillId="24" borderId="291" applyNumberFormat="0" applyAlignment="0" applyProtection="0"/>
    <xf numFmtId="0" fontId="48" fillId="24" borderId="210" applyNumberFormat="0" applyAlignment="0" applyProtection="0"/>
    <xf numFmtId="0" fontId="48" fillId="24" borderId="210" applyNumberFormat="0" applyAlignment="0" applyProtection="0"/>
    <xf numFmtId="0" fontId="48" fillId="12" borderId="210" applyNumberFormat="0" applyAlignment="0" applyProtection="0"/>
    <xf numFmtId="0" fontId="48" fillId="12" borderId="210" applyNumberFormat="0" applyAlignment="0" applyProtection="0"/>
    <xf numFmtId="0" fontId="41" fillId="13" borderId="210" applyNumberFormat="0" applyAlignment="0" applyProtection="0"/>
    <xf numFmtId="0" fontId="25" fillId="8" borderId="210" applyNumberFormat="0" applyAlignment="0" applyProtection="0"/>
    <xf numFmtId="0" fontId="8" fillId="10" borderId="211" applyNumberFormat="0" applyFont="0" applyAlignment="0" applyProtection="0"/>
    <xf numFmtId="0" fontId="8" fillId="10" borderId="211" applyNumberFormat="0" applyFont="0" applyAlignment="0" applyProtection="0"/>
    <xf numFmtId="0" fontId="49" fillId="10" borderId="211" applyNumberFormat="0" applyFont="0" applyAlignment="0" applyProtection="0"/>
    <xf numFmtId="0" fontId="49" fillId="10" borderId="211" applyNumberFormat="0" applyFont="0" applyAlignment="0" applyProtection="0"/>
    <xf numFmtId="0" fontId="24" fillId="24" borderId="212" applyNumberFormat="0" applyAlignment="0" applyProtection="0"/>
    <xf numFmtId="0" fontId="29" fillId="12" borderId="209" applyNumberFormat="0" applyAlignment="0" applyProtection="0"/>
    <xf numFmtId="0" fontId="31" fillId="0" borderId="213" applyNumberFormat="0" applyFill="0" applyAlignment="0" applyProtection="0"/>
    <xf numFmtId="0" fontId="31" fillId="0" borderId="213" applyNumberFormat="0" applyFill="0" applyAlignment="0" applyProtection="0"/>
    <xf numFmtId="0" fontId="31" fillId="0" borderId="208" applyNumberFormat="0" applyFill="0" applyAlignment="0" applyProtection="0"/>
    <xf numFmtId="0" fontId="31" fillId="0" borderId="208" applyNumberFormat="0" applyFill="0" applyAlignment="0" applyProtection="0"/>
    <xf numFmtId="0" fontId="32" fillId="24" borderId="210" applyNumberFormat="0" applyAlignment="0" applyProtection="0"/>
    <xf numFmtId="0" fontId="16" fillId="24" borderId="210" applyNumberFormat="0" applyAlignment="0" applyProtection="0"/>
    <xf numFmtId="0" fontId="16" fillId="24" borderId="210" applyNumberFormat="0" applyAlignment="0" applyProtection="0"/>
    <xf numFmtId="0" fontId="16" fillId="24" borderId="210" applyNumberFormat="0" applyAlignment="0" applyProtection="0"/>
    <xf numFmtId="0" fontId="41" fillId="13" borderId="210" applyNumberFormat="0" applyAlignment="0" applyProtection="0"/>
    <xf numFmtId="0" fontId="25" fillId="13" borderId="210" applyNumberFormat="0" applyAlignment="0" applyProtection="0"/>
    <xf numFmtId="0" fontId="25" fillId="13" borderId="210" applyNumberFormat="0" applyAlignment="0" applyProtection="0"/>
    <xf numFmtId="0" fontId="25" fillId="13" borderId="210" applyNumberFormat="0" applyAlignment="0" applyProtection="0"/>
    <xf numFmtId="0" fontId="18" fillId="10" borderId="211" applyNumberFormat="0" applyFont="0" applyAlignment="0" applyProtection="0"/>
    <xf numFmtId="0" fontId="28" fillId="10" borderId="211" applyNumberFormat="0" applyFont="0" applyAlignment="0" applyProtection="0"/>
    <xf numFmtId="0" fontId="28" fillId="10" borderId="211" applyNumberFormat="0" applyFont="0" applyAlignment="0" applyProtection="0"/>
    <xf numFmtId="0" fontId="8" fillId="10" borderId="211" applyNumberFormat="0" applyFont="0" applyAlignment="0" applyProtection="0"/>
    <xf numFmtId="0" fontId="28" fillId="10" borderId="211" applyNumberFormat="0" applyFont="0" applyAlignment="0" applyProtection="0"/>
    <xf numFmtId="0" fontId="24" fillId="24" borderId="212" applyNumberFormat="0" applyAlignment="0" applyProtection="0"/>
    <xf numFmtId="0" fontId="29" fillId="24" borderId="209" applyNumberFormat="0" applyAlignment="0" applyProtection="0"/>
    <xf numFmtId="0" fontId="29" fillId="24" borderId="209" applyNumberFormat="0" applyAlignment="0" applyProtection="0"/>
    <xf numFmtId="0" fontId="29" fillId="24" borderId="209" applyNumberFormat="0" applyAlignment="0" applyProtection="0"/>
    <xf numFmtId="0" fontId="41" fillId="13" borderId="291" applyNumberFormat="0" applyAlignment="0" applyProtection="0"/>
    <xf numFmtId="0" fontId="48" fillId="24" borderId="210" applyNumberFormat="0" applyAlignment="0" applyProtection="0"/>
    <xf numFmtId="0" fontId="8" fillId="10" borderId="211" applyNumberFormat="0" applyFont="0" applyAlignment="0" applyProtection="0"/>
    <xf numFmtId="0" fontId="49" fillId="10" borderId="211" applyNumberFormat="0" applyFont="0" applyAlignment="0" applyProtection="0"/>
    <xf numFmtId="0" fontId="28" fillId="0" borderId="207"/>
    <xf numFmtId="0" fontId="28" fillId="0" borderId="207"/>
    <xf numFmtId="0" fontId="31" fillId="0" borderId="213" applyNumberFormat="0" applyFill="0" applyAlignment="0" applyProtection="0"/>
    <xf numFmtId="0" fontId="85" fillId="0" borderId="207"/>
    <xf numFmtId="0" fontId="85" fillId="0" borderId="207"/>
    <xf numFmtId="0" fontId="48" fillId="12" borderId="210" applyNumberFormat="0" applyAlignment="0" applyProtection="0"/>
    <xf numFmtId="0" fontId="48" fillId="12" borderId="210" applyNumberFormat="0" applyAlignment="0" applyProtection="0"/>
    <xf numFmtId="0" fontId="25" fillId="8" borderId="210" applyNumberFormat="0" applyAlignment="0" applyProtection="0"/>
    <xf numFmtId="0" fontId="29" fillId="12" borderId="209" applyNumberFormat="0" applyAlignment="0" applyProtection="0"/>
    <xf numFmtId="0" fontId="31" fillId="0" borderId="208" applyNumberFormat="0" applyFill="0" applyAlignment="0" applyProtection="0"/>
    <xf numFmtId="0" fontId="31" fillId="0" borderId="208" applyNumberFormat="0" applyFill="0" applyAlignment="0" applyProtection="0"/>
    <xf numFmtId="0" fontId="16" fillId="24" borderId="237" applyNumberFormat="0" applyAlignment="0" applyProtection="0"/>
    <xf numFmtId="0" fontId="48" fillId="24" borderId="210" applyNumberFormat="0" applyAlignment="0" applyProtection="0"/>
    <xf numFmtId="0" fontId="49" fillId="10" borderId="211" applyNumberFormat="0" applyFont="0" applyAlignment="0" applyProtection="0"/>
    <xf numFmtId="0" fontId="29" fillId="12" borderId="209" applyNumberFormat="0" applyAlignment="0" applyProtection="0"/>
    <xf numFmtId="0" fontId="32" fillId="24" borderId="210" applyNumberFormat="0" applyAlignment="0" applyProtection="0"/>
    <xf numFmtId="0" fontId="48" fillId="12" borderId="210" applyNumberFormat="0" applyAlignment="0" applyProtection="0"/>
    <xf numFmtId="0" fontId="24" fillId="24" borderId="212" applyNumberFormat="0" applyAlignment="0" applyProtection="0"/>
    <xf numFmtId="0" fontId="8" fillId="10" borderId="211" applyNumberFormat="0" applyFont="0" applyAlignment="0" applyProtection="0"/>
    <xf numFmtId="0" fontId="29" fillId="24" borderId="209" applyNumberFormat="0" applyAlignment="0" applyProtection="0"/>
    <xf numFmtId="0" fontId="48" fillId="12" borderId="314" applyNumberFormat="0" applyAlignment="0" applyProtection="0"/>
    <xf numFmtId="0" fontId="25" fillId="13" borderId="277" applyNumberFormat="0" applyAlignment="0" applyProtection="0"/>
    <xf numFmtId="0" fontId="16" fillId="24" borderId="210" applyNumberFormat="0" applyAlignment="0" applyProtection="0"/>
    <xf numFmtId="0" fontId="41" fillId="13" borderId="210" applyNumberFormat="0" applyAlignment="0" applyProtection="0"/>
    <xf numFmtId="0" fontId="48" fillId="24" borderId="210" applyNumberFormat="0" applyAlignment="0" applyProtection="0"/>
    <xf numFmtId="0" fontId="41" fillId="13" borderId="210" applyNumberFormat="0" applyAlignment="0" applyProtection="0"/>
    <xf numFmtId="0" fontId="25" fillId="8" borderId="210" applyNumberFormat="0" applyAlignment="0" applyProtection="0"/>
    <xf numFmtId="0" fontId="8" fillId="10" borderId="211" applyNumberFormat="0" applyFont="0" applyAlignment="0" applyProtection="0"/>
    <xf numFmtId="0" fontId="8" fillId="10" borderId="211" applyNumberFormat="0" applyFont="0" applyAlignment="0" applyProtection="0"/>
    <xf numFmtId="0" fontId="49" fillId="10" borderId="211" applyNumberFormat="0" applyFont="0" applyAlignment="0" applyProtection="0"/>
    <xf numFmtId="0" fontId="24" fillId="24" borderId="212" applyNumberFormat="0" applyAlignment="0" applyProtection="0"/>
    <xf numFmtId="0" fontId="31" fillId="0" borderId="213" applyNumberFormat="0" applyFill="0" applyAlignment="0" applyProtection="0"/>
    <xf numFmtId="0" fontId="31" fillId="0" borderId="213" applyNumberFormat="0" applyFill="0" applyAlignment="0" applyProtection="0"/>
    <xf numFmtId="0" fontId="31" fillId="0" borderId="208" applyNumberFormat="0" applyFill="0" applyAlignment="0" applyProtection="0"/>
    <xf numFmtId="0" fontId="49" fillId="10" borderId="211" applyNumberFormat="0" applyFont="0" applyAlignment="0" applyProtection="0"/>
    <xf numFmtId="0" fontId="8" fillId="10" borderId="211" applyNumberFormat="0" applyFont="0" applyAlignment="0" applyProtection="0"/>
    <xf numFmtId="0" fontId="48" fillId="24" borderId="210" applyNumberFormat="0" applyAlignment="0" applyProtection="0"/>
    <xf numFmtId="0" fontId="29" fillId="24" borderId="209" applyNumberFormat="0" applyAlignment="0" applyProtection="0"/>
    <xf numFmtId="0" fontId="8" fillId="10" borderId="211" applyNumberFormat="0" applyFont="0" applyAlignment="0" applyProtection="0"/>
    <xf numFmtId="0" fontId="25" fillId="13" borderId="210" applyNumberFormat="0" applyAlignment="0" applyProtection="0"/>
    <xf numFmtId="0" fontId="16" fillId="24" borderId="210" applyNumberFormat="0" applyAlignment="0" applyProtection="0"/>
    <xf numFmtId="0" fontId="31" fillId="0" borderId="313" applyNumberFormat="0" applyFill="0" applyAlignment="0" applyProtection="0"/>
    <xf numFmtId="0" fontId="31" fillId="0" borderId="208" applyNumberFormat="0" applyFill="0" applyAlignment="0" applyProtection="0"/>
    <xf numFmtId="0" fontId="48" fillId="24" borderId="210" applyNumberFormat="0" applyAlignment="0" applyProtection="0"/>
    <xf numFmtId="0" fontId="48" fillId="24" borderId="210" applyNumberFormat="0" applyAlignment="0" applyProtection="0"/>
    <xf numFmtId="0" fontId="48" fillId="12" borderId="210" applyNumberFormat="0" applyAlignment="0" applyProtection="0"/>
    <xf numFmtId="0" fontId="48" fillId="12" borderId="210" applyNumberFormat="0" applyAlignment="0" applyProtection="0"/>
    <xf numFmtId="0" fontId="41" fillId="13" borderId="210" applyNumberFormat="0" applyAlignment="0" applyProtection="0"/>
    <xf numFmtId="0" fontId="25" fillId="8" borderId="210" applyNumberFormat="0" applyAlignment="0" applyProtection="0"/>
    <xf numFmtId="0" fontId="8" fillId="10" borderId="211" applyNumberFormat="0" applyFont="0" applyAlignment="0" applyProtection="0"/>
    <xf numFmtId="0" fontId="8" fillId="10" borderId="211" applyNumberFormat="0" applyFont="0" applyAlignment="0" applyProtection="0"/>
    <xf numFmtId="0" fontId="49" fillId="10" borderId="211" applyNumberFormat="0" applyFont="0" applyAlignment="0" applyProtection="0"/>
    <xf numFmtId="0" fontId="49" fillId="10" borderId="211" applyNumberFormat="0" applyFont="0" applyAlignment="0" applyProtection="0"/>
    <xf numFmtId="0" fontId="24" fillId="24" borderId="212" applyNumberFormat="0" applyAlignment="0" applyProtection="0"/>
    <xf numFmtId="0" fontId="29" fillId="12" borderId="209" applyNumberFormat="0" applyAlignment="0" applyProtection="0"/>
    <xf numFmtId="0" fontId="31" fillId="0" borderId="213" applyNumberFormat="0" applyFill="0" applyAlignment="0" applyProtection="0"/>
    <xf numFmtId="0" fontId="31" fillId="0" borderId="213" applyNumberFormat="0" applyFill="0" applyAlignment="0" applyProtection="0"/>
    <xf numFmtId="0" fontId="31" fillId="0" borderId="208" applyNumberFormat="0" applyFill="0" applyAlignment="0" applyProtection="0"/>
    <xf numFmtId="0" fontId="31" fillId="0" borderId="208" applyNumberFormat="0" applyFill="0" applyAlignment="0" applyProtection="0"/>
    <xf numFmtId="0" fontId="32" fillId="24" borderId="210" applyNumberFormat="0" applyAlignment="0" applyProtection="0"/>
    <xf numFmtId="0" fontId="16" fillId="24" borderId="210" applyNumberFormat="0" applyAlignment="0" applyProtection="0"/>
    <xf numFmtId="0" fontId="16" fillId="24" borderId="210" applyNumberFormat="0" applyAlignment="0" applyProtection="0"/>
    <xf numFmtId="0" fontId="16" fillId="24" borderId="210" applyNumberFormat="0" applyAlignment="0" applyProtection="0"/>
    <xf numFmtId="0" fontId="41" fillId="13" borderId="210" applyNumberFormat="0" applyAlignment="0" applyProtection="0"/>
    <xf numFmtId="0" fontId="25" fillId="13" borderId="210" applyNumberFormat="0" applyAlignment="0" applyProtection="0"/>
    <xf numFmtId="0" fontId="25" fillId="13" borderId="210" applyNumberFormat="0" applyAlignment="0" applyProtection="0"/>
    <xf numFmtId="0" fontId="25" fillId="13" borderId="210" applyNumberFormat="0" applyAlignment="0" applyProtection="0"/>
    <xf numFmtId="0" fontId="18" fillId="10" borderId="211" applyNumberFormat="0" applyFont="0" applyAlignment="0" applyProtection="0"/>
    <xf numFmtId="0" fontId="28" fillId="10" borderId="211" applyNumberFormat="0" applyFont="0" applyAlignment="0" applyProtection="0"/>
    <xf numFmtId="0" fontId="28" fillId="10" borderId="211" applyNumberFormat="0" applyFont="0" applyAlignment="0" applyProtection="0"/>
    <xf numFmtId="0" fontId="8" fillId="10" borderId="211" applyNumberFormat="0" applyFont="0" applyAlignment="0" applyProtection="0"/>
    <xf numFmtId="0" fontId="28" fillId="10" borderId="211" applyNumberFormat="0" applyFont="0" applyAlignment="0" applyProtection="0"/>
    <xf numFmtId="0" fontId="24" fillId="24" borderId="212" applyNumberFormat="0" applyAlignment="0" applyProtection="0"/>
    <xf numFmtId="0" fontId="29" fillId="24" borderId="209" applyNumberFormat="0" applyAlignment="0" applyProtection="0"/>
    <xf numFmtId="0" fontId="29" fillId="24" borderId="209" applyNumberFormat="0" applyAlignment="0" applyProtection="0"/>
    <xf numFmtId="0" fontId="29" fillId="24" borderId="209" applyNumberFormat="0" applyAlignment="0" applyProtection="0"/>
    <xf numFmtId="0" fontId="31" fillId="0" borderId="290" applyNumberFormat="0" applyFill="0" applyAlignment="0" applyProtection="0"/>
    <xf numFmtId="0" fontId="48" fillId="24" borderId="210" applyNumberFormat="0" applyAlignment="0" applyProtection="0"/>
    <xf numFmtId="0" fontId="16" fillId="24" borderId="210" applyNumberFormat="0" applyAlignment="0" applyProtection="0"/>
    <xf numFmtId="0" fontId="16" fillId="24" borderId="210" applyNumberFormat="0" applyAlignment="0" applyProtection="0"/>
    <xf numFmtId="0" fontId="25" fillId="13" borderId="210" applyNumberFormat="0" applyAlignment="0" applyProtection="0"/>
    <xf numFmtId="0" fontId="25" fillId="13" borderId="210" applyNumberFormat="0" applyAlignment="0" applyProtection="0"/>
    <xf numFmtId="0" fontId="25" fillId="13" borderId="210" applyNumberFormat="0" applyAlignment="0" applyProtection="0"/>
    <xf numFmtId="0" fontId="18" fillId="10" borderId="211" applyNumberFormat="0" applyFont="0" applyAlignment="0" applyProtection="0"/>
    <xf numFmtId="0" fontId="28" fillId="10" borderId="211" applyNumberFormat="0" applyFont="0" applyAlignment="0" applyProtection="0"/>
    <xf numFmtId="0" fontId="28" fillId="10" borderId="211" applyNumberFormat="0" applyFont="0" applyAlignment="0" applyProtection="0"/>
    <xf numFmtId="0" fontId="8" fillId="10" borderId="211" applyNumberFormat="0" applyFont="0" applyAlignment="0" applyProtection="0"/>
    <xf numFmtId="0" fontId="28" fillId="10" borderId="211" applyNumberFormat="0" applyFont="0" applyAlignment="0" applyProtection="0"/>
    <xf numFmtId="0" fontId="24" fillId="24" borderId="212" applyNumberFormat="0" applyAlignment="0" applyProtection="0"/>
    <xf numFmtId="0" fontId="29" fillId="24" borderId="209" applyNumberFormat="0" applyAlignment="0" applyProtection="0"/>
    <xf numFmtId="0" fontId="29" fillId="24" borderId="209" applyNumberFormat="0" applyAlignment="0" applyProtection="0"/>
    <xf numFmtId="0" fontId="41" fillId="13" borderId="237" applyNumberFormat="0" applyAlignment="0" applyProtection="0"/>
    <xf numFmtId="0" fontId="24" fillId="24" borderId="212" applyNumberFormat="0" applyAlignment="0" applyProtection="0"/>
    <xf numFmtId="0" fontId="31" fillId="0" borderId="213" applyNumberFormat="0" applyFill="0" applyAlignment="0" applyProtection="0"/>
    <xf numFmtId="0" fontId="8" fillId="45" borderId="253" applyNumberFormat="0" applyFont="0" applyAlignment="0" applyProtection="0"/>
    <xf numFmtId="0" fontId="28" fillId="0" borderId="207"/>
    <xf numFmtId="0" fontId="85" fillId="0" borderId="207"/>
    <xf numFmtId="0" fontId="25" fillId="8" borderId="210" applyNumberFormat="0" applyAlignment="0" applyProtection="0"/>
    <xf numFmtId="0" fontId="28" fillId="10" borderId="269" applyNumberFormat="0" applyFont="0" applyAlignment="0" applyProtection="0"/>
    <xf numFmtId="0" fontId="31" fillId="0" borderId="208" applyNumberFormat="0" applyFill="0" applyAlignment="0" applyProtection="0"/>
    <xf numFmtId="0" fontId="25" fillId="13" borderId="237" applyNumberFormat="0" applyAlignment="0" applyProtection="0"/>
    <xf numFmtId="0" fontId="8" fillId="10" borderId="238" applyNumberFormat="0" applyFont="0" applyAlignment="0" applyProtection="0"/>
    <xf numFmtId="0" fontId="49" fillId="10" borderId="244" applyNumberFormat="0" applyFont="0" applyAlignment="0" applyProtection="0"/>
    <xf numFmtId="0" fontId="29" fillId="24" borderId="209" applyNumberFormat="0" applyAlignment="0" applyProtection="0"/>
    <xf numFmtId="0" fontId="29" fillId="24" borderId="209" applyNumberFormat="0" applyAlignment="0" applyProtection="0"/>
    <xf numFmtId="0" fontId="28" fillId="10" borderId="211" applyNumberFormat="0" applyFont="0" applyAlignment="0" applyProtection="0"/>
    <xf numFmtId="0" fontId="18" fillId="10" borderId="211" applyNumberFormat="0" applyFont="0" applyAlignment="0" applyProtection="0"/>
    <xf numFmtId="0" fontId="25" fillId="13" borderId="210" applyNumberFormat="0" applyAlignment="0" applyProtection="0"/>
    <xf numFmtId="0" fontId="41" fillId="13" borderId="210" applyNumberFormat="0" applyAlignment="0" applyProtection="0"/>
    <xf numFmtId="0" fontId="32" fillId="24" borderId="210" applyNumberFormat="0" applyAlignment="0" applyProtection="0"/>
    <xf numFmtId="0" fontId="25" fillId="8" borderId="291" applyNumberFormat="0" applyAlignment="0" applyProtection="0"/>
    <xf numFmtId="0" fontId="31" fillId="0" borderId="208" applyNumberFormat="0" applyFill="0" applyAlignment="0" applyProtection="0"/>
    <xf numFmtId="0" fontId="31" fillId="0" borderId="208" applyNumberFormat="0" applyFill="0" applyAlignment="0" applyProtection="0"/>
    <xf numFmtId="0" fontId="8" fillId="10" borderId="211" applyNumberFormat="0" applyFont="0" applyAlignment="0" applyProtection="0"/>
    <xf numFmtId="0" fontId="25" fillId="8" borderId="210" applyNumberFormat="0" applyAlignment="0" applyProtection="0"/>
    <xf numFmtId="0" fontId="41" fillId="13" borderId="210" applyNumberFormat="0" applyAlignment="0" applyProtection="0"/>
    <xf numFmtId="0" fontId="48" fillId="12" borderId="210" applyNumberFormat="0" applyAlignment="0" applyProtection="0"/>
    <xf numFmtId="0" fontId="48" fillId="12" borderId="210" applyNumberFormat="0" applyAlignment="0" applyProtection="0"/>
    <xf numFmtId="0" fontId="48" fillId="24" borderId="210" applyNumberFormat="0" applyAlignment="0" applyProtection="0"/>
    <xf numFmtId="0" fontId="48" fillId="24" borderId="210" applyNumberFormat="0" applyAlignment="0" applyProtection="0"/>
    <xf numFmtId="0" fontId="28" fillId="0" borderId="207"/>
    <xf numFmtId="0" fontId="31" fillId="0" borderId="213" applyNumberFormat="0" applyFill="0" applyAlignment="0" applyProtection="0"/>
    <xf numFmtId="0" fontId="48" fillId="12" borderId="210" applyNumberFormat="0" applyAlignment="0" applyProtection="0"/>
    <xf numFmtId="0" fontId="48" fillId="12" borderId="210" applyNumberFormat="0" applyAlignment="0" applyProtection="0"/>
    <xf numFmtId="0" fontId="31" fillId="0" borderId="208" applyNumberFormat="0" applyFill="0" applyAlignment="0" applyProtection="0"/>
    <xf numFmtId="0" fontId="29" fillId="12" borderId="209" applyNumberFormat="0" applyAlignment="0" applyProtection="0"/>
    <xf numFmtId="0" fontId="28" fillId="10" borderId="211" applyNumberFormat="0" applyFont="0" applyAlignment="0" applyProtection="0"/>
    <xf numFmtId="0" fontId="16" fillId="24" borderId="210" applyNumberFormat="0" applyAlignment="0" applyProtection="0"/>
    <xf numFmtId="0" fontId="48" fillId="24" borderId="210" applyNumberFormat="0" applyAlignment="0" applyProtection="0"/>
    <xf numFmtId="0" fontId="28" fillId="10" borderId="211" applyNumberFormat="0" applyFont="0" applyAlignment="0" applyProtection="0"/>
    <xf numFmtId="0" fontId="25" fillId="13" borderId="210" applyNumberFormat="0" applyAlignment="0" applyProtection="0"/>
    <xf numFmtId="0" fontId="16" fillId="24" borderId="210" applyNumberFormat="0" applyAlignment="0" applyProtection="0"/>
    <xf numFmtId="0" fontId="29" fillId="12" borderId="209" applyNumberFormat="0" applyAlignment="0" applyProtection="0"/>
    <xf numFmtId="0" fontId="31" fillId="0" borderId="213" applyNumberFormat="0" applyFill="0" applyAlignment="0" applyProtection="0"/>
    <xf numFmtId="0" fontId="49" fillId="10" borderId="211" applyNumberFormat="0" applyFont="0" applyAlignment="0" applyProtection="0"/>
    <xf numFmtId="0" fontId="8" fillId="10" borderId="211" applyNumberFormat="0" applyFont="0" applyAlignment="0" applyProtection="0"/>
    <xf numFmtId="0" fontId="49" fillId="10" borderId="211" applyNumberFormat="0" applyFont="0" applyAlignment="0" applyProtection="0"/>
    <xf numFmtId="0" fontId="49" fillId="10" borderId="211" applyNumberFormat="0" applyFont="0" applyAlignment="0" applyProtection="0"/>
    <xf numFmtId="0" fontId="28" fillId="0" borderId="207"/>
    <xf numFmtId="0" fontId="28" fillId="0" borderId="207"/>
    <xf numFmtId="0" fontId="31" fillId="0" borderId="213" applyNumberFormat="0" applyFill="0" applyAlignment="0" applyProtection="0"/>
    <xf numFmtId="0" fontId="85" fillId="0" borderId="207"/>
    <xf numFmtId="0" fontId="85" fillId="0" borderId="207"/>
    <xf numFmtId="0" fontId="85" fillId="0" borderId="207"/>
    <xf numFmtId="0" fontId="48" fillId="12" borderId="210" applyNumberFormat="0" applyAlignment="0" applyProtection="0"/>
    <xf numFmtId="0" fontId="48" fillId="12" borderId="210" applyNumberFormat="0" applyAlignment="0" applyProtection="0"/>
    <xf numFmtId="0" fontId="25" fillId="8" borderId="210" applyNumberFormat="0" applyAlignment="0" applyProtection="0"/>
    <xf numFmtId="0" fontId="29" fillId="12" borderId="209" applyNumberFormat="0" applyAlignment="0" applyProtection="0"/>
    <xf numFmtId="0" fontId="31" fillId="0" borderId="208" applyNumberFormat="0" applyFill="0" applyAlignment="0" applyProtection="0"/>
    <xf numFmtId="0" fontId="31" fillId="0" borderId="208" applyNumberFormat="0" applyFill="0" applyAlignment="0" applyProtection="0"/>
    <xf numFmtId="0" fontId="48" fillId="12" borderId="210" applyNumberFormat="0" applyAlignment="0" applyProtection="0"/>
    <xf numFmtId="0" fontId="8" fillId="10" borderId="211" applyNumberFormat="0" applyFont="0" applyAlignment="0" applyProtection="0"/>
    <xf numFmtId="0" fontId="49" fillId="10" borderId="211" applyNumberFormat="0" applyFont="0" applyAlignment="0" applyProtection="0"/>
    <xf numFmtId="0" fontId="28" fillId="0" borderId="207"/>
    <xf numFmtId="0" fontId="28" fillId="0" borderId="207"/>
    <xf numFmtId="0" fontId="31" fillId="0" borderId="213" applyNumberFormat="0" applyFill="0" applyAlignment="0" applyProtection="0"/>
    <xf numFmtId="0" fontId="85" fillId="0" borderId="207"/>
    <xf numFmtId="0" fontId="85" fillId="0" borderId="207"/>
    <xf numFmtId="0" fontId="48" fillId="12" borderId="210" applyNumberFormat="0" applyAlignment="0" applyProtection="0"/>
    <xf numFmtId="0" fontId="48" fillId="12" borderId="210" applyNumberFormat="0" applyAlignment="0" applyProtection="0"/>
    <xf numFmtId="0" fontId="25" fillId="8" borderId="210" applyNumberFormat="0" applyAlignment="0" applyProtection="0"/>
    <xf numFmtId="0" fontId="29" fillId="12" borderId="209" applyNumberFormat="0" applyAlignment="0" applyProtection="0"/>
    <xf numFmtId="0" fontId="31" fillId="0" borderId="208" applyNumberFormat="0" applyFill="0" applyAlignment="0" applyProtection="0"/>
    <xf numFmtId="0" fontId="31" fillId="0" borderId="208" applyNumberFormat="0" applyFill="0" applyAlignment="0" applyProtection="0"/>
    <xf numFmtId="0" fontId="48" fillId="12" borderId="237" applyNumberFormat="0" applyAlignment="0" applyProtection="0"/>
    <xf numFmtId="0" fontId="31" fillId="0" borderId="241" applyNumberFormat="0" applyFill="0" applyAlignment="0" applyProtection="0"/>
    <xf numFmtId="0" fontId="48" fillId="12" borderId="237" applyNumberFormat="0" applyAlignment="0" applyProtection="0"/>
    <xf numFmtId="0" fontId="16" fillId="24" borderId="237" applyNumberFormat="0" applyAlignment="0" applyProtection="0"/>
    <xf numFmtId="0" fontId="48" fillId="12" borderId="291" applyNumberFormat="0" applyAlignment="0" applyProtection="0"/>
    <xf numFmtId="0" fontId="25" fillId="8" borderId="237" applyNumberFormat="0" applyAlignment="0" applyProtection="0"/>
    <xf numFmtId="0" fontId="73" fillId="0" borderId="288" applyBorder="0">
      <alignment horizontal="center" vertical="center" wrapText="1"/>
    </xf>
    <xf numFmtId="0" fontId="48" fillId="12" borderId="291" applyNumberFormat="0" applyAlignment="0" applyProtection="0"/>
    <xf numFmtId="0" fontId="41" fillId="13" borderId="314" applyNumberFormat="0" applyAlignment="0" applyProtection="0"/>
    <xf numFmtId="0" fontId="31" fillId="0" borderId="267" applyNumberFormat="0" applyFill="0" applyAlignment="0" applyProtection="0"/>
    <xf numFmtId="0" fontId="31" fillId="0" borderId="246" applyNumberFormat="0" applyFill="0" applyAlignment="0" applyProtection="0"/>
    <xf numFmtId="0" fontId="31" fillId="0" borderId="252" applyNumberFormat="0" applyFill="0" applyAlignment="0" applyProtection="0"/>
    <xf numFmtId="0" fontId="32" fillId="24" borderId="214" applyNumberFormat="0" applyAlignment="0" applyProtection="0"/>
    <xf numFmtId="0" fontId="16" fillId="24" borderId="214" applyNumberFormat="0" applyAlignment="0" applyProtection="0"/>
    <xf numFmtId="0" fontId="48"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25" fillId="13" borderId="237" applyNumberFormat="0" applyAlignment="0" applyProtection="0"/>
    <xf numFmtId="0" fontId="48" fillId="24" borderId="314" applyNumberFormat="0" applyAlignment="0" applyProtection="0"/>
    <xf numFmtId="0" fontId="25" fillId="13" borderId="268" applyNumberFormat="0" applyAlignment="0" applyProtection="0"/>
    <xf numFmtId="0" fontId="25" fillId="13" borderId="214" applyNumberFormat="0" applyAlignment="0" applyProtection="0"/>
    <xf numFmtId="0" fontId="41" fillId="13" borderId="214" applyNumberFormat="0" applyAlignment="0" applyProtection="0"/>
    <xf numFmtId="0" fontId="25" fillId="13" borderId="214" applyNumberFormat="0" applyAlignment="0" applyProtection="0"/>
    <xf numFmtId="0" fontId="41" fillId="13" borderId="214" applyNumberFormat="0" applyAlignment="0" applyProtection="0"/>
    <xf numFmtId="0" fontId="25" fillId="13" borderId="214" applyNumberFormat="0" applyAlignment="0" applyProtection="0"/>
    <xf numFmtId="0" fontId="29" fillId="12" borderId="250" applyNumberFormat="0" applyAlignment="0" applyProtection="0"/>
    <xf numFmtId="0" fontId="31" fillId="0" borderId="219" applyNumberFormat="0" applyFill="0" applyAlignment="0" applyProtection="0"/>
    <xf numFmtId="0" fontId="85" fillId="0" borderId="218"/>
    <xf numFmtId="0" fontId="18" fillId="10" borderId="215" applyNumberFormat="0" applyFont="0" applyAlignment="0" applyProtection="0"/>
    <xf numFmtId="0" fontId="28" fillId="10" borderId="215" applyNumberFormat="0" applyFont="0" applyAlignment="0" applyProtection="0"/>
    <xf numFmtId="0" fontId="8" fillId="10" borderId="215" applyNumberFormat="0" applyFont="0" applyAlignment="0" applyProtection="0"/>
    <xf numFmtId="0" fontId="28" fillId="10" borderId="215" applyNumberFormat="0" applyFont="0" applyAlignment="0" applyProtection="0"/>
    <xf numFmtId="0" fontId="8" fillId="10" borderId="215" applyNumberFormat="0" applyFont="0" applyAlignment="0" applyProtection="0"/>
    <xf numFmtId="0" fontId="49" fillId="10" borderId="215" applyNumberFormat="0" applyFont="0" applyAlignment="0" applyProtection="0"/>
    <xf numFmtId="0" fontId="28" fillId="10" borderId="215" applyNumberFormat="0" applyFont="0" applyAlignment="0" applyProtection="0"/>
    <xf numFmtId="0" fontId="24" fillId="24" borderId="216" applyNumberFormat="0" applyAlignment="0" applyProtection="0"/>
    <xf numFmtId="0" fontId="24" fillId="24" borderId="216" applyNumberFormat="0" applyAlignment="0" applyProtection="0"/>
    <xf numFmtId="0" fontId="31" fillId="0" borderId="217" applyNumberFormat="0" applyFill="0" applyAlignment="0" applyProtection="0"/>
    <xf numFmtId="0" fontId="85" fillId="0" borderId="321"/>
    <xf numFmtId="0" fontId="29" fillId="12" borderId="271" applyNumberFormat="0" applyAlignment="0" applyProtection="0"/>
    <xf numFmtId="0" fontId="31" fillId="0" borderId="267" applyNumberFormat="0" applyFill="0" applyAlignment="0" applyProtection="0"/>
    <xf numFmtId="0" fontId="25" fillId="8" borderId="268" applyNumberFormat="0" applyAlignment="0" applyProtection="0"/>
    <xf numFmtId="0" fontId="24" fillId="24" borderId="270" applyNumberFormat="0" applyAlignment="0" applyProtection="0"/>
    <xf numFmtId="0" fontId="25" fillId="13" borderId="268" applyNumberFormat="0" applyAlignment="0" applyProtection="0"/>
    <xf numFmtId="0" fontId="28" fillId="0" borderId="275"/>
    <xf numFmtId="0" fontId="49" fillId="10" borderId="269" applyNumberFormat="0" applyFont="0" applyAlignment="0" applyProtection="0"/>
    <xf numFmtId="0" fontId="31" fillId="0" borderId="266" applyNumberFormat="0" applyFill="0" applyAlignment="0" applyProtection="0"/>
    <xf numFmtId="0" fontId="31" fillId="0" borderId="267" applyNumberFormat="0" applyFill="0" applyAlignment="0" applyProtection="0"/>
    <xf numFmtId="0" fontId="25" fillId="8" borderId="268" applyNumberFormat="0" applyAlignment="0" applyProtection="0"/>
    <xf numFmtId="0" fontId="31" fillId="0" borderId="266" applyNumberFormat="0" applyFill="0" applyAlignment="0" applyProtection="0"/>
    <xf numFmtId="0" fontId="31" fillId="0" borderId="267" applyNumberFormat="0" applyFill="0" applyAlignment="0" applyProtection="0"/>
    <xf numFmtId="0" fontId="48" fillId="12" borderId="268" applyNumberFormat="0" applyAlignment="0" applyProtection="0"/>
    <xf numFmtId="0" fontId="24" fillId="24" borderId="270" applyNumberFormat="0" applyAlignment="0" applyProtection="0"/>
    <xf numFmtId="0" fontId="31" fillId="0" borderId="273" applyNumberFormat="0" applyFill="0" applyAlignment="0" applyProtection="0"/>
    <xf numFmtId="0" fontId="18" fillId="10" borderId="269" applyNumberFormat="0" applyFont="0" applyAlignment="0" applyProtection="0"/>
    <xf numFmtId="0" fontId="16" fillId="24" borderId="268" applyNumberFormat="0" applyAlignment="0" applyProtection="0"/>
    <xf numFmtId="0" fontId="25" fillId="13" borderId="268" applyNumberFormat="0" applyAlignment="0" applyProtection="0"/>
    <xf numFmtId="0" fontId="25" fillId="8" borderId="268" applyNumberFormat="0" applyAlignment="0" applyProtection="0"/>
    <xf numFmtId="0" fontId="31" fillId="0" borderId="273" applyNumberFormat="0" applyFill="0" applyAlignment="0" applyProtection="0"/>
    <xf numFmtId="0" fontId="48" fillId="24" borderId="268" applyNumberFormat="0" applyAlignment="0" applyProtection="0"/>
    <xf numFmtId="0" fontId="28" fillId="10" borderId="269" applyNumberFormat="0" applyFont="0" applyAlignment="0" applyProtection="0"/>
    <xf numFmtId="0" fontId="28" fillId="10" borderId="269" applyNumberFormat="0" applyFont="0" applyAlignment="0" applyProtection="0"/>
    <xf numFmtId="0" fontId="49" fillId="10" borderId="269" applyNumberFormat="0" applyFont="0" applyAlignment="0" applyProtection="0"/>
    <xf numFmtId="0" fontId="48" fillId="12" borderId="268" applyNumberFormat="0" applyAlignment="0" applyProtection="0"/>
    <xf numFmtId="0" fontId="48" fillId="12" borderId="268" applyNumberFormat="0" applyAlignment="0" applyProtection="0"/>
    <xf numFmtId="0" fontId="85" fillId="0" borderId="275"/>
    <xf numFmtId="0" fontId="31" fillId="0" borderId="319" applyNumberFormat="0" applyFill="0" applyAlignment="0" applyProtection="0"/>
    <xf numFmtId="0" fontId="49" fillId="10" borderId="315" applyNumberFormat="0" applyFont="0" applyAlignment="0" applyProtection="0"/>
    <xf numFmtId="0" fontId="32" fillId="24" borderId="314" applyNumberFormat="0" applyAlignment="0" applyProtection="0"/>
    <xf numFmtId="0" fontId="85" fillId="0" borderId="321"/>
    <xf numFmtId="0" fontId="16" fillId="24" borderId="323" applyNumberFormat="0" applyAlignment="0" applyProtection="0"/>
    <xf numFmtId="0" fontId="49" fillId="10" borderId="292" applyNumberFormat="0" applyFont="0" applyAlignment="0" applyProtection="0"/>
    <xf numFmtId="0" fontId="29" fillId="24" borderId="294" applyNumberFormat="0" applyAlignment="0" applyProtection="0"/>
    <xf numFmtId="0" fontId="8" fillId="10" borderId="244" applyNumberFormat="0" applyFont="0" applyAlignment="0" applyProtection="0"/>
    <xf numFmtId="0" fontId="31" fillId="0" borderId="252" applyNumberFormat="0" applyFill="0" applyAlignment="0" applyProtection="0"/>
    <xf numFmtId="0" fontId="29" fillId="24" borderId="250" applyNumberFormat="0" applyAlignment="0" applyProtection="0"/>
    <xf numFmtId="0" fontId="29" fillId="24" borderId="250" applyNumberFormat="0" applyAlignment="0" applyProtection="0"/>
    <xf numFmtId="0" fontId="29" fillId="24" borderId="317" applyNumberFormat="0" applyAlignment="0" applyProtection="0"/>
    <xf numFmtId="0" fontId="48" fillId="24" borderId="268" applyNumberFormat="0" applyAlignment="0" applyProtection="0"/>
    <xf numFmtId="0" fontId="85" fillId="0" borderId="321"/>
    <xf numFmtId="0" fontId="32" fillId="24" borderId="268" applyNumberFormat="0" applyAlignment="0" applyProtection="0"/>
    <xf numFmtId="0" fontId="73" fillId="0" borderId="274" applyBorder="0">
      <alignment horizontal="center" vertical="center" wrapText="1"/>
    </xf>
    <xf numFmtId="0" fontId="48" fillId="24" borderId="314" applyNumberFormat="0" applyAlignment="0" applyProtection="0"/>
    <xf numFmtId="0" fontId="28" fillId="10" borderId="269" applyNumberFormat="0" applyFont="0" applyAlignment="0" applyProtection="0"/>
    <xf numFmtId="0" fontId="48" fillId="24" borderId="243" applyNumberFormat="0" applyAlignment="0" applyProtection="0"/>
    <xf numFmtId="0" fontId="16" fillId="24" borderId="243" applyNumberFormat="0" applyAlignment="0" applyProtection="0"/>
    <xf numFmtId="0" fontId="16" fillId="24" borderId="268" applyNumberFormat="0" applyAlignment="0" applyProtection="0"/>
    <xf numFmtId="0" fontId="8" fillId="10" borderId="292" applyNumberFormat="0" applyFont="0" applyAlignment="0" applyProtection="0"/>
    <xf numFmtId="0" fontId="25" fillId="13" borderId="243" applyNumberFormat="0" applyAlignment="0" applyProtection="0"/>
    <xf numFmtId="0" fontId="25" fillId="13" borderId="243" applyNumberFormat="0" applyAlignment="0" applyProtection="0"/>
    <xf numFmtId="0" fontId="49" fillId="10" borderId="244" applyNumberFormat="0" applyFont="0" applyAlignment="0" applyProtection="0"/>
    <xf numFmtId="0" fontId="24" fillId="24" borderId="245" applyNumberFormat="0" applyAlignment="0" applyProtection="0"/>
    <xf numFmtId="0" fontId="31" fillId="0" borderId="313" applyNumberFormat="0" applyFill="0" applyAlignment="0" applyProtection="0"/>
    <xf numFmtId="0" fontId="29" fillId="24" borderId="317" applyNumberFormat="0" applyAlignment="0" applyProtection="0"/>
    <xf numFmtId="0" fontId="31" fillId="0" borderId="312" applyNumberFormat="0" applyFill="0" applyAlignment="0" applyProtection="0"/>
    <xf numFmtId="0" fontId="28" fillId="0" borderId="275"/>
    <xf numFmtId="0" fontId="32" fillId="24" borderId="277" applyNumberFormat="0" applyAlignment="0" applyProtection="0"/>
    <xf numFmtId="0" fontId="85" fillId="73" borderId="321"/>
    <xf numFmtId="0" fontId="31" fillId="0" borderId="312" applyNumberFormat="0" applyFill="0" applyAlignment="0" applyProtection="0"/>
    <xf numFmtId="0" fontId="29" fillId="12" borderId="317" applyNumberFormat="0" applyAlignment="0" applyProtection="0"/>
    <xf numFmtId="0" fontId="31" fillId="0" borderId="313" applyNumberFormat="0" applyFill="0" applyAlignment="0" applyProtection="0"/>
    <xf numFmtId="0" fontId="28" fillId="10" borderId="315" applyNumberFormat="0" applyFont="0" applyAlignment="0" applyProtection="0"/>
    <xf numFmtId="0" fontId="28" fillId="10" borderId="292" applyNumberFormat="0" applyFont="0" applyAlignment="0" applyProtection="0"/>
    <xf numFmtId="0" fontId="31" fillId="0" borderId="295" applyNumberFormat="0" applyFill="0" applyAlignment="0" applyProtection="0"/>
    <xf numFmtId="0" fontId="31" fillId="0" borderId="290" applyNumberFormat="0" applyFill="0" applyAlignment="0" applyProtection="0"/>
    <xf numFmtId="0" fontId="31" fillId="0" borderId="313" applyNumberFormat="0" applyFill="0" applyAlignment="0" applyProtection="0"/>
    <xf numFmtId="0" fontId="41" fillId="13" borderId="307" applyNumberFormat="0" applyAlignment="0" applyProtection="0"/>
    <xf numFmtId="0" fontId="29" fillId="12" borderId="294" applyNumberFormat="0" applyAlignment="0" applyProtection="0"/>
    <xf numFmtId="0" fontId="31" fillId="0" borderId="296" applyNumberFormat="0" applyFill="0" applyAlignment="0" applyProtection="0"/>
    <xf numFmtId="0" fontId="31" fillId="0" borderId="290" applyNumberFormat="0" applyFill="0" applyAlignment="0" applyProtection="0"/>
    <xf numFmtId="0" fontId="31" fillId="0" borderId="313" applyNumberFormat="0" applyFill="0" applyAlignment="0" applyProtection="0"/>
    <xf numFmtId="0" fontId="16" fillId="24" borderId="261" applyNumberFormat="0" applyAlignment="0" applyProtection="0"/>
    <xf numFmtId="0" fontId="31" fillId="0" borderId="272" applyNumberFormat="0" applyFill="0" applyAlignment="0" applyProtection="0"/>
    <xf numFmtId="0" fontId="31" fillId="0" borderId="266" applyNumberFormat="0" applyFill="0" applyAlignment="0" applyProtection="0"/>
    <xf numFmtId="0" fontId="29" fillId="24" borderId="306" applyNumberFormat="0" applyAlignment="0" applyProtection="0"/>
    <xf numFmtId="0" fontId="8" fillId="10" borderId="315" applyNumberFormat="0" applyFont="0" applyAlignment="0" applyProtection="0"/>
    <xf numFmtId="0" fontId="41" fillId="13" borderId="291" applyNumberFormat="0" applyAlignment="0" applyProtection="0"/>
    <xf numFmtId="0" fontId="85" fillId="0" borderId="275"/>
    <xf numFmtId="0" fontId="24" fillId="24" borderId="270" applyNumberFormat="0" applyAlignment="0" applyProtection="0"/>
    <xf numFmtId="0" fontId="25" fillId="8" borderId="268" applyNumberFormat="0" applyAlignment="0" applyProtection="0"/>
    <xf numFmtId="0" fontId="25" fillId="13" borderId="277" applyNumberFormat="0" applyAlignment="0" applyProtection="0"/>
    <xf numFmtId="0" fontId="31" fillId="0" borderId="280" applyNumberFormat="0" applyFill="0" applyAlignment="0" applyProtection="0"/>
    <xf numFmtId="0" fontId="18" fillId="10" borderId="315" applyNumberFormat="0" applyFont="0" applyAlignment="0" applyProtection="0"/>
    <xf numFmtId="0" fontId="31" fillId="0" borderId="319" applyNumberFormat="0" applyFill="0" applyAlignment="0" applyProtection="0"/>
    <xf numFmtId="0" fontId="28" fillId="10" borderId="315" applyNumberFormat="0" applyFont="0" applyAlignment="0" applyProtection="0"/>
    <xf numFmtId="0" fontId="8" fillId="10" borderId="315" applyNumberFormat="0" applyFont="0" applyAlignment="0" applyProtection="0"/>
    <xf numFmtId="0" fontId="28" fillId="0" borderId="298"/>
    <xf numFmtId="0" fontId="28" fillId="0" borderId="298"/>
    <xf numFmtId="0" fontId="31" fillId="0" borderId="296" applyNumberFormat="0" applyFill="0" applyAlignment="0" applyProtection="0"/>
    <xf numFmtId="0" fontId="41" fillId="13" borderId="291" applyNumberFormat="0" applyAlignment="0" applyProtection="0"/>
    <xf numFmtId="0" fontId="31" fillId="0" borderId="290" applyNumberFormat="0" applyFill="0" applyAlignment="0" applyProtection="0"/>
    <xf numFmtId="0" fontId="16" fillId="24" borderId="291" applyNumberFormat="0" applyAlignment="0" applyProtection="0"/>
    <xf numFmtId="0" fontId="48" fillId="24" borderId="291" applyNumberFormat="0" applyAlignment="0" applyProtection="0"/>
    <xf numFmtId="0" fontId="31" fillId="0" borderId="312" applyNumberFormat="0" applyFill="0" applyAlignment="0" applyProtection="0"/>
    <xf numFmtId="0" fontId="32" fillId="24" borderId="314" applyNumberFormat="0" applyAlignment="0" applyProtection="0"/>
    <xf numFmtId="0" fontId="49" fillId="10" borderId="315" applyNumberFormat="0" applyFont="0" applyAlignment="0" applyProtection="0"/>
    <xf numFmtId="0" fontId="16" fillId="24" borderId="291" applyNumberFormat="0" applyAlignment="0" applyProtection="0"/>
    <xf numFmtId="0" fontId="16" fillId="24" borderId="254" applyNumberFormat="0" applyAlignment="0" applyProtection="0"/>
    <xf numFmtId="0" fontId="32" fillId="24" borderId="254" applyNumberFormat="0" applyAlignment="0" applyProtection="0"/>
    <xf numFmtId="0" fontId="31" fillId="0" borderId="249" applyNumberFormat="0" applyFill="0" applyAlignment="0" applyProtection="0"/>
    <xf numFmtId="0" fontId="28" fillId="0" borderId="247"/>
    <xf numFmtId="0" fontId="29" fillId="12" borderId="250" applyNumberFormat="0" applyAlignment="0" applyProtection="0"/>
    <xf numFmtId="0" fontId="28" fillId="0" borderId="247"/>
    <xf numFmtId="0" fontId="49" fillId="10" borderId="244" applyNumberFormat="0" applyFont="0" applyAlignment="0" applyProtection="0"/>
    <xf numFmtId="0" fontId="28" fillId="10" borderId="244" applyNumberFormat="0" applyFont="0" applyAlignment="0" applyProtection="0"/>
    <xf numFmtId="0" fontId="31" fillId="0" borderId="249" applyNumberFormat="0" applyFill="0" applyAlignment="0" applyProtection="0"/>
    <xf numFmtId="0" fontId="24" fillId="24" borderId="245" applyNumberFormat="0" applyAlignment="0" applyProtection="0"/>
    <xf numFmtId="0" fontId="29" fillId="24" borderId="250" applyNumberFormat="0" applyAlignment="0" applyProtection="0"/>
    <xf numFmtId="0" fontId="8" fillId="10" borderId="244" applyNumberFormat="0" applyFont="0" applyAlignment="0" applyProtection="0"/>
    <xf numFmtId="0" fontId="8" fillId="10" borderId="244" applyNumberFormat="0" applyFont="0" applyAlignment="0" applyProtection="0"/>
    <xf numFmtId="0" fontId="31" fillId="0" borderId="246" applyNumberFormat="0" applyFill="0" applyAlignment="0" applyProtection="0"/>
    <xf numFmtId="0" fontId="31" fillId="0" borderId="252" applyNumberFormat="0" applyFill="0" applyAlignment="0" applyProtection="0"/>
    <xf numFmtId="0" fontId="31" fillId="0" borderId="252" applyNumberFormat="0" applyFill="0" applyAlignment="0" applyProtection="0"/>
    <xf numFmtId="0" fontId="31" fillId="0" borderId="249" applyNumberFormat="0" applyFill="0" applyAlignment="0" applyProtection="0"/>
    <xf numFmtId="0" fontId="31" fillId="0" borderId="252" applyNumberFormat="0" applyFill="0" applyAlignment="0" applyProtection="0"/>
    <xf numFmtId="0" fontId="18" fillId="10" borderId="244" applyNumberFormat="0" applyFont="0" applyAlignment="0" applyProtection="0"/>
    <xf numFmtId="0" fontId="24" fillId="24" borderId="245" applyNumberFormat="0" applyAlignment="0" applyProtection="0"/>
    <xf numFmtId="0" fontId="8" fillId="10" borderId="244" applyNumberFormat="0" applyFont="0" applyAlignment="0" applyProtection="0"/>
    <xf numFmtId="0" fontId="29" fillId="24" borderId="250" applyNumberFormat="0" applyAlignment="0" applyProtection="0"/>
    <xf numFmtId="0" fontId="85" fillId="0" borderId="247"/>
    <xf numFmtId="0" fontId="28" fillId="0" borderId="247"/>
    <xf numFmtId="0" fontId="31" fillId="0" borderId="318" applyNumberFormat="0" applyFill="0" applyAlignment="0" applyProtection="0"/>
    <xf numFmtId="0" fontId="28" fillId="10" borderId="269" applyNumberFormat="0" applyFont="0" applyAlignment="0" applyProtection="0"/>
    <xf numFmtId="0" fontId="16" fillId="24" borderId="323" applyNumberFormat="0" applyAlignment="0" applyProtection="0"/>
    <xf numFmtId="0" fontId="25" fillId="8" borderId="291" applyNumberFormat="0" applyAlignment="0" applyProtection="0"/>
    <xf numFmtId="0" fontId="8" fillId="45" borderId="299" applyNumberFormat="0" applyFont="0" applyAlignment="0" applyProtection="0"/>
    <xf numFmtId="0" fontId="48" fillId="12" borderId="291" applyNumberFormat="0" applyAlignment="0" applyProtection="0"/>
    <xf numFmtId="0" fontId="28" fillId="10" borderId="292" applyNumberFormat="0" applyFont="0" applyAlignment="0" applyProtection="0"/>
    <xf numFmtId="0" fontId="49" fillId="10" borderId="292" applyNumberFormat="0" applyFont="0" applyAlignment="0" applyProtection="0"/>
    <xf numFmtId="0" fontId="31" fillId="0" borderId="289" applyNumberFormat="0" applyFill="0" applyAlignment="0" applyProtection="0"/>
    <xf numFmtId="0" fontId="31" fillId="0" borderId="252" applyNumberFormat="0" applyFill="0" applyAlignment="0" applyProtection="0"/>
    <xf numFmtId="0" fontId="49" fillId="10" borderId="269" applyNumberFormat="0" applyFont="0" applyAlignment="0" applyProtection="0"/>
    <xf numFmtId="0" fontId="85" fillId="0" borderId="275"/>
    <xf numFmtId="0" fontId="29" fillId="24" borderId="317" applyNumberFormat="0" applyAlignment="0" applyProtection="0"/>
    <xf numFmtId="0" fontId="48" fillId="12" borderId="291" applyNumberFormat="0" applyAlignment="0" applyProtection="0"/>
    <xf numFmtId="0" fontId="28" fillId="0" borderId="298"/>
    <xf numFmtId="0" fontId="8" fillId="10" borderId="292" applyNumberFormat="0" applyFont="0" applyAlignment="0" applyProtection="0"/>
    <xf numFmtId="0" fontId="73" fillId="0" borderId="248" applyBorder="0">
      <alignment horizontal="center" vertical="center" wrapText="1"/>
    </xf>
    <xf numFmtId="0" fontId="16" fillId="24" borderId="284" applyNumberFormat="0" applyAlignment="0" applyProtection="0"/>
    <xf numFmtId="0" fontId="48" fillId="12" borderId="268" applyNumberFormat="0" applyAlignment="0" applyProtection="0"/>
    <xf numFmtId="0" fontId="48" fillId="12" borderId="314" applyNumberFormat="0" applyAlignment="0" applyProtection="0"/>
    <xf numFmtId="0" fontId="73" fillId="0" borderId="311" applyBorder="0">
      <alignment horizontal="center" vertical="center" wrapText="1"/>
    </xf>
    <xf numFmtId="0" fontId="24" fillId="24" borderId="325" applyNumberFormat="0" applyAlignment="0" applyProtection="0"/>
    <xf numFmtId="0" fontId="24" fillId="24" borderId="316" applyNumberFormat="0" applyAlignment="0" applyProtection="0"/>
    <xf numFmtId="0" fontId="29" fillId="24" borderId="317" applyNumberFormat="0" applyAlignment="0" applyProtection="0"/>
    <xf numFmtId="0" fontId="25" fillId="13" borderId="314" applyNumberFormat="0" applyAlignment="0" applyProtection="0"/>
    <xf numFmtId="0" fontId="28" fillId="0" borderId="298"/>
    <xf numFmtId="0" fontId="16" fillId="24" borderId="291" applyNumberFormat="0" applyAlignment="0" applyProtection="0"/>
    <xf numFmtId="0" fontId="25" fillId="13" borderId="291" applyNumberFormat="0" applyAlignment="0" applyProtection="0"/>
    <xf numFmtId="0" fontId="24" fillId="24" borderId="316" applyNumberFormat="0" applyAlignment="0" applyProtection="0"/>
    <xf numFmtId="0" fontId="16" fillId="24" borderId="291" applyNumberFormat="0" applyAlignment="0" applyProtection="0"/>
    <xf numFmtId="0" fontId="28" fillId="10" borderId="315" applyNumberFormat="0" applyFont="0" applyAlignment="0" applyProtection="0"/>
    <xf numFmtId="0" fontId="28" fillId="10" borderId="315" applyNumberFormat="0" applyFont="0" applyAlignment="0" applyProtection="0"/>
    <xf numFmtId="0" fontId="73" fillId="0" borderId="265" applyBorder="0">
      <alignment horizontal="center" vertical="center" wrapText="1"/>
    </xf>
    <xf numFmtId="0" fontId="16" fillId="24" borderId="268" applyNumberFormat="0" applyAlignment="0" applyProtection="0"/>
    <xf numFmtId="0" fontId="28" fillId="0" borderId="321"/>
    <xf numFmtId="0" fontId="29" fillId="24" borderId="271" applyNumberFormat="0" applyAlignment="0" applyProtection="0"/>
    <xf numFmtId="0" fontId="29" fillId="12" borderId="271" applyNumberFormat="0" applyAlignment="0" applyProtection="0"/>
    <xf numFmtId="0" fontId="31" fillId="0" borderId="295" applyNumberFormat="0" applyFill="0" applyAlignment="0" applyProtection="0"/>
    <xf numFmtId="0" fontId="28" fillId="10" borderId="278" applyNumberFormat="0" applyFont="0" applyAlignment="0" applyProtection="0"/>
    <xf numFmtId="0" fontId="16" fillId="24" borderId="314" applyNumberFormat="0" applyAlignment="0" applyProtection="0"/>
    <xf numFmtId="0" fontId="16" fillId="24" borderId="307" applyNumberFormat="0" applyAlignment="0" applyProtection="0"/>
    <xf numFmtId="0" fontId="49" fillId="10" borderId="315" applyNumberFormat="0" applyFont="0" applyAlignment="0" applyProtection="0"/>
    <xf numFmtId="0" fontId="25" fillId="13" borderId="314" applyNumberFormat="0" applyAlignment="0" applyProtection="0"/>
    <xf numFmtId="0" fontId="18" fillId="10" borderId="292" applyNumberFormat="0" applyFont="0" applyAlignment="0" applyProtection="0"/>
    <xf numFmtId="0" fontId="85" fillId="0" borderId="298"/>
    <xf numFmtId="0" fontId="32" fillId="24" borderId="284" applyNumberFormat="0" applyAlignment="0" applyProtection="0"/>
    <xf numFmtId="0" fontId="8" fillId="10" borderId="315" applyNumberFormat="0" applyFont="0" applyAlignment="0" applyProtection="0"/>
    <xf numFmtId="0" fontId="28" fillId="10" borderId="255" applyNumberFormat="0" applyFont="0" applyAlignment="0" applyProtection="0"/>
    <xf numFmtId="0" fontId="25" fillId="13" borderId="254" applyNumberFormat="0" applyAlignment="0" applyProtection="0"/>
    <xf numFmtId="0" fontId="85" fillId="0" borderId="247"/>
    <xf numFmtId="0" fontId="49" fillId="10" borderId="244" applyNumberFormat="0" applyFont="0" applyAlignment="0" applyProtection="0"/>
    <xf numFmtId="0" fontId="31" fillId="0" borderId="251" applyNumberFormat="0" applyFill="0" applyAlignment="0" applyProtection="0"/>
    <xf numFmtId="0" fontId="28" fillId="10" borderId="244" applyNumberFormat="0" applyFont="0" applyAlignment="0" applyProtection="0"/>
    <xf numFmtId="0" fontId="29" fillId="24" borderId="250" applyNumberFormat="0" applyAlignment="0" applyProtection="0"/>
    <xf numFmtId="0" fontId="49" fillId="10" borderId="244" applyNumberFormat="0" applyFont="0" applyAlignment="0" applyProtection="0"/>
    <xf numFmtId="0" fontId="31" fillId="0" borderId="252" applyNumberFormat="0" applyFill="0" applyAlignment="0" applyProtection="0"/>
    <xf numFmtId="0" fontId="29" fillId="12" borderId="250" applyNumberFormat="0" applyAlignment="0" applyProtection="0"/>
    <xf numFmtId="0" fontId="29" fillId="24" borderId="250" applyNumberFormat="0" applyAlignment="0" applyProtection="0"/>
    <xf numFmtId="0" fontId="28" fillId="10" borderId="244" applyNumberFormat="0" applyFont="0" applyAlignment="0" applyProtection="0"/>
    <xf numFmtId="0" fontId="49" fillId="10" borderId="244" applyNumberFormat="0" applyFont="0" applyAlignment="0" applyProtection="0"/>
    <xf numFmtId="0" fontId="24" fillId="24" borderId="293" applyNumberFormat="0" applyAlignment="0" applyProtection="0"/>
    <xf numFmtId="0" fontId="29" fillId="12" borderId="317" applyNumberFormat="0" applyAlignment="0" applyProtection="0"/>
    <xf numFmtId="0" fontId="28" fillId="10" borderId="262" applyNumberFormat="0" applyFont="0" applyAlignment="0" applyProtection="0"/>
    <xf numFmtId="0" fontId="28" fillId="10" borderId="262" applyNumberFormat="0" applyFont="0" applyAlignment="0" applyProtection="0"/>
    <xf numFmtId="0" fontId="41" fillId="13" borderId="254" applyNumberFormat="0" applyAlignment="0" applyProtection="0"/>
    <xf numFmtId="0" fontId="31" fillId="0" borderId="252" applyNumberFormat="0" applyFill="0" applyAlignment="0" applyProtection="0"/>
    <xf numFmtId="0" fontId="28" fillId="0" borderId="298"/>
    <xf numFmtId="0" fontId="31" fillId="0" borderId="313" applyNumberFormat="0" applyFill="0" applyAlignment="0" applyProtection="0"/>
    <xf numFmtId="0" fontId="8" fillId="10" borderId="269" applyNumberFormat="0" applyFont="0" applyAlignment="0" applyProtection="0"/>
    <xf numFmtId="0" fontId="16" fillId="24" borderId="268" applyNumberFormat="0" applyAlignment="0" applyProtection="0"/>
    <xf numFmtId="0" fontId="31" fillId="0" borderId="267" applyNumberFormat="0" applyFill="0" applyAlignment="0" applyProtection="0"/>
    <xf numFmtId="0" fontId="28" fillId="10" borderId="269" applyNumberFormat="0" applyFont="0" applyAlignment="0" applyProtection="0"/>
    <xf numFmtId="0" fontId="41" fillId="13" borderId="268" applyNumberFormat="0" applyAlignment="0" applyProtection="0"/>
    <xf numFmtId="0" fontId="31" fillId="0" borderId="273" applyNumberFormat="0" applyFill="0" applyAlignment="0" applyProtection="0"/>
    <xf numFmtId="0" fontId="73" fillId="0" borderId="274" applyBorder="0">
      <alignment horizontal="center" vertical="center" wrapText="1"/>
    </xf>
    <xf numFmtId="0" fontId="32" fillId="24" borderId="237" applyNumberFormat="0" applyAlignment="0" applyProtection="0"/>
    <xf numFmtId="0" fontId="16" fillId="24" borderId="237" applyNumberFormat="0" applyAlignment="0" applyProtection="0"/>
    <xf numFmtId="0" fontId="31" fillId="0" borderId="273" applyNumberFormat="0" applyFill="0" applyAlignment="0" applyProtection="0"/>
    <xf numFmtId="0" fontId="31" fillId="0" borderId="267" applyNumberFormat="0" applyFill="0" applyAlignment="0" applyProtection="0"/>
    <xf numFmtId="0" fontId="25" fillId="8" borderId="268" applyNumberFormat="0" applyAlignment="0" applyProtection="0"/>
    <xf numFmtId="0" fontId="31" fillId="0" borderId="273" applyNumberFormat="0" applyFill="0" applyAlignment="0" applyProtection="0"/>
    <xf numFmtId="0" fontId="29" fillId="24" borderId="271" applyNumberFormat="0" applyAlignment="0" applyProtection="0"/>
    <xf numFmtId="0" fontId="28" fillId="10" borderId="269" applyNumberFormat="0" applyFont="0" applyAlignment="0" applyProtection="0"/>
    <xf numFmtId="0" fontId="16" fillId="24" borderId="268" applyNumberFormat="0" applyAlignment="0" applyProtection="0"/>
    <xf numFmtId="0" fontId="31" fillId="0" borderId="289" applyNumberFormat="0" applyFill="0" applyAlignment="0" applyProtection="0"/>
    <xf numFmtId="0" fontId="48" fillId="12" borderId="314" applyNumberFormat="0" applyAlignment="0" applyProtection="0"/>
    <xf numFmtId="0" fontId="48" fillId="24" borderId="314" applyNumberFormat="0" applyAlignment="0" applyProtection="0"/>
    <xf numFmtId="0" fontId="29" fillId="24" borderId="271" applyNumberFormat="0" applyAlignment="0" applyProtection="0"/>
    <xf numFmtId="0" fontId="31" fillId="0" borderId="266" applyNumberFormat="0" applyFill="0" applyAlignment="0" applyProtection="0"/>
    <xf numFmtId="0" fontId="31" fillId="0" borderId="272" applyNumberFormat="0" applyFill="0" applyAlignment="0" applyProtection="0"/>
    <xf numFmtId="0" fontId="29" fillId="12" borderId="271" applyNumberFormat="0" applyAlignment="0" applyProtection="0"/>
    <xf numFmtId="0" fontId="25" fillId="13" borderId="268" applyNumberFormat="0" applyAlignment="0" applyProtection="0"/>
    <xf numFmtId="0" fontId="31" fillId="0" borderId="319" applyNumberFormat="0" applyFill="0" applyAlignment="0" applyProtection="0"/>
    <xf numFmtId="0" fontId="28" fillId="10" borderId="324" applyNumberFormat="0" applyFont="0" applyAlignment="0" applyProtection="0"/>
    <xf numFmtId="0" fontId="85" fillId="0" borderId="275"/>
    <xf numFmtId="0" fontId="29" fillId="24" borderId="271" applyNumberFormat="0" applyAlignment="0" applyProtection="0"/>
    <xf numFmtId="0" fontId="31" fillId="0" borderId="267" applyNumberFormat="0" applyFill="0" applyAlignment="0" applyProtection="0"/>
    <xf numFmtId="0" fontId="48" fillId="24" borderId="268" applyNumberFormat="0" applyAlignment="0" applyProtection="0"/>
    <xf numFmtId="0" fontId="8" fillId="10" borderId="269" applyNumberFormat="0" applyFont="0" applyAlignment="0" applyProtection="0"/>
    <xf numFmtId="0" fontId="31" fillId="0" borderId="272" applyNumberFormat="0" applyFill="0" applyAlignment="0" applyProtection="0"/>
    <xf numFmtId="0" fontId="31" fillId="0" borderId="273" applyNumberFormat="0" applyFill="0" applyAlignment="0" applyProtection="0"/>
    <xf numFmtId="0" fontId="18" fillId="10" borderId="269" applyNumberFormat="0" applyFont="0" applyAlignment="0" applyProtection="0"/>
    <xf numFmtId="0" fontId="28" fillId="10" borderId="269" applyNumberFormat="0" applyFont="0" applyAlignment="0" applyProtection="0"/>
    <xf numFmtId="0" fontId="48" fillId="24" borderId="268" applyNumberFormat="0" applyAlignment="0" applyProtection="0"/>
    <xf numFmtId="0" fontId="48" fillId="12" borderId="268" applyNumberFormat="0" applyAlignment="0" applyProtection="0"/>
    <xf numFmtId="0" fontId="16" fillId="24" borderId="268" applyNumberFormat="0" applyAlignment="0" applyProtection="0"/>
    <xf numFmtId="0" fontId="73" fillId="0" borderId="274" applyBorder="0">
      <alignment horizontal="center" vertical="center" wrapText="1"/>
    </xf>
    <xf numFmtId="0" fontId="31" fillId="0" borderId="272" applyNumberFormat="0" applyFill="0" applyAlignment="0" applyProtection="0"/>
    <xf numFmtId="0" fontId="31" fillId="0" borderId="272" applyNumberFormat="0" applyFill="0" applyAlignment="0" applyProtection="0"/>
    <xf numFmtId="0" fontId="49" fillId="10" borderId="269" applyNumberFormat="0" applyFont="0" applyAlignment="0" applyProtection="0"/>
    <xf numFmtId="0" fontId="8" fillId="10" borderId="269" applyNumberFormat="0" applyFont="0" applyAlignment="0" applyProtection="0"/>
    <xf numFmtId="0" fontId="31" fillId="0" borderId="266" applyNumberFormat="0" applyFill="0" applyAlignment="0" applyProtection="0"/>
    <xf numFmtId="0" fontId="48" fillId="24" borderId="268" applyNumberFormat="0" applyAlignment="0" applyProtection="0"/>
    <xf numFmtId="0" fontId="25" fillId="8" borderId="268" applyNumberFormat="0" applyAlignment="0" applyProtection="0"/>
    <xf numFmtId="0" fontId="49" fillId="10" borderId="269" applyNumberFormat="0" applyFont="0" applyAlignment="0" applyProtection="0"/>
    <xf numFmtId="0" fontId="31" fillId="0" borderId="272" applyNumberFormat="0" applyFill="0" applyAlignment="0" applyProtection="0"/>
    <xf numFmtId="0" fontId="32" fillId="24" borderId="268" applyNumberFormat="0" applyAlignment="0" applyProtection="0"/>
    <xf numFmtId="0" fontId="16" fillId="24" borderId="268" applyNumberFormat="0" applyAlignment="0" applyProtection="0"/>
    <xf numFmtId="0" fontId="28" fillId="10" borderId="269" applyNumberFormat="0" applyFont="0" applyAlignment="0" applyProtection="0"/>
    <xf numFmtId="0" fontId="8" fillId="10" borderId="269" applyNumberFormat="0" applyFont="0" applyAlignment="0" applyProtection="0"/>
    <xf numFmtId="0" fontId="29" fillId="24" borderId="271" applyNumberFormat="0" applyAlignment="0" applyProtection="0"/>
    <xf numFmtId="0" fontId="25" fillId="13" borderId="268" applyNumberFormat="0" applyAlignment="0" applyProtection="0"/>
    <xf numFmtId="0" fontId="18" fillId="10" borderId="269" applyNumberFormat="0" applyFont="0" applyAlignment="0" applyProtection="0"/>
    <xf numFmtId="0" fontId="24" fillId="24" borderId="270" applyNumberFormat="0" applyAlignment="0" applyProtection="0"/>
    <xf numFmtId="0" fontId="28" fillId="0" borderId="275"/>
    <xf numFmtId="0" fontId="73" fillId="0" borderId="265" applyBorder="0">
      <alignment horizontal="center" vertical="center" wrapText="1"/>
    </xf>
    <xf numFmtId="0" fontId="48" fillId="12" borderId="268" applyNumberFormat="0" applyAlignment="0" applyProtection="0"/>
    <xf numFmtId="0" fontId="48" fillId="24" borderId="268" applyNumberFormat="0" applyAlignment="0" applyProtection="0"/>
    <xf numFmtId="0" fontId="31" fillId="0" borderId="272" applyNumberFormat="0" applyFill="0" applyAlignment="0" applyProtection="0"/>
    <xf numFmtId="0" fontId="31" fillId="0" borderId="266" applyNumberFormat="0" applyFill="0" applyAlignment="0" applyProtection="0"/>
    <xf numFmtId="0" fontId="16" fillId="24" borderId="268" applyNumberFormat="0" applyAlignment="0" applyProtection="0"/>
    <xf numFmtId="0" fontId="31" fillId="0" borderId="272" applyNumberFormat="0" applyFill="0" applyAlignment="0" applyProtection="0"/>
    <xf numFmtId="0" fontId="8" fillId="45" borderId="276" applyNumberFormat="0" applyFont="0" applyAlignment="0" applyProtection="0"/>
    <xf numFmtId="0" fontId="85" fillId="0" borderId="275"/>
    <xf numFmtId="0" fontId="29" fillId="12" borderId="271" applyNumberFormat="0" applyAlignment="0" applyProtection="0"/>
    <xf numFmtId="0" fontId="49" fillId="10" borderId="269" applyNumberFormat="0" applyFont="0" applyAlignment="0" applyProtection="0"/>
    <xf numFmtId="0" fontId="28" fillId="0" borderId="275"/>
    <xf numFmtId="0" fontId="48" fillId="12" borderId="268" applyNumberFormat="0" applyAlignment="0" applyProtection="0"/>
    <xf numFmtId="0" fontId="31" fillId="0" borderId="273" applyNumberFormat="0" applyFill="0" applyAlignment="0" applyProtection="0"/>
    <xf numFmtId="0" fontId="31" fillId="0" borderId="318" applyNumberFormat="0" applyFill="0" applyAlignment="0" applyProtection="0"/>
    <xf numFmtId="0" fontId="31" fillId="0" borderId="312" applyNumberFormat="0" applyFill="0" applyAlignment="0" applyProtection="0"/>
    <xf numFmtId="0" fontId="16" fillId="24" borderId="314" applyNumberFormat="0" applyAlignment="0" applyProtection="0"/>
    <xf numFmtId="0" fontId="29" fillId="24" borderId="317" applyNumberFormat="0" applyAlignment="0" applyProtection="0"/>
    <xf numFmtId="0" fontId="48" fillId="12" borderId="314" applyNumberFormat="0" applyAlignment="0" applyProtection="0"/>
    <xf numFmtId="0" fontId="29" fillId="12" borderId="317" applyNumberFormat="0" applyAlignment="0" applyProtection="0"/>
    <xf numFmtId="0" fontId="25" fillId="13" borderId="323" applyNumberFormat="0" applyAlignment="0" applyProtection="0"/>
    <xf numFmtId="0" fontId="29" fillId="24" borderId="250" applyNumberFormat="0" applyAlignment="0" applyProtection="0"/>
    <xf numFmtId="0" fontId="31" fillId="0" borderId="290" applyNumberFormat="0" applyFill="0" applyAlignment="0" applyProtection="0"/>
    <xf numFmtId="0" fontId="25" fillId="13" borderId="314" applyNumberFormat="0" applyAlignment="0" applyProtection="0"/>
    <xf numFmtId="0" fontId="31" fillId="0" borderId="267" applyNumberFormat="0" applyFill="0" applyAlignment="0" applyProtection="0"/>
    <xf numFmtId="0" fontId="31" fillId="0" borderId="319" applyNumberFormat="0" applyFill="0" applyAlignment="0" applyProtection="0"/>
    <xf numFmtId="0" fontId="8" fillId="10" borderId="238" applyNumberFormat="0" applyFont="0" applyAlignment="0" applyProtection="0"/>
    <xf numFmtId="0" fontId="49" fillId="10" borderId="238" applyNumberFormat="0" applyFont="0" applyAlignment="0" applyProtection="0"/>
    <xf numFmtId="0" fontId="8" fillId="45" borderId="322" applyNumberFormat="0" applyFont="0" applyAlignment="0" applyProtection="0"/>
    <xf numFmtId="0" fontId="48" fillId="12" borderId="237" applyNumberFormat="0" applyAlignment="0" applyProtection="0"/>
    <xf numFmtId="0" fontId="48" fillId="24" borderId="237" applyNumberFormat="0" applyAlignment="0" applyProtection="0"/>
    <xf numFmtId="0" fontId="48" fillId="24" borderId="237" applyNumberFormat="0" applyAlignment="0" applyProtection="0"/>
    <xf numFmtId="0" fontId="8" fillId="10" borderId="238" applyNumberFormat="0" applyFont="0" applyAlignment="0" applyProtection="0"/>
    <xf numFmtId="0" fontId="8" fillId="10" borderId="238" applyNumberFormat="0" applyFont="0" applyAlignment="0" applyProtection="0"/>
    <xf numFmtId="0" fontId="16" fillId="24" borderId="237" applyNumberFormat="0" applyAlignment="0" applyProtection="0"/>
    <xf numFmtId="0" fontId="16" fillId="24" borderId="237" applyNumberFormat="0" applyAlignment="0" applyProtection="0"/>
    <xf numFmtId="0" fontId="25" fillId="13" borderId="237" applyNumberFormat="0" applyAlignment="0" applyProtection="0"/>
    <xf numFmtId="0" fontId="8" fillId="10" borderId="238" applyNumberFormat="0" applyFont="0" applyAlignment="0" applyProtection="0"/>
    <xf numFmtId="0" fontId="49" fillId="10" borderId="292" applyNumberFormat="0" applyFont="0" applyAlignment="0" applyProtection="0"/>
    <xf numFmtId="0" fontId="85" fillId="0" borderId="234"/>
    <xf numFmtId="0" fontId="29" fillId="24" borderId="294" applyNumberFormat="0" applyAlignment="0" applyProtection="0"/>
    <xf numFmtId="0" fontId="25" fillId="8" borderId="237" applyNumberFormat="0" applyAlignment="0" applyProtection="0"/>
    <xf numFmtId="0" fontId="24" fillId="24" borderId="293" applyNumberFormat="0" applyAlignment="0" applyProtection="0"/>
    <xf numFmtId="0" fontId="8" fillId="10" borderId="238" applyNumberFormat="0" applyFont="0" applyAlignment="0" applyProtection="0"/>
    <xf numFmtId="0" fontId="48" fillId="12" borderId="237" applyNumberFormat="0" applyAlignment="0" applyProtection="0"/>
    <xf numFmtId="0" fontId="8" fillId="10" borderId="238" applyNumberFormat="0" applyFont="0" applyAlignment="0" applyProtection="0"/>
    <xf numFmtId="0" fontId="16" fillId="24" borderId="237" applyNumberFormat="0" applyAlignment="0" applyProtection="0"/>
    <xf numFmtId="0" fontId="28" fillId="10" borderId="244" applyNumberFormat="0" applyFont="0" applyAlignment="0" applyProtection="0"/>
    <xf numFmtId="0" fontId="73" fillId="0" borderId="311" applyBorder="0">
      <alignment horizontal="center" vertical="center" wrapText="1"/>
    </xf>
    <xf numFmtId="0" fontId="28" fillId="10" borderId="315" applyNumberFormat="0" applyFont="0" applyAlignment="0" applyProtection="0"/>
    <xf numFmtId="0" fontId="8" fillId="10" borderId="269" applyNumberFormat="0" applyFont="0" applyAlignment="0" applyProtection="0"/>
    <xf numFmtId="0" fontId="48" fillId="12" borderId="268" applyNumberFormat="0" applyAlignment="0" applyProtection="0"/>
    <xf numFmtId="0" fontId="31" fillId="0" borderId="273" applyNumberFormat="0" applyFill="0" applyAlignment="0" applyProtection="0"/>
    <xf numFmtId="0" fontId="48" fillId="24" borderId="277" applyNumberFormat="0" applyAlignment="0" applyProtection="0"/>
    <xf numFmtId="0" fontId="41" fillId="13" borderId="277" applyNumberFormat="0" applyAlignment="0" applyProtection="0"/>
    <xf numFmtId="0" fontId="73" fillId="0" borderId="320" applyBorder="0">
      <alignment horizontal="center" vertical="center" wrapText="1"/>
    </xf>
    <xf numFmtId="0" fontId="8" fillId="10" borderId="315" applyNumberFormat="0" applyFont="0" applyAlignment="0" applyProtection="0"/>
    <xf numFmtId="0" fontId="31" fillId="0" borderId="313" applyNumberFormat="0" applyFill="0" applyAlignment="0" applyProtection="0"/>
    <xf numFmtId="0" fontId="48" fillId="12" borderId="314" applyNumberFormat="0" applyAlignment="0" applyProtection="0"/>
    <xf numFmtId="0" fontId="25" fillId="8" borderId="314" applyNumberFormat="0" applyAlignment="0" applyProtection="0"/>
    <xf numFmtId="0" fontId="18" fillId="10" borderId="315" applyNumberFormat="0" applyFont="0" applyAlignment="0" applyProtection="0"/>
    <xf numFmtId="0" fontId="28" fillId="10" borderId="315" applyNumberFormat="0" applyFont="0" applyAlignment="0" applyProtection="0"/>
    <xf numFmtId="0" fontId="31" fillId="0" borderId="290" applyNumberFormat="0" applyFill="0" applyAlignment="0" applyProtection="0"/>
    <xf numFmtId="0" fontId="29" fillId="24" borderId="294" applyNumberFormat="0" applyAlignment="0" applyProtection="0"/>
    <xf numFmtId="0" fontId="28" fillId="10" borderId="292" applyNumberFormat="0" applyFont="0" applyAlignment="0" applyProtection="0"/>
    <xf numFmtId="0" fontId="25" fillId="13" borderId="291" applyNumberFormat="0" applyAlignment="0" applyProtection="0"/>
    <xf numFmtId="0" fontId="48" fillId="12" borderId="291" applyNumberFormat="0" applyAlignment="0" applyProtection="0"/>
    <xf numFmtId="0" fontId="31" fillId="0" borderId="296" applyNumberFormat="0" applyFill="0" applyAlignment="0" applyProtection="0"/>
    <xf numFmtId="0" fontId="29" fillId="24" borderId="294" applyNumberFormat="0" applyAlignment="0" applyProtection="0"/>
    <xf numFmtId="0" fontId="16" fillId="24" borderId="291" applyNumberFormat="0" applyAlignment="0" applyProtection="0"/>
    <xf numFmtId="0" fontId="29" fillId="24" borderId="294" applyNumberFormat="0" applyAlignment="0" applyProtection="0"/>
    <xf numFmtId="0" fontId="29" fillId="12" borderId="294" applyNumberFormat="0" applyAlignment="0" applyProtection="0"/>
    <xf numFmtId="0" fontId="49" fillId="10" borderId="292" applyNumberFormat="0" applyFont="0" applyAlignment="0" applyProtection="0"/>
    <xf numFmtId="0" fontId="31" fillId="0" borderId="290" applyNumberFormat="0" applyFill="0" applyAlignment="0" applyProtection="0"/>
    <xf numFmtId="0" fontId="28" fillId="10" borderId="292" applyNumberFormat="0" applyFont="0" applyAlignment="0" applyProtection="0"/>
    <xf numFmtId="0" fontId="31" fillId="0" borderId="295" applyNumberFormat="0" applyFill="0" applyAlignment="0" applyProtection="0"/>
    <xf numFmtId="0" fontId="8" fillId="10" borderId="308" applyNumberFormat="0" applyFont="0" applyAlignment="0" applyProtection="0"/>
    <xf numFmtId="0" fontId="8" fillId="10" borderId="292" applyNumberFormat="0" applyFont="0" applyAlignment="0" applyProtection="0"/>
    <xf numFmtId="0" fontId="18" fillId="10" borderId="308" applyNumberFormat="0" applyFont="0" applyAlignment="0" applyProtection="0"/>
    <xf numFmtId="0" fontId="25" fillId="13" borderId="314" applyNumberFormat="0" applyAlignment="0" applyProtection="0"/>
    <xf numFmtId="0" fontId="32" fillId="24" borderId="261" applyNumberFormat="0" applyAlignment="0" applyProtection="0"/>
    <xf numFmtId="0" fontId="28" fillId="10" borderId="308" applyNumberFormat="0" applyFont="0" applyAlignment="0" applyProtection="0"/>
    <xf numFmtId="0" fontId="25" fillId="8" borderId="314" applyNumberFormat="0" applyAlignment="0" applyProtection="0"/>
    <xf numFmtId="0" fontId="31" fillId="0" borderId="313" applyNumberFormat="0" applyFill="0" applyAlignment="0" applyProtection="0"/>
    <xf numFmtId="0" fontId="24" fillId="24" borderId="316" applyNumberFormat="0" applyAlignment="0" applyProtection="0"/>
    <xf numFmtId="0" fontId="31" fillId="0" borderId="318" applyNumberFormat="0" applyFill="0" applyAlignment="0" applyProtection="0"/>
    <xf numFmtId="0" fontId="25" fillId="13" borderId="323" applyNumberFormat="0" applyAlignment="0" applyProtection="0"/>
    <xf numFmtId="0" fontId="24" fillId="24" borderId="325" applyNumberFormat="0" applyAlignment="0" applyProtection="0"/>
    <xf numFmtId="0" fontId="48" fillId="24" borderId="314" applyNumberFormat="0" applyAlignment="0" applyProtection="0"/>
    <xf numFmtId="0" fontId="31" fillId="0" borderId="313" applyNumberFormat="0" applyFill="0" applyAlignment="0" applyProtection="0"/>
    <xf numFmtId="0" fontId="31" fillId="0" borderId="272" applyNumberFormat="0" applyFill="0" applyAlignment="0" applyProtection="0"/>
    <xf numFmtId="0" fontId="31" fillId="0" borderId="266" applyNumberFormat="0" applyFill="0" applyAlignment="0" applyProtection="0"/>
    <xf numFmtId="0" fontId="31" fillId="0" borderId="313" applyNumberFormat="0" applyFill="0" applyAlignment="0" applyProtection="0"/>
    <xf numFmtId="0" fontId="16" fillId="24" borderId="314" applyNumberFormat="0" applyAlignment="0" applyProtection="0"/>
    <xf numFmtId="0" fontId="8" fillId="10" borderId="315" applyNumberFormat="0" applyFont="0" applyAlignment="0" applyProtection="0"/>
    <xf numFmtId="0" fontId="18" fillId="10" borderId="315" applyNumberFormat="0" applyFont="0" applyAlignment="0" applyProtection="0"/>
    <xf numFmtId="0" fontId="8" fillId="45" borderId="322" applyNumberFormat="0" applyFont="0" applyAlignment="0" applyProtection="0"/>
    <xf numFmtId="0" fontId="73" fillId="0" borderId="320" applyBorder="0">
      <alignment horizontal="center" vertical="center" wrapText="1"/>
    </xf>
    <xf numFmtId="0" fontId="41" fillId="13" borderId="323" applyNumberFormat="0" applyAlignment="0" applyProtection="0"/>
    <xf numFmtId="0" fontId="85" fillId="0" borderId="298"/>
    <xf numFmtId="0" fontId="28" fillId="10" borderId="292" applyNumberFormat="0" applyFont="0" applyAlignment="0" applyProtection="0"/>
    <xf numFmtId="0" fontId="18" fillId="10" borderId="292" applyNumberFormat="0" applyFont="0" applyAlignment="0" applyProtection="0"/>
    <xf numFmtId="0" fontId="41" fillId="13" borderId="291" applyNumberFormat="0" applyAlignment="0" applyProtection="0"/>
    <xf numFmtId="0" fontId="31" fillId="0" borderId="295" applyNumberFormat="0" applyFill="0" applyAlignment="0" applyProtection="0"/>
    <xf numFmtId="0" fontId="29" fillId="24" borderId="294" applyNumberFormat="0" applyAlignment="0" applyProtection="0"/>
    <xf numFmtId="0" fontId="41" fillId="13" borderId="291" applyNumberFormat="0" applyAlignment="0" applyProtection="0"/>
    <xf numFmtId="0" fontId="31" fillId="0" borderId="290" applyNumberFormat="0" applyFill="0" applyAlignment="0" applyProtection="0"/>
    <xf numFmtId="0" fontId="48" fillId="12" borderId="291" applyNumberFormat="0" applyAlignment="0" applyProtection="0"/>
    <xf numFmtId="0" fontId="18" fillId="10" borderId="292" applyNumberFormat="0" applyFont="0" applyAlignment="0" applyProtection="0"/>
    <xf numFmtId="0" fontId="31" fillId="0" borderId="295" applyNumberFormat="0" applyFill="0" applyAlignment="0" applyProtection="0"/>
    <xf numFmtId="0" fontId="31" fillId="0" borderId="290" applyNumberFormat="0" applyFill="0" applyAlignment="0" applyProtection="0"/>
    <xf numFmtId="0" fontId="48" fillId="12" borderId="291" applyNumberFormat="0" applyAlignment="0" applyProtection="0"/>
    <xf numFmtId="0" fontId="8" fillId="10" borderId="292" applyNumberFormat="0" applyFont="0" applyAlignment="0" applyProtection="0"/>
    <xf numFmtId="0" fontId="25" fillId="13" borderId="314" applyNumberFormat="0" applyAlignment="0" applyProtection="0"/>
    <xf numFmtId="0" fontId="73" fillId="0" borderId="288" applyBorder="0">
      <alignment horizontal="center" vertical="center" wrapText="1"/>
    </xf>
    <xf numFmtId="0" fontId="48" fillId="12" borderId="314" applyNumberFormat="0" applyAlignment="0" applyProtection="0"/>
    <xf numFmtId="0" fontId="48" fillId="12" borderId="314" applyNumberFormat="0" applyAlignment="0" applyProtection="0"/>
    <xf numFmtId="0" fontId="25" fillId="13" borderId="314" applyNumberFormat="0" applyAlignment="0" applyProtection="0"/>
    <xf numFmtId="0" fontId="31" fillId="0" borderId="312" applyNumberFormat="0" applyFill="0" applyAlignment="0" applyProtection="0"/>
    <xf numFmtId="0" fontId="29" fillId="12" borderId="317" applyNumberFormat="0" applyAlignment="0" applyProtection="0"/>
    <xf numFmtId="0" fontId="8" fillId="10" borderId="315" applyNumberFormat="0" applyFont="0" applyAlignment="0" applyProtection="0"/>
    <xf numFmtId="0" fontId="73" fillId="0" borderId="320" applyBorder="0">
      <alignment horizontal="center" vertical="center" wrapText="1"/>
    </xf>
    <xf numFmtId="0" fontId="48" fillId="24" borderId="291" applyNumberFormat="0" applyAlignment="0" applyProtection="0"/>
    <xf numFmtId="0" fontId="48" fillId="12" borderId="291" applyNumberFormat="0" applyAlignment="0" applyProtection="0"/>
    <xf numFmtId="0" fontId="29" fillId="12" borderId="294" applyNumberFormat="0" applyAlignment="0" applyProtection="0"/>
    <xf numFmtId="0" fontId="8" fillId="45" borderId="253" applyNumberFormat="0" applyFont="0" applyAlignment="0" applyProtection="0"/>
    <xf numFmtId="0" fontId="85" fillId="0" borderId="247"/>
    <xf numFmtId="0" fontId="28" fillId="0" borderId="247"/>
    <xf numFmtId="0" fontId="49" fillId="10" borderId="244" applyNumberFormat="0" applyFont="0" applyAlignment="0" applyProtection="0"/>
    <xf numFmtId="0" fontId="29" fillId="12" borderId="250" applyNumberFormat="0" applyAlignment="0" applyProtection="0"/>
    <xf numFmtId="0" fontId="28" fillId="0" borderId="247"/>
    <xf numFmtId="0" fontId="49" fillId="10" borderId="292" applyNumberFormat="0" applyFont="0" applyAlignment="0" applyProtection="0"/>
    <xf numFmtId="0" fontId="28" fillId="10" borderId="244" applyNumberFormat="0" applyFont="0" applyAlignment="0" applyProtection="0"/>
    <xf numFmtId="0" fontId="29" fillId="24" borderId="250" applyNumberFormat="0" applyAlignment="0" applyProtection="0"/>
    <xf numFmtId="0" fontId="31" fillId="0" borderId="249" applyNumberFormat="0" applyFill="0" applyAlignment="0" applyProtection="0"/>
    <xf numFmtId="0" fontId="85" fillId="0" borderId="247"/>
    <xf numFmtId="0" fontId="28" fillId="0" borderId="247"/>
    <xf numFmtId="0" fontId="31" fillId="0" borderId="252" applyNumberFormat="0" applyFill="0" applyAlignment="0" applyProtection="0"/>
    <xf numFmtId="0" fontId="8" fillId="10" borderId="244" applyNumberFormat="0" applyFont="0" applyAlignment="0" applyProtection="0"/>
    <xf numFmtId="0" fontId="31" fillId="0" borderId="246" applyNumberFormat="0" applyFill="0" applyAlignment="0" applyProtection="0"/>
    <xf numFmtId="0" fontId="49" fillId="10" borderId="244" applyNumberFormat="0" applyFont="0" applyAlignment="0" applyProtection="0"/>
    <xf numFmtId="0" fontId="29" fillId="24" borderId="250" applyNumberFormat="0" applyAlignment="0" applyProtection="0"/>
    <xf numFmtId="0" fontId="31" fillId="0" borderId="290" applyNumberFormat="0" applyFill="0" applyAlignment="0" applyProtection="0"/>
    <xf numFmtId="0" fontId="28" fillId="0" borderId="247"/>
    <xf numFmtId="0" fontId="48" fillId="24" borderId="291" applyNumberFormat="0" applyAlignment="0" applyProtection="0"/>
    <xf numFmtId="0" fontId="25" fillId="13" borderId="284" applyNumberFormat="0" applyAlignment="0" applyProtection="0"/>
    <xf numFmtId="0" fontId="28" fillId="10" borderId="269" applyNumberFormat="0" applyFont="0" applyAlignment="0" applyProtection="0"/>
    <xf numFmtId="0" fontId="41" fillId="13" borderId="314" applyNumberFormat="0" applyAlignment="0" applyProtection="0"/>
    <xf numFmtId="0" fontId="24" fillId="24" borderId="302" applyNumberFormat="0" applyAlignment="0" applyProtection="0"/>
    <xf numFmtId="0" fontId="31" fillId="0" borderId="296" applyNumberFormat="0" applyFill="0" applyAlignment="0" applyProtection="0"/>
    <xf numFmtId="0" fontId="85" fillId="0" borderId="298"/>
    <xf numFmtId="0" fontId="8" fillId="45" borderId="299" applyNumberFormat="0" applyFont="0" applyAlignment="0" applyProtection="0"/>
    <xf numFmtId="0" fontId="29" fillId="12" borderId="294" applyNumberFormat="0" applyAlignment="0" applyProtection="0"/>
    <xf numFmtId="0" fontId="29" fillId="12" borderId="294" applyNumberFormat="0" applyAlignment="0" applyProtection="0"/>
    <xf numFmtId="0" fontId="31" fillId="0" borderId="296" applyNumberFormat="0" applyFill="0" applyAlignment="0" applyProtection="0"/>
    <xf numFmtId="0" fontId="48" fillId="24" borderId="291" applyNumberFormat="0" applyAlignment="0" applyProtection="0"/>
    <xf numFmtId="0" fontId="8" fillId="10" borderId="292" applyNumberFormat="0" applyFont="0" applyAlignment="0" applyProtection="0"/>
    <xf numFmtId="0" fontId="41" fillId="13" borderId="291" applyNumberFormat="0" applyAlignment="0" applyProtection="0"/>
    <xf numFmtId="0" fontId="8" fillId="10" borderId="292" applyNumberFormat="0" applyFont="0" applyAlignment="0" applyProtection="0"/>
    <xf numFmtId="0" fontId="25" fillId="13" borderId="291" applyNumberFormat="0" applyAlignment="0" applyProtection="0"/>
    <xf numFmtId="0" fontId="31" fillId="0" borderId="296" applyNumberFormat="0" applyFill="0" applyAlignment="0" applyProtection="0"/>
    <xf numFmtId="0" fontId="31" fillId="0" borderId="296" applyNumberFormat="0" applyFill="0" applyAlignment="0" applyProtection="0"/>
    <xf numFmtId="0" fontId="28" fillId="0" borderId="275"/>
    <xf numFmtId="0" fontId="31" fillId="0" borderId="267" applyNumberFormat="0" applyFill="0" applyAlignment="0" applyProtection="0"/>
    <xf numFmtId="0" fontId="24" fillId="24" borderId="270" applyNumberFormat="0" applyAlignment="0" applyProtection="0"/>
    <xf numFmtId="0" fontId="31" fillId="0" borderId="267" applyNumberFormat="0" applyFill="0" applyAlignment="0" applyProtection="0"/>
    <xf numFmtId="0" fontId="73" fillId="0" borderId="311" applyBorder="0">
      <alignment horizontal="center" vertical="center" wrapText="1"/>
    </xf>
    <xf numFmtId="0" fontId="85" fillId="0" borderId="298"/>
    <xf numFmtId="0" fontId="8" fillId="10" borderId="315" applyNumberFormat="0" applyFont="0" applyAlignment="0" applyProtection="0"/>
    <xf numFmtId="0" fontId="25" fillId="13" borderId="300" applyNumberFormat="0" applyAlignment="0" applyProtection="0"/>
    <xf numFmtId="0" fontId="25" fillId="13" borderId="300" applyNumberFormat="0" applyAlignment="0" applyProtection="0"/>
    <xf numFmtId="0" fontId="85" fillId="0" borderId="298"/>
    <xf numFmtId="0" fontId="16" fillId="24" borderId="291" applyNumberFormat="0" applyAlignment="0" applyProtection="0"/>
    <xf numFmtId="0" fontId="16" fillId="24" borderId="291" applyNumberFormat="0" applyAlignment="0" applyProtection="0"/>
    <xf numFmtId="0" fontId="25" fillId="8" borderId="291" applyNumberFormat="0" applyAlignment="0" applyProtection="0"/>
    <xf numFmtId="0" fontId="28" fillId="10" borderId="285" applyNumberFormat="0" applyFont="0" applyAlignment="0" applyProtection="0"/>
    <xf numFmtId="0" fontId="24" fillId="24" borderId="316" applyNumberFormat="0" applyAlignment="0" applyProtection="0"/>
    <xf numFmtId="0" fontId="16" fillId="24" borderId="300" applyNumberFormat="0" applyAlignment="0" applyProtection="0"/>
    <xf numFmtId="0" fontId="25" fillId="13" borderId="314" applyNumberFormat="0" applyAlignment="0" applyProtection="0"/>
    <xf numFmtId="0" fontId="18" fillId="10" borderId="269" applyNumberFormat="0" applyFont="0" applyAlignment="0" applyProtection="0"/>
    <xf numFmtId="0" fontId="29" fillId="24" borderId="271" applyNumberFormat="0" applyAlignment="0" applyProtection="0"/>
    <xf numFmtId="0" fontId="29" fillId="24" borderId="317" applyNumberFormat="0" applyAlignment="0" applyProtection="0"/>
    <xf numFmtId="0" fontId="41" fillId="13" borderId="323" applyNumberFormat="0" applyAlignment="0" applyProtection="0"/>
    <xf numFmtId="0" fontId="85" fillId="73" borderId="298"/>
    <xf numFmtId="0" fontId="25" fillId="8" borderId="291" applyNumberFormat="0" applyAlignment="0" applyProtection="0"/>
    <xf numFmtId="0" fontId="85" fillId="73" borderId="298"/>
    <xf numFmtId="0" fontId="31" fillId="0" borderId="290" applyNumberFormat="0" applyFill="0" applyAlignment="0" applyProtection="0"/>
    <xf numFmtId="0" fontId="16" fillId="24" borderId="314" applyNumberFormat="0" applyAlignment="0" applyProtection="0"/>
    <xf numFmtId="0" fontId="49" fillId="10" borderId="315" applyNumberFormat="0" applyFont="0" applyAlignment="0" applyProtection="0"/>
    <xf numFmtId="0" fontId="31" fillId="0" borderId="318" applyNumberFormat="0" applyFill="0" applyAlignment="0" applyProtection="0"/>
    <xf numFmtId="0" fontId="28" fillId="0" borderId="321"/>
    <xf numFmtId="0" fontId="31" fillId="0" borderId="319" applyNumberFormat="0" applyFill="0" applyAlignment="0" applyProtection="0"/>
    <xf numFmtId="0" fontId="48" fillId="12" borderId="291" applyNumberFormat="0" applyAlignment="0" applyProtection="0"/>
    <xf numFmtId="0" fontId="85" fillId="0" borderId="298"/>
    <xf numFmtId="0" fontId="48" fillId="12" borderId="291" applyNumberFormat="0" applyAlignment="0" applyProtection="0"/>
    <xf numFmtId="0" fontId="49" fillId="10" borderId="315" applyNumberFormat="0" applyFont="0" applyAlignment="0" applyProtection="0"/>
    <xf numFmtId="0" fontId="48" fillId="12" borderId="314" applyNumberFormat="0" applyAlignment="0" applyProtection="0"/>
    <xf numFmtId="0" fontId="41" fillId="13" borderId="314" applyNumberFormat="0" applyAlignment="0" applyProtection="0"/>
    <xf numFmtId="0" fontId="16" fillId="24" borderId="261" applyNumberFormat="0" applyAlignment="0" applyProtection="0"/>
    <xf numFmtId="0" fontId="31" fillId="0" borderId="273" applyNumberFormat="0" applyFill="0" applyAlignment="0" applyProtection="0"/>
    <xf numFmtId="0" fontId="16" fillId="24" borderId="314" applyNumberFormat="0" applyAlignment="0" applyProtection="0"/>
    <xf numFmtId="0" fontId="16" fillId="24" borderId="314" applyNumberFormat="0" applyAlignment="0" applyProtection="0"/>
    <xf numFmtId="0" fontId="48" fillId="24" borderId="314" applyNumberFormat="0" applyAlignment="0" applyProtection="0"/>
    <xf numFmtId="0" fontId="31" fillId="0" borderId="318" applyNumberFormat="0" applyFill="0" applyAlignment="0" applyProtection="0"/>
    <xf numFmtId="0" fontId="48" fillId="24" borderId="323" applyNumberFormat="0" applyAlignment="0" applyProtection="0"/>
    <xf numFmtId="0" fontId="25" fillId="13" borderId="323" applyNumberFormat="0" applyAlignment="0" applyProtection="0"/>
    <xf numFmtId="0" fontId="48" fillId="24" borderId="291" applyNumberFormat="0" applyAlignment="0" applyProtection="0"/>
    <xf numFmtId="0" fontId="28" fillId="0" borderId="321"/>
    <xf numFmtId="0" fontId="28" fillId="10" borderId="278" applyNumberFormat="0" applyFont="0" applyAlignment="0" applyProtection="0"/>
    <xf numFmtId="0" fontId="24" fillId="24" borderId="316" applyNumberFormat="0" applyAlignment="0" applyProtection="0"/>
    <xf numFmtId="0" fontId="48" fillId="12" borderId="314" applyNumberFormat="0" applyAlignment="0" applyProtection="0"/>
    <xf numFmtId="0" fontId="73" fillId="0" borderId="311" applyBorder="0">
      <alignment horizontal="center" vertical="center" wrapText="1"/>
    </xf>
    <xf numFmtId="0" fontId="48" fillId="12" borderId="314" applyNumberFormat="0" applyAlignment="0" applyProtection="0"/>
    <xf numFmtId="0" fontId="29" fillId="24" borderId="317" applyNumberFormat="0" applyAlignment="0" applyProtection="0"/>
    <xf numFmtId="0" fontId="49" fillId="10" borderId="315" applyNumberFormat="0" applyFont="0" applyAlignment="0" applyProtection="0"/>
    <xf numFmtId="0" fontId="31" fillId="0" borderId="312" applyNumberFormat="0" applyFill="0" applyAlignment="0" applyProtection="0"/>
    <xf numFmtId="0" fontId="25" fillId="13" borderId="314" applyNumberFormat="0" applyAlignment="0" applyProtection="0"/>
    <xf numFmtId="0" fontId="8" fillId="45" borderId="299" applyNumberFormat="0" applyFont="0" applyAlignment="0" applyProtection="0"/>
    <xf numFmtId="0" fontId="24" fillId="24" borderId="293" applyNumberFormat="0" applyAlignment="0" applyProtection="0"/>
    <xf numFmtId="0" fontId="8" fillId="10" borderId="292" applyNumberFormat="0" applyFont="0" applyAlignment="0" applyProtection="0"/>
    <xf numFmtId="0" fontId="31" fillId="0" borderId="290" applyNumberFormat="0" applyFill="0" applyAlignment="0" applyProtection="0"/>
    <xf numFmtId="0" fontId="24" fillId="24" borderId="293" applyNumberFormat="0" applyAlignment="0" applyProtection="0"/>
    <xf numFmtId="0" fontId="16" fillId="24" borderId="291" applyNumberFormat="0" applyAlignment="0" applyProtection="0"/>
    <xf numFmtId="0" fontId="31" fillId="0" borderId="295" applyNumberFormat="0" applyFill="0" applyAlignment="0" applyProtection="0"/>
    <xf numFmtId="0" fontId="28" fillId="10" borderId="315" applyNumberFormat="0" applyFont="0" applyAlignment="0" applyProtection="0"/>
    <xf numFmtId="0" fontId="48" fillId="12" borderId="314" applyNumberFormat="0" applyAlignment="0" applyProtection="0"/>
    <xf numFmtId="0" fontId="49" fillId="10" borderId="255" applyNumberFormat="0" applyFont="0" applyAlignment="0" applyProtection="0"/>
    <xf numFmtId="0" fontId="25" fillId="13" borderId="254" applyNumberFormat="0" applyAlignment="0" applyProtection="0"/>
    <xf numFmtId="0" fontId="48" fillId="24" borderId="254" applyNumberFormat="0" applyAlignment="0" applyProtection="0"/>
    <xf numFmtId="0" fontId="29" fillId="12" borderId="250" applyNumberFormat="0" applyAlignment="0" applyProtection="0"/>
    <xf numFmtId="0" fontId="8" fillId="10" borderId="244" applyNumberFormat="0" applyFont="0" applyAlignment="0" applyProtection="0"/>
    <xf numFmtId="0" fontId="31" fillId="0" borderId="249" applyNumberFormat="0" applyFill="0" applyAlignment="0" applyProtection="0"/>
    <xf numFmtId="0" fontId="8" fillId="10" borderId="244" applyNumberFormat="0" applyFont="0" applyAlignment="0" applyProtection="0"/>
    <xf numFmtId="0" fontId="31" fillId="0" borderId="249" applyNumberFormat="0" applyFill="0" applyAlignment="0" applyProtection="0"/>
    <xf numFmtId="0" fontId="31" fillId="0" borderId="296" applyNumberFormat="0" applyFill="0" applyAlignment="0" applyProtection="0"/>
    <xf numFmtId="0" fontId="18" fillId="10" borderId="244" applyNumberFormat="0" applyFont="0" applyAlignment="0" applyProtection="0"/>
    <xf numFmtId="0" fontId="31" fillId="0" borderId="252" applyNumberFormat="0" applyFill="0" applyAlignment="0" applyProtection="0"/>
    <xf numFmtId="0" fontId="31" fillId="0" borderId="252" applyNumberFormat="0" applyFill="0" applyAlignment="0" applyProtection="0"/>
    <xf numFmtId="0" fontId="28" fillId="10" borderId="244" applyNumberFormat="0" applyFont="0" applyAlignment="0" applyProtection="0"/>
    <xf numFmtId="0" fontId="31" fillId="0" borderId="246" applyNumberFormat="0" applyFill="0" applyAlignment="0" applyProtection="0"/>
    <xf numFmtId="0" fontId="31" fillId="0" borderId="249" applyNumberFormat="0" applyFill="0" applyAlignment="0" applyProtection="0"/>
    <xf numFmtId="0" fontId="31" fillId="0" borderId="251" applyNumberFormat="0" applyFill="0" applyAlignment="0" applyProtection="0"/>
    <xf numFmtId="0" fontId="31" fillId="0" borderId="251" applyNumberFormat="0" applyFill="0" applyAlignment="0" applyProtection="0"/>
    <xf numFmtId="0" fontId="8" fillId="10" borderId="244" applyNumberFormat="0" applyFont="0" applyAlignment="0" applyProtection="0"/>
    <xf numFmtId="0" fontId="49" fillId="10" borderId="244" applyNumberFormat="0" applyFont="0" applyAlignment="0" applyProtection="0"/>
    <xf numFmtId="0" fontId="31" fillId="0" borderId="252" applyNumberFormat="0" applyFill="0" applyAlignment="0" applyProtection="0"/>
    <xf numFmtId="0" fontId="24" fillId="24" borderId="293" applyNumberFormat="0" applyAlignment="0" applyProtection="0"/>
    <xf numFmtId="0" fontId="29" fillId="12" borderId="250" applyNumberFormat="0" applyAlignment="0" applyProtection="0"/>
    <xf numFmtId="0" fontId="29" fillId="24" borderId="250" applyNumberFormat="0" applyAlignment="0" applyProtection="0"/>
    <xf numFmtId="0" fontId="49" fillId="10" borderId="292" applyNumberFormat="0" applyFont="0" applyAlignment="0" applyProtection="0"/>
    <xf numFmtId="0" fontId="8" fillId="10" borderId="292" applyNumberFormat="0" applyFont="0" applyAlignment="0" applyProtection="0"/>
    <xf numFmtId="0" fontId="29" fillId="12" borderId="294" applyNumberFormat="0" applyAlignment="0" applyProtection="0"/>
    <xf numFmtId="0" fontId="29" fillId="24" borderId="271" applyNumberFormat="0" applyAlignment="0" applyProtection="0"/>
    <xf numFmtId="0" fontId="31" fillId="0" borderId="233" applyNumberFormat="0" applyFill="0" applyAlignment="0" applyProtection="0"/>
    <xf numFmtId="0" fontId="31" fillId="0" borderId="267" applyNumberFormat="0" applyFill="0" applyAlignment="0" applyProtection="0"/>
    <xf numFmtId="0" fontId="24" fillId="24" borderId="232" applyNumberFormat="0" applyAlignment="0" applyProtection="0"/>
    <xf numFmtId="0" fontId="49" fillId="10" borderId="231" applyNumberFormat="0" applyFont="0" applyAlignment="0" applyProtection="0"/>
    <xf numFmtId="0" fontId="8" fillId="10" borderId="231" applyNumberFormat="0" applyFont="0" applyAlignment="0" applyProtection="0"/>
    <xf numFmtId="0" fontId="8" fillId="10" borderId="231" applyNumberFormat="0" applyFont="0" applyAlignment="0" applyProtection="0"/>
    <xf numFmtId="0" fontId="28" fillId="10" borderId="231" applyNumberFormat="0" applyFont="0" applyAlignment="0" applyProtection="0"/>
    <xf numFmtId="0" fontId="16" fillId="24" borderId="277" applyNumberFormat="0" applyAlignment="0" applyProtection="0"/>
    <xf numFmtId="0" fontId="41" fillId="13" borderId="268" applyNumberFormat="0" applyAlignment="0" applyProtection="0"/>
    <xf numFmtId="0" fontId="16" fillId="24" borderId="291" applyNumberFormat="0" applyAlignment="0" applyProtection="0"/>
    <xf numFmtId="0" fontId="31" fillId="0" borderId="319" applyNumberFormat="0" applyFill="0" applyAlignment="0" applyProtection="0"/>
    <xf numFmtId="0" fontId="25"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25" fillId="13"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32" fillId="24" borderId="230" applyNumberFormat="0" applyAlignment="0" applyProtection="0"/>
    <xf numFmtId="0" fontId="31" fillId="0" borderId="289" applyNumberFormat="0" applyFill="0" applyAlignment="0" applyProtection="0"/>
    <xf numFmtId="0" fontId="31" fillId="0" borderId="219" applyNumberFormat="0" applyFill="0" applyAlignment="0" applyProtection="0"/>
    <xf numFmtId="0" fontId="29" fillId="12" borderId="220" applyNumberFormat="0" applyAlignment="0" applyProtection="0"/>
    <xf numFmtId="0" fontId="25" fillId="8" borderId="221" applyNumberFormat="0" applyAlignment="0" applyProtection="0"/>
    <xf numFmtId="0" fontId="48" fillId="12" borderId="221" applyNumberFormat="0" applyAlignment="0" applyProtection="0"/>
    <xf numFmtId="0" fontId="85" fillId="0" borderId="218"/>
    <xf numFmtId="0" fontId="31" fillId="0" borderId="224" applyNumberFormat="0" applyFill="0" applyAlignment="0" applyProtection="0"/>
    <xf numFmtId="0" fontId="28" fillId="0" borderId="218"/>
    <xf numFmtId="0" fontId="8" fillId="45" borderId="229" applyNumberFormat="0" applyFont="0" applyAlignment="0" applyProtection="0"/>
    <xf numFmtId="0" fontId="8" fillId="10" borderId="222" applyNumberFormat="0" applyFont="0" applyAlignment="0" applyProtection="0"/>
    <xf numFmtId="0" fontId="48" fillId="12" borderId="221" applyNumberFormat="0" applyAlignment="0" applyProtection="0"/>
    <xf numFmtId="0" fontId="31" fillId="0" borderId="219" applyNumberFormat="0" applyFill="0" applyAlignment="0" applyProtection="0"/>
    <xf numFmtId="0" fontId="25" fillId="8" borderId="221" applyNumberFormat="0" applyAlignment="0" applyProtection="0"/>
    <xf numFmtId="0" fontId="48" fillId="12" borderId="221" applyNumberFormat="0" applyAlignment="0" applyProtection="0"/>
    <xf numFmtId="0" fontId="48" fillId="12" borderId="221" applyNumberFormat="0" applyAlignment="0" applyProtection="0"/>
    <xf numFmtId="0" fontId="85" fillId="0" borderId="218"/>
    <xf numFmtId="0" fontId="85" fillId="0" borderId="218"/>
    <xf numFmtId="0" fontId="28" fillId="0" borderId="218"/>
    <xf numFmtId="0" fontId="49" fillId="10" borderId="222" applyNumberFormat="0" applyFont="0" applyAlignment="0" applyProtection="0"/>
    <xf numFmtId="0" fontId="8" fillId="45" borderId="229" applyNumberFormat="0" applyFont="0" applyAlignment="0" applyProtection="0"/>
    <xf numFmtId="0" fontId="8" fillId="10" borderId="222" applyNumberFormat="0" applyFont="0" applyAlignment="0" applyProtection="0"/>
    <xf numFmtId="0" fontId="49" fillId="10" borderId="222" applyNumberFormat="0" applyFont="0" applyAlignment="0" applyProtection="0"/>
    <xf numFmtId="0" fontId="29" fillId="12" borderId="220" applyNumberFormat="0" applyAlignment="0" applyProtection="0"/>
    <xf numFmtId="0" fontId="28" fillId="10" borderId="222" applyNumberFormat="0" applyFont="0" applyAlignment="0" applyProtection="0"/>
    <xf numFmtId="0" fontId="31" fillId="0" borderId="226" applyNumberFormat="0" applyFill="0" applyAlignment="0" applyProtection="0"/>
    <xf numFmtId="0" fontId="48" fillId="24" borderId="221" applyNumberFormat="0" applyAlignment="0" applyProtection="0"/>
    <xf numFmtId="0" fontId="28" fillId="10" borderId="222" applyNumberFormat="0" applyFont="0" applyAlignment="0" applyProtection="0"/>
    <xf numFmtId="0" fontId="29" fillId="12" borderId="220" applyNumberFormat="0" applyAlignment="0" applyProtection="0"/>
    <xf numFmtId="0" fontId="48" fillId="12" borderId="221" applyNumberFormat="0" applyAlignment="0" applyProtection="0"/>
    <xf numFmtId="0" fontId="31" fillId="0" borderId="224" applyNumberFormat="0" applyFill="0" applyAlignment="0" applyProtection="0"/>
    <xf numFmtId="0" fontId="28" fillId="0" borderId="218"/>
    <xf numFmtId="0" fontId="48" fillId="24" borderId="221" applyNumberFormat="0" applyAlignment="0" applyProtection="0"/>
    <xf numFmtId="0" fontId="48" fillId="24" borderId="221" applyNumberFormat="0" applyAlignment="0" applyProtection="0"/>
    <xf numFmtId="0" fontId="48" fillId="12" borderId="221" applyNumberFormat="0" applyAlignment="0" applyProtection="0"/>
    <xf numFmtId="0" fontId="25" fillId="8" borderId="221" applyNumberFormat="0" applyAlignment="0" applyProtection="0"/>
    <xf numFmtId="0" fontId="8" fillId="10" borderId="222" applyNumberFormat="0" applyFont="0" applyAlignment="0" applyProtection="0"/>
    <xf numFmtId="0" fontId="31" fillId="0" borderId="219" applyNumberFormat="0" applyFill="0" applyAlignment="0" applyProtection="0"/>
    <xf numFmtId="0" fontId="73" fillId="0" borderId="228" applyBorder="0">
      <alignment horizontal="center" vertical="center" wrapText="1"/>
    </xf>
    <xf numFmtId="0" fontId="32" fillId="24" borderId="221" applyNumberFormat="0" applyAlignment="0" applyProtection="0"/>
    <xf numFmtId="0" fontId="25" fillId="13" borderId="221" applyNumberFormat="0" applyAlignment="0" applyProtection="0"/>
    <xf numFmtId="0" fontId="18" fillId="10" borderId="222" applyNumberFormat="0" applyFont="0" applyAlignment="0" applyProtection="0"/>
    <xf numFmtId="0" fontId="28" fillId="10" borderId="222" applyNumberFormat="0" applyFont="0" applyAlignment="0" applyProtection="0"/>
    <xf numFmtId="0" fontId="29" fillId="24" borderId="220" applyNumberFormat="0" applyAlignment="0" applyProtection="0"/>
    <xf numFmtId="0" fontId="31" fillId="0" borderId="227" applyNumberFormat="0" applyFill="0" applyAlignment="0" applyProtection="0"/>
    <xf numFmtId="0" fontId="31" fillId="0" borderId="227" applyNumberFormat="0" applyFill="0" applyAlignment="0" applyProtection="0"/>
    <xf numFmtId="0" fontId="28" fillId="0" borderId="218"/>
    <xf numFmtId="0" fontId="8" fillId="45" borderId="229" applyNumberFormat="0" applyFont="0" applyAlignment="0" applyProtection="0"/>
    <xf numFmtId="0" fontId="31" fillId="0" borderId="224" applyNumberFormat="0" applyFill="0" applyAlignment="0" applyProtection="0"/>
    <xf numFmtId="0" fontId="29" fillId="24" borderId="220" applyNumberFormat="0" applyAlignment="0" applyProtection="0"/>
    <xf numFmtId="0" fontId="28" fillId="10" borderId="222" applyNumberFormat="0" applyFont="0" applyAlignment="0" applyProtection="0"/>
    <xf numFmtId="0" fontId="8" fillId="10" borderId="222" applyNumberFormat="0" applyFont="0" applyAlignment="0" applyProtection="0"/>
    <xf numFmtId="0" fontId="28" fillId="10" borderId="222" applyNumberFormat="0" applyFont="0" applyAlignment="0" applyProtection="0"/>
    <xf numFmtId="0" fontId="18" fillId="10" borderId="222" applyNumberFormat="0" applyFont="0" applyAlignment="0" applyProtection="0"/>
    <xf numFmtId="0" fontId="25" fillId="13" borderId="221" applyNumberFormat="0" applyAlignment="0" applyProtection="0"/>
    <xf numFmtId="0" fontId="16" fillId="24" borderId="221" applyNumberFormat="0" applyAlignment="0" applyProtection="0"/>
    <xf numFmtId="0" fontId="16" fillId="24" borderId="221" applyNumberFormat="0" applyAlignment="0" applyProtection="0"/>
    <xf numFmtId="0" fontId="73" fillId="0" borderId="228" applyBorder="0">
      <alignment horizontal="center" vertical="center" wrapText="1"/>
    </xf>
    <xf numFmtId="0" fontId="31" fillId="0" borderId="227" applyNumberFormat="0" applyFill="0" applyAlignment="0" applyProtection="0"/>
    <xf numFmtId="0" fontId="31" fillId="0" borderId="227" applyNumberFormat="0" applyFill="0" applyAlignment="0" applyProtection="0"/>
    <xf numFmtId="0" fontId="31" fillId="0" borderId="226" applyNumberFormat="0" applyFill="0" applyAlignment="0" applyProtection="0"/>
    <xf numFmtId="0" fontId="29" fillId="24" borderId="220" applyNumberFormat="0" applyAlignment="0" applyProtection="0"/>
    <xf numFmtId="0" fontId="29" fillId="24" borderId="220" applyNumberFormat="0" applyAlignment="0" applyProtection="0"/>
    <xf numFmtId="0" fontId="28" fillId="10" borderId="222" applyNumberFormat="0" applyFont="0" applyAlignment="0" applyProtection="0"/>
    <xf numFmtId="0" fontId="8" fillId="10" borderId="222" applyNumberFormat="0" applyFont="0" applyAlignment="0" applyProtection="0"/>
    <xf numFmtId="0" fontId="28" fillId="10" borderId="222" applyNumberFormat="0" applyFont="0" applyAlignment="0" applyProtection="0"/>
    <xf numFmtId="0" fontId="25" fillId="13" borderId="221" applyNumberFormat="0" applyAlignment="0" applyProtection="0"/>
    <xf numFmtId="0" fontId="25" fillId="13" borderId="221" applyNumberFormat="0" applyAlignment="0" applyProtection="0"/>
    <xf numFmtId="0" fontId="41" fillId="13" borderId="221" applyNumberFormat="0" applyAlignment="0" applyProtection="0"/>
    <xf numFmtId="0" fontId="16" fillId="24" borderId="221" applyNumberFormat="0" applyAlignment="0" applyProtection="0"/>
    <xf numFmtId="0" fontId="16" fillId="24" borderId="221" applyNumberFormat="0" applyAlignment="0" applyProtection="0"/>
    <xf numFmtId="0" fontId="31" fillId="0" borderId="219" applyNumberFormat="0" applyFill="0" applyAlignment="0" applyProtection="0"/>
    <xf numFmtId="0" fontId="31" fillId="0" borderId="224" applyNumberFormat="0" applyFill="0" applyAlignment="0" applyProtection="0"/>
    <xf numFmtId="0" fontId="31" fillId="0" borderId="224" applyNumberFormat="0" applyFill="0" applyAlignment="0" applyProtection="0"/>
    <xf numFmtId="0" fontId="24" fillId="24" borderId="223" applyNumberFormat="0" applyAlignment="0" applyProtection="0"/>
    <xf numFmtId="0" fontId="49" fillId="10" borderId="222" applyNumberFormat="0" applyFont="0" applyAlignment="0" applyProtection="0"/>
    <xf numFmtId="0" fontId="8" fillId="10" borderId="222" applyNumberFormat="0" applyFont="0" applyAlignment="0" applyProtection="0"/>
    <xf numFmtId="0" fontId="25" fillId="8" borderId="221" applyNumberFormat="0" applyAlignment="0" applyProtection="0"/>
    <xf numFmtId="0" fontId="41" fillId="13" borderId="221" applyNumberFormat="0" applyAlignment="0" applyProtection="0"/>
    <xf numFmtId="0" fontId="48" fillId="12" borderId="221" applyNumberFormat="0" applyAlignment="0" applyProtection="0"/>
    <xf numFmtId="0" fontId="48" fillId="24" borderId="221" applyNumberFormat="0" applyAlignment="0" applyProtection="0"/>
    <xf numFmtId="0" fontId="48" fillId="24" borderId="221" applyNumberFormat="0" applyAlignment="0" applyProtection="0"/>
    <xf numFmtId="0" fontId="31" fillId="0" borderId="227" applyNumberFormat="0" applyFill="0" applyAlignment="0" applyProtection="0"/>
    <xf numFmtId="0" fontId="31" fillId="0" borderId="227" applyNumberFormat="0" applyFill="0" applyAlignment="0" applyProtection="0"/>
    <xf numFmtId="0" fontId="31" fillId="0" borderId="226" applyNumberFormat="0" applyFill="0" applyAlignment="0" applyProtection="0"/>
    <xf numFmtId="0" fontId="16" fillId="24" borderId="221" applyNumberFormat="0" applyAlignment="0" applyProtection="0"/>
    <xf numFmtId="0" fontId="25" fillId="13" borderId="221" applyNumberFormat="0" applyAlignment="0" applyProtection="0"/>
    <xf numFmtId="0" fontId="29" fillId="24" borderId="220" applyNumberFormat="0" applyAlignment="0" applyProtection="0"/>
    <xf numFmtId="0" fontId="31" fillId="0" borderId="227" applyNumberFormat="0" applyFill="0" applyAlignment="0" applyProtection="0"/>
    <xf numFmtId="0" fontId="31" fillId="0" borderId="226" applyNumberFormat="0" applyFill="0" applyAlignment="0" applyProtection="0"/>
    <xf numFmtId="0" fontId="31" fillId="0" borderId="227" applyNumberFormat="0" applyFill="0" applyAlignment="0" applyProtection="0"/>
    <xf numFmtId="0" fontId="31" fillId="0" borderId="227" applyNumberFormat="0" applyFill="0" applyAlignment="0" applyProtection="0"/>
    <xf numFmtId="0" fontId="31" fillId="0" borderId="246" applyNumberFormat="0" applyFill="0" applyAlignment="0" applyProtection="0"/>
    <xf numFmtId="0" fontId="31" fillId="0" borderId="227" applyNumberFormat="0" applyFill="0" applyAlignment="0" applyProtection="0"/>
    <xf numFmtId="0" fontId="29" fillId="24" borderId="220" applyNumberFormat="0" applyAlignment="0" applyProtection="0"/>
    <xf numFmtId="0" fontId="8" fillId="10" borderId="222" applyNumberFormat="0" applyFont="0" applyAlignment="0" applyProtection="0"/>
    <xf numFmtId="0" fontId="48" fillId="12" borderId="221" applyNumberFormat="0" applyAlignment="0" applyProtection="0"/>
    <xf numFmtId="0" fontId="29" fillId="12" borderId="220" applyNumberFormat="0" applyAlignment="0" applyProtection="0"/>
    <xf numFmtId="0" fontId="49" fillId="10" borderId="222" applyNumberFormat="0" applyFont="0" applyAlignment="0" applyProtection="0"/>
    <xf numFmtId="0" fontId="48" fillId="24" borderId="221" applyNumberFormat="0" applyAlignment="0" applyProtection="0"/>
    <xf numFmtId="0" fontId="31" fillId="0" borderId="219" applyNumberFormat="0" applyFill="0" applyAlignment="0" applyProtection="0"/>
    <xf numFmtId="0" fontId="29" fillId="12" borderId="220" applyNumberFormat="0" applyAlignment="0" applyProtection="0"/>
    <xf numFmtId="0" fontId="25" fillId="8" borderId="221" applyNumberFormat="0" applyAlignment="0" applyProtection="0"/>
    <xf numFmtId="0" fontId="48" fillId="12" borderId="221" applyNumberFormat="0" applyAlignment="0" applyProtection="0"/>
    <xf numFmtId="0" fontId="85" fillId="0" borderId="218"/>
    <xf numFmtId="0" fontId="85" fillId="0" borderId="218"/>
    <xf numFmtId="0" fontId="28" fillId="0" borderId="218"/>
    <xf numFmtId="0" fontId="8" fillId="45" borderId="229" applyNumberFormat="0" applyFont="0" applyAlignment="0" applyProtection="0"/>
    <xf numFmtId="0" fontId="49" fillId="10" borderId="222" applyNumberFormat="0" applyFont="0" applyAlignment="0" applyProtection="0"/>
    <xf numFmtId="0" fontId="29" fillId="12" borderId="250" applyNumberFormat="0" applyAlignment="0" applyProtection="0"/>
    <xf numFmtId="0" fontId="31" fillId="0" borderId="227" applyNumberFormat="0" applyFill="0" applyAlignment="0" applyProtection="0"/>
    <xf numFmtId="0" fontId="31" fillId="0" borderId="226" applyNumberFormat="0" applyFill="0" applyAlignment="0" applyProtection="0"/>
    <xf numFmtId="0" fontId="29" fillId="24" borderId="220" applyNumberFormat="0" applyAlignment="0" applyProtection="0"/>
    <xf numFmtId="0" fontId="29" fillId="24" borderId="220" applyNumberFormat="0" applyAlignment="0" applyProtection="0"/>
    <xf numFmtId="0" fontId="24" fillId="24" borderId="223" applyNumberFormat="0" applyAlignment="0" applyProtection="0"/>
    <xf numFmtId="0" fontId="28" fillId="10" borderId="222" applyNumberFormat="0" applyFont="0" applyAlignment="0" applyProtection="0"/>
    <xf numFmtId="0" fontId="28" fillId="10" borderId="222" applyNumberFormat="0" applyFont="0" applyAlignment="0" applyProtection="0"/>
    <xf numFmtId="0" fontId="18" fillId="10" borderId="222" applyNumberFormat="0" applyFont="0" applyAlignment="0" applyProtection="0"/>
    <xf numFmtId="0" fontId="25" fillId="13" borderId="221" applyNumberFormat="0" applyAlignment="0" applyProtection="0"/>
    <xf numFmtId="0" fontId="25" fillId="13" borderId="221" applyNumberFormat="0" applyAlignment="0" applyProtection="0"/>
    <xf numFmtId="0" fontId="41" fillId="13" borderId="221" applyNumberFormat="0" applyAlignment="0" applyProtection="0"/>
    <xf numFmtId="0" fontId="16" fillId="24" borderId="221" applyNumberFormat="0" applyAlignment="0" applyProtection="0"/>
    <xf numFmtId="0" fontId="32" fillId="24" borderId="221" applyNumberFormat="0" applyAlignment="0" applyProtection="0"/>
    <xf numFmtId="0" fontId="31" fillId="0" borderId="219" applyNumberFormat="0" applyFill="0" applyAlignment="0" applyProtection="0"/>
    <xf numFmtId="0" fontId="31" fillId="0" borderId="219" applyNumberFormat="0" applyFill="0" applyAlignment="0" applyProtection="0"/>
    <xf numFmtId="0" fontId="31" fillId="0" borderId="224" applyNumberFormat="0" applyFill="0" applyAlignment="0" applyProtection="0"/>
    <xf numFmtId="0" fontId="29" fillId="12" borderId="220" applyNumberFormat="0" applyAlignment="0" applyProtection="0"/>
    <xf numFmtId="0" fontId="49" fillId="10" borderId="222" applyNumberFormat="0" applyFont="0" applyAlignment="0" applyProtection="0"/>
    <xf numFmtId="0" fontId="8" fillId="10" borderId="222" applyNumberFormat="0" applyFont="0" applyAlignment="0" applyProtection="0"/>
    <xf numFmtId="0" fontId="8" fillId="10" borderId="222" applyNumberFormat="0" applyFont="0" applyAlignment="0" applyProtection="0"/>
    <xf numFmtId="0" fontId="41" fillId="13" borderId="221" applyNumberFormat="0" applyAlignment="0" applyProtection="0"/>
    <xf numFmtId="0" fontId="48" fillId="12" borderId="221" applyNumberFormat="0" applyAlignment="0" applyProtection="0"/>
    <xf numFmtId="0" fontId="48" fillId="24" borderId="221" applyNumberFormat="0" applyAlignment="0" applyProtection="0"/>
    <xf numFmtId="0" fontId="31" fillId="0" borderId="227" applyNumberFormat="0" applyFill="0" applyAlignment="0" applyProtection="0"/>
    <xf numFmtId="0" fontId="31" fillId="0" borderId="226" applyNumberFormat="0" applyFill="0" applyAlignment="0" applyProtection="0"/>
    <xf numFmtId="0" fontId="29" fillId="24" borderId="220" applyNumberFormat="0" applyAlignment="0" applyProtection="0"/>
    <xf numFmtId="0" fontId="29" fillId="24" borderId="220" applyNumberFormat="0" applyAlignment="0" applyProtection="0"/>
    <xf numFmtId="0" fontId="73" fillId="0" borderId="228" applyBorder="0">
      <alignment horizontal="center" vertical="center" wrapText="1"/>
    </xf>
    <xf numFmtId="0" fontId="31" fillId="0" borderId="219" applyNumberFormat="0" applyFill="0" applyAlignment="0" applyProtection="0"/>
    <xf numFmtId="0" fontId="29" fillId="12" borderId="220" applyNumberFormat="0" applyAlignment="0" applyProtection="0"/>
    <xf numFmtId="0" fontId="25" fillId="8" borderId="221" applyNumberFormat="0" applyAlignment="0" applyProtection="0"/>
    <xf numFmtId="0" fontId="48" fillId="12" borderId="221" applyNumberFormat="0" applyAlignment="0" applyProtection="0"/>
    <xf numFmtId="0" fontId="85" fillId="0" borderId="218"/>
    <xf numFmtId="0" fontId="28" fillId="0" borderId="218"/>
    <xf numFmtId="0" fontId="32" fillId="24" borderId="268" applyNumberFormat="0" applyAlignment="0" applyProtection="0"/>
    <xf numFmtId="0" fontId="31" fillId="0" borderId="273" applyNumberFormat="0" applyFill="0" applyAlignment="0" applyProtection="0"/>
    <xf numFmtId="0" fontId="49" fillId="10" borderId="222" applyNumberFormat="0" applyFont="0" applyAlignment="0" applyProtection="0"/>
    <xf numFmtId="0" fontId="31" fillId="0" borderId="312" applyNumberFormat="0" applyFill="0" applyAlignment="0" applyProtection="0"/>
    <xf numFmtId="0" fontId="85" fillId="73" borderId="321"/>
    <xf numFmtId="0" fontId="31" fillId="0" borderId="313" applyNumberFormat="0" applyFill="0" applyAlignment="0" applyProtection="0"/>
    <xf numFmtId="0" fontId="8" fillId="10" borderId="315" applyNumberFormat="0" applyFont="0" applyAlignment="0" applyProtection="0"/>
    <xf numFmtId="0" fontId="24" fillId="24" borderId="293" applyNumberFormat="0" applyAlignment="0" applyProtection="0"/>
    <xf numFmtId="0" fontId="25" fillId="13" borderId="307" applyNumberFormat="0" applyAlignment="0" applyProtection="0"/>
    <xf numFmtId="0" fontId="73" fillId="0" borderId="248" applyBorder="0">
      <alignment horizontal="center" vertical="center" wrapText="1"/>
    </xf>
    <xf numFmtId="0" fontId="85" fillId="0" borderId="247"/>
    <xf numFmtId="0" fontId="28" fillId="0" borderId="247"/>
    <xf numFmtId="0" fontId="24" fillId="24" borderId="245" applyNumberFormat="0" applyAlignment="0" applyProtection="0"/>
    <xf numFmtId="0" fontId="48" fillId="24" borderId="237" applyNumberFormat="0" applyAlignment="0" applyProtection="0"/>
    <xf numFmtId="0" fontId="25" fillId="13" borderId="237" applyNumberFormat="0" applyAlignment="0" applyProtection="0"/>
    <xf numFmtId="0" fontId="16" fillId="24" borderId="261" applyNumberFormat="0" applyAlignment="0" applyProtection="0"/>
    <xf numFmtId="0" fontId="8" fillId="10" borderId="292" applyNumberFormat="0" applyFont="0" applyAlignment="0" applyProtection="0"/>
    <xf numFmtId="0" fontId="31" fillId="0" borderId="318" applyNumberFormat="0" applyFill="0" applyAlignment="0" applyProtection="0"/>
    <xf numFmtId="0" fontId="8" fillId="10" borderId="315" applyNumberFormat="0" applyFont="0" applyAlignment="0" applyProtection="0"/>
    <xf numFmtId="0" fontId="28" fillId="10" borderId="315" applyNumberFormat="0" applyFont="0" applyAlignment="0" applyProtection="0"/>
    <xf numFmtId="0" fontId="25" fillId="13" borderId="268" applyNumberFormat="0" applyAlignment="0" applyProtection="0"/>
    <xf numFmtId="0" fontId="48" fillId="24" borderId="314" applyNumberFormat="0" applyAlignment="0" applyProtection="0"/>
    <xf numFmtId="0" fontId="31" fillId="0" borderId="289" applyNumberFormat="0" applyFill="0" applyAlignment="0" applyProtection="0"/>
    <xf numFmtId="0" fontId="29" fillId="24" borderId="294" applyNumberFormat="0" applyAlignment="0" applyProtection="0"/>
    <xf numFmtId="0" fontId="32" fillId="24" borderId="291" applyNumberFormat="0" applyAlignment="0" applyProtection="0"/>
    <xf numFmtId="0" fontId="18" fillId="10" borderId="315" applyNumberFormat="0" applyFont="0" applyAlignment="0" applyProtection="0"/>
    <xf numFmtId="0" fontId="31" fillId="0" borderId="257" applyNumberFormat="0" applyFill="0" applyAlignment="0" applyProtection="0"/>
    <xf numFmtId="0" fontId="28" fillId="10" borderId="255" applyNumberFormat="0" applyFont="0" applyAlignment="0" applyProtection="0"/>
    <xf numFmtId="0" fontId="8" fillId="10" borderId="255" applyNumberFormat="0" applyFont="0" applyAlignment="0" applyProtection="0"/>
    <xf numFmtId="0" fontId="8" fillId="10" borderId="255" applyNumberFormat="0" applyFont="0" applyAlignment="0" applyProtection="0"/>
    <xf numFmtId="0" fontId="18" fillId="10" borderId="255" applyNumberFormat="0" applyFont="0" applyAlignment="0" applyProtection="0"/>
    <xf numFmtId="0" fontId="48" fillId="24" borderId="314" applyNumberFormat="0" applyAlignment="0" applyProtection="0"/>
    <xf numFmtId="0" fontId="41" fillId="13" borderId="254" applyNumberFormat="0" applyAlignment="0" applyProtection="0"/>
    <xf numFmtId="0" fontId="24" fillId="24" borderId="293" applyNumberFormat="0" applyAlignment="0" applyProtection="0"/>
    <xf numFmtId="0" fontId="29" fillId="24" borderId="294" applyNumberFormat="0" applyAlignment="0" applyProtection="0"/>
    <xf numFmtId="0" fontId="31" fillId="0" borderId="246" applyNumberFormat="0" applyFill="0" applyAlignment="0" applyProtection="0"/>
    <xf numFmtId="0" fontId="31" fillId="0" borderId="249" applyNumberFormat="0" applyFill="0" applyAlignment="0" applyProtection="0"/>
    <xf numFmtId="0" fontId="31" fillId="0" borderId="289" applyNumberFormat="0" applyFill="0" applyAlignment="0" applyProtection="0"/>
    <xf numFmtId="0" fontId="28" fillId="10" borderId="244" applyNumberFormat="0" applyFont="0" applyAlignment="0" applyProtection="0"/>
    <xf numFmtId="0" fontId="31" fillId="0" borderId="252" applyNumberFormat="0" applyFill="0" applyAlignment="0" applyProtection="0"/>
    <xf numFmtId="0" fontId="24" fillId="24" borderId="245" applyNumberFormat="0" applyAlignment="0" applyProtection="0"/>
    <xf numFmtId="0" fontId="73" fillId="0" borderId="248" applyBorder="0">
      <alignment horizontal="center" vertical="center" wrapText="1"/>
    </xf>
    <xf numFmtId="0" fontId="49" fillId="10" borderId="244" applyNumberFormat="0" applyFont="0" applyAlignment="0" applyProtection="0"/>
    <xf numFmtId="0" fontId="29" fillId="24" borderId="250" applyNumberFormat="0" applyAlignment="0" applyProtection="0"/>
    <xf numFmtId="0" fontId="8" fillId="10" borderId="301" applyNumberFormat="0" applyFont="0" applyAlignment="0" applyProtection="0"/>
    <xf numFmtId="0" fontId="31" fillId="0" borderId="252" applyNumberFormat="0" applyFill="0" applyAlignment="0" applyProtection="0"/>
    <xf numFmtId="0" fontId="31" fillId="0" borderId="312" applyNumberFormat="0" applyFill="0" applyAlignment="0" applyProtection="0"/>
    <xf numFmtId="0" fontId="31" fillId="0" borderId="290" applyNumberFormat="0" applyFill="0" applyAlignment="0" applyProtection="0"/>
    <xf numFmtId="0" fontId="31" fillId="0" borderId="296" applyNumberFormat="0" applyFill="0" applyAlignment="0" applyProtection="0"/>
    <xf numFmtId="0" fontId="31" fillId="0" borderId="319" applyNumberFormat="0" applyFill="0" applyAlignment="0" applyProtection="0"/>
    <xf numFmtId="0" fontId="48" fillId="24" borderId="221" applyNumberFormat="0" applyAlignment="0" applyProtection="0"/>
    <xf numFmtId="0" fontId="31" fillId="0" borderId="296" applyNumberFormat="0" applyFill="0" applyAlignment="0" applyProtection="0"/>
    <xf numFmtId="0" fontId="28" fillId="10" borderId="244" applyNumberFormat="0" applyFont="0" applyAlignment="0" applyProtection="0"/>
    <xf numFmtId="0" fontId="31" fillId="0" borderId="227" applyNumberFormat="0" applyFill="0" applyAlignment="0" applyProtection="0"/>
    <xf numFmtId="0" fontId="31" fillId="0" borderId="227" applyNumberFormat="0" applyFill="0" applyAlignment="0" applyProtection="0"/>
    <xf numFmtId="0" fontId="31" fillId="0" borderId="226" applyNumberFormat="0" applyFill="0" applyAlignment="0" applyProtection="0"/>
    <xf numFmtId="0" fontId="29" fillId="24" borderId="220" applyNumberFormat="0" applyAlignment="0" applyProtection="0"/>
    <xf numFmtId="0" fontId="24" fillId="24" borderId="223" applyNumberFormat="0" applyAlignment="0" applyProtection="0"/>
    <xf numFmtId="0" fontId="28" fillId="10" borderId="222" applyNumberFormat="0" applyFont="0" applyAlignment="0" applyProtection="0"/>
    <xf numFmtId="0" fontId="28" fillId="10" borderId="222" applyNumberFormat="0" applyFont="0" applyAlignment="0" applyProtection="0"/>
    <xf numFmtId="0" fontId="28" fillId="10" borderId="222" applyNumberFormat="0" applyFont="0" applyAlignment="0" applyProtection="0"/>
    <xf numFmtId="0" fontId="73" fillId="0" borderId="228" applyBorder="0">
      <alignment horizontal="center" vertical="center" wrapText="1"/>
    </xf>
    <xf numFmtId="0" fontId="25" fillId="13" borderId="221" applyNumberFormat="0" applyAlignment="0" applyProtection="0"/>
    <xf numFmtId="0" fontId="25" fillId="13" borderId="221" applyNumberFormat="0" applyAlignment="0" applyProtection="0"/>
    <xf numFmtId="0" fontId="16" fillId="24" borderId="221" applyNumberFormat="0" applyAlignment="0" applyProtection="0"/>
    <xf numFmtId="0" fontId="16" fillId="24" borderId="221" applyNumberFormat="0" applyAlignment="0" applyProtection="0"/>
    <xf numFmtId="0" fontId="32" fillId="24" borderId="221" applyNumberFormat="0" applyAlignment="0" applyProtection="0"/>
    <xf numFmtId="0" fontId="31" fillId="0" borderId="219" applyNumberFormat="0" applyFill="0" applyAlignment="0" applyProtection="0"/>
    <xf numFmtId="0" fontId="8" fillId="10" borderId="222" applyNumberFormat="0" applyFont="0" applyAlignment="0" applyProtection="0"/>
    <xf numFmtId="0" fontId="31" fillId="0" borderId="227" applyNumberFormat="0" applyFill="0" applyAlignment="0" applyProtection="0"/>
    <xf numFmtId="0" fontId="31" fillId="0" borderId="227" applyNumberFormat="0" applyFill="0" applyAlignment="0" applyProtection="0"/>
    <xf numFmtId="0" fontId="31" fillId="0" borderId="226" applyNumberFormat="0" applyFill="0" applyAlignment="0" applyProtection="0"/>
    <xf numFmtId="0" fontId="49" fillId="10" borderId="315" applyNumberFormat="0" applyFont="0" applyAlignment="0" applyProtection="0"/>
    <xf numFmtId="0" fontId="25" fillId="13" borderId="268" applyNumberFormat="0" applyAlignment="0" applyProtection="0"/>
    <xf numFmtId="0" fontId="25" fillId="8" borderId="268" applyNumberFormat="0" applyAlignment="0" applyProtection="0"/>
    <xf numFmtId="0" fontId="29" fillId="24" borderId="220" applyNumberFormat="0" applyAlignment="0" applyProtection="0"/>
    <xf numFmtId="0" fontId="24" fillId="24" borderId="223" applyNumberFormat="0" applyAlignment="0" applyProtection="0"/>
    <xf numFmtId="0" fontId="28" fillId="10" borderId="222" applyNumberFormat="0" applyFont="0" applyAlignment="0" applyProtection="0"/>
    <xf numFmtId="0" fontId="28" fillId="10" borderId="222" applyNumberFormat="0" applyFont="0" applyAlignment="0" applyProtection="0"/>
    <xf numFmtId="0" fontId="28" fillId="10" borderId="308" applyNumberFormat="0" applyFont="0" applyAlignment="0" applyProtection="0"/>
    <xf numFmtId="0" fontId="85" fillId="73" borderId="275"/>
    <xf numFmtId="0" fontId="85" fillId="0" borderId="275"/>
    <xf numFmtId="0" fontId="31" fillId="0" borderId="319" applyNumberFormat="0" applyFill="0" applyAlignment="0" applyProtection="0"/>
    <xf numFmtId="0" fontId="29" fillId="24" borderId="317" applyNumberFormat="0" applyAlignment="0" applyProtection="0"/>
    <xf numFmtId="0" fontId="16" fillId="24" borderId="314" applyNumberFormat="0" applyAlignment="0" applyProtection="0"/>
    <xf numFmtId="0" fontId="8" fillId="10" borderId="278" applyNumberFormat="0" applyFont="0" applyAlignment="0" applyProtection="0"/>
    <xf numFmtId="0" fontId="29" fillId="12" borderId="317" applyNumberFormat="0" applyAlignment="0" applyProtection="0"/>
    <xf numFmtId="0" fontId="8" fillId="10" borderId="315" applyNumberFormat="0" applyFont="0" applyAlignment="0" applyProtection="0"/>
    <xf numFmtId="0" fontId="31" fillId="0" borderId="318" applyNumberFormat="0" applyFill="0" applyAlignment="0" applyProtection="0"/>
    <xf numFmtId="0" fontId="31" fillId="0" borderId="313" applyNumberFormat="0" applyFill="0" applyAlignment="0" applyProtection="0"/>
    <xf numFmtId="0" fontId="31" fillId="0" borderId="313" applyNumberFormat="0" applyFill="0" applyAlignment="0" applyProtection="0"/>
    <xf numFmtId="0" fontId="29" fillId="24" borderId="294" applyNumberFormat="0" applyAlignment="0" applyProtection="0"/>
    <xf numFmtId="0" fontId="8" fillId="10" borderId="292" applyNumberFormat="0" applyFont="0" applyAlignment="0" applyProtection="0"/>
    <xf numFmtId="0" fontId="29" fillId="12" borderId="294" applyNumberFormat="0" applyAlignment="0" applyProtection="0"/>
    <xf numFmtId="0" fontId="25" fillId="13" borderId="221" applyNumberFormat="0" applyAlignment="0" applyProtection="0"/>
    <xf numFmtId="0" fontId="25" fillId="13" borderId="221" applyNumberFormat="0" applyAlignment="0" applyProtection="0"/>
    <xf numFmtId="0" fontId="25" fillId="13" borderId="221" applyNumberFormat="0" applyAlignment="0" applyProtection="0"/>
    <xf numFmtId="0" fontId="24" fillId="24" borderId="245" applyNumberFormat="0" applyAlignment="0" applyProtection="0"/>
    <xf numFmtId="0" fontId="28" fillId="10" borderId="244" applyNumberFormat="0" applyFont="0" applyAlignment="0" applyProtection="0"/>
    <xf numFmtId="0" fontId="31" fillId="0" borderId="266" applyNumberFormat="0" applyFill="0" applyAlignment="0" applyProtection="0"/>
    <xf numFmtId="0" fontId="85" fillId="0" borderId="275"/>
    <xf numFmtId="0" fontId="32" fillId="24" borderId="268" applyNumberFormat="0" applyAlignment="0" applyProtection="0"/>
    <xf numFmtId="0" fontId="73" fillId="0" borderId="297" applyBorder="0">
      <alignment horizontal="center" vertical="center" wrapText="1"/>
    </xf>
    <xf numFmtId="0" fontId="49" fillId="10" borderId="315" applyNumberFormat="0" applyFont="0" applyAlignment="0" applyProtection="0"/>
    <xf numFmtId="0" fontId="31" fillId="0" borderId="296" applyNumberFormat="0" applyFill="0" applyAlignment="0" applyProtection="0"/>
    <xf numFmtId="0" fontId="49" fillId="10" borderId="292" applyNumberFormat="0" applyFont="0" applyAlignment="0" applyProtection="0"/>
    <xf numFmtId="0" fontId="24" fillId="24" borderId="309" applyNumberFormat="0" applyAlignment="0" applyProtection="0"/>
    <xf numFmtId="0" fontId="31" fillId="0" borderId="251" applyNumberFormat="0" applyFill="0" applyAlignment="0" applyProtection="0"/>
    <xf numFmtId="0" fontId="8" fillId="10" borderId="292" applyNumberFormat="0" applyFont="0" applyAlignment="0" applyProtection="0"/>
    <xf numFmtId="0" fontId="48" fillId="24" borderId="291" applyNumberFormat="0" applyAlignment="0" applyProtection="0"/>
    <xf numFmtId="0" fontId="16" fillId="24" borderId="221" applyNumberFormat="0" applyAlignment="0" applyProtection="0"/>
    <xf numFmtId="0" fontId="16" fillId="24" borderId="221" applyNumberFormat="0" applyAlignment="0" applyProtection="0"/>
    <xf numFmtId="0" fontId="32" fillId="24" borderId="221" applyNumberFormat="0" applyAlignment="0" applyProtection="0"/>
    <xf numFmtId="0" fontId="28" fillId="10" borderId="301" applyNumberFormat="0" applyFont="0" applyAlignment="0" applyProtection="0"/>
    <xf numFmtId="0" fontId="16" fillId="24" borderId="291" applyNumberFormat="0" applyAlignment="0" applyProtection="0"/>
    <xf numFmtId="0" fontId="31" fillId="0" borderId="289" applyNumberFormat="0" applyFill="0" applyAlignment="0" applyProtection="0"/>
    <xf numFmtId="0" fontId="73" fillId="0" borderId="297" applyBorder="0">
      <alignment horizontal="center" vertical="center" wrapText="1"/>
    </xf>
    <xf numFmtId="0" fontId="18" fillId="10" borderId="292" applyNumberFormat="0" applyFont="0" applyAlignment="0" applyProtection="0"/>
    <xf numFmtId="0" fontId="8" fillId="10" borderId="292" applyNumberFormat="0" applyFont="0" applyAlignment="0" applyProtection="0"/>
    <xf numFmtId="0" fontId="29" fillId="24" borderId="250" applyNumberFormat="0" applyAlignment="0" applyProtection="0"/>
    <xf numFmtId="0" fontId="31" fillId="0" borderId="246" applyNumberFormat="0" applyFill="0" applyAlignment="0" applyProtection="0"/>
    <xf numFmtId="0" fontId="24" fillId="24" borderId="316" applyNumberFormat="0" applyAlignment="0" applyProtection="0"/>
    <xf numFmtId="0" fontId="31" fillId="0" borderId="252" applyNumberFormat="0" applyFill="0" applyAlignment="0" applyProtection="0"/>
    <xf numFmtId="0" fontId="31" fillId="0" borderId="296" applyNumberFormat="0" applyFill="0" applyAlignment="0" applyProtection="0"/>
    <xf numFmtId="0" fontId="25" fillId="13" borderId="291" applyNumberFormat="0" applyAlignment="0" applyProtection="0"/>
    <xf numFmtId="0" fontId="31" fillId="0" borderId="296" applyNumberFormat="0" applyFill="0" applyAlignment="0" applyProtection="0"/>
    <xf numFmtId="0" fontId="49" fillId="10" borderId="315" applyNumberFormat="0" applyFont="0" applyAlignment="0" applyProtection="0"/>
    <xf numFmtId="0" fontId="28" fillId="10" borderId="315" applyNumberFormat="0" applyFont="0" applyAlignment="0" applyProtection="0"/>
    <xf numFmtId="0" fontId="28" fillId="0" borderId="234"/>
    <xf numFmtId="0" fontId="18" fillId="10" borderId="262" applyNumberFormat="0" applyFont="0" applyAlignment="0" applyProtection="0"/>
    <xf numFmtId="0" fontId="41" fillId="13" borderId="268" applyNumberFormat="0" applyAlignment="0" applyProtection="0"/>
    <xf numFmtId="0" fontId="8" fillId="45" borderId="253" applyNumberFormat="0" applyFont="0" applyAlignment="0" applyProtection="0"/>
    <xf numFmtId="0" fontId="31" fillId="0" borderId="319" applyNumberFormat="0" applyFill="0" applyAlignment="0" applyProtection="0"/>
    <xf numFmtId="0" fontId="24" fillId="24" borderId="302" applyNumberFormat="0" applyAlignment="0" applyProtection="0"/>
    <xf numFmtId="0" fontId="31" fillId="0" borderId="290" applyNumberFormat="0" applyFill="0" applyAlignment="0" applyProtection="0"/>
    <xf numFmtId="0" fontId="31" fillId="0" borderId="295" applyNumberFormat="0" applyFill="0" applyAlignment="0" applyProtection="0"/>
    <xf numFmtId="0" fontId="48" fillId="12" borderId="291" applyNumberFormat="0" applyAlignment="0" applyProtection="0"/>
    <xf numFmtId="0" fontId="24" fillId="24" borderId="245" applyNumberFormat="0" applyAlignment="0" applyProtection="0"/>
    <xf numFmtId="0" fontId="31" fillId="0" borderId="267" applyNumberFormat="0" applyFill="0" applyAlignment="0" applyProtection="0"/>
    <xf numFmtId="0" fontId="31" fillId="0" borderId="252" applyNumberFormat="0" applyFill="0" applyAlignment="0" applyProtection="0"/>
    <xf numFmtId="0" fontId="31" fillId="0" borderId="295" applyNumberFormat="0" applyFill="0" applyAlignment="0" applyProtection="0"/>
    <xf numFmtId="0" fontId="8" fillId="10" borderId="301" applyNumberFormat="0" applyFont="0" applyAlignment="0" applyProtection="0"/>
    <xf numFmtId="0" fontId="31" fillId="0" borderId="251" applyNumberFormat="0" applyFill="0" applyAlignment="0" applyProtection="0"/>
    <xf numFmtId="0" fontId="48" fillId="24" borderId="268" applyNumberFormat="0" applyAlignment="0" applyProtection="0"/>
    <xf numFmtId="0" fontId="29" fillId="24" borderId="271" applyNumberFormat="0" applyAlignment="0" applyProtection="0"/>
    <xf numFmtId="0" fontId="29" fillId="24" borderId="271" applyNumberFormat="0" applyAlignment="0" applyProtection="0"/>
    <xf numFmtId="0" fontId="48" fillId="24" borderId="314" applyNumberFormat="0" applyAlignment="0" applyProtection="0"/>
    <xf numFmtId="0" fontId="85" fillId="0" borderId="321"/>
    <xf numFmtId="0" fontId="41" fillId="13" borderId="314" applyNumberFormat="0" applyAlignment="0" applyProtection="0"/>
    <xf numFmtId="0" fontId="16" fillId="24" borderId="237" applyNumberFormat="0" applyAlignment="0" applyProtection="0"/>
    <xf numFmtId="0" fontId="31" fillId="0" borderId="273" applyNumberFormat="0" applyFill="0" applyAlignment="0" applyProtection="0"/>
    <xf numFmtId="0" fontId="73" fillId="0" borderId="265" applyBorder="0">
      <alignment horizontal="center" vertical="center" wrapText="1"/>
    </xf>
    <xf numFmtId="0" fontId="31" fillId="0" borderId="267" applyNumberFormat="0" applyFill="0" applyAlignment="0" applyProtection="0"/>
    <xf numFmtId="0" fontId="29" fillId="24" borderId="271" applyNumberFormat="0" applyAlignment="0" applyProtection="0"/>
    <xf numFmtId="0" fontId="18" fillId="10" borderId="269" applyNumberFormat="0" applyFont="0" applyAlignment="0" applyProtection="0"/>
    <xf numFmtId="0" fontId="48" fillId="12" borderId="237" applyNumberFormat="0" applyAlignment="0" applyProtection="0"/>
    <xf numFmtId="0" fontId="31" fillId="0" borderId="267" applyNumberFormat="0" applyFill="0" applyAlignment="0" applyProtection="0"/>
    <xf numFmtId="0" fontId="49" fillId="10" borderId="238" applyNumberFormat="0" applyFont="0" applyAlignment="0" applyProtection="0"/>
    <xf numFmtId="0" fontId="28" fillId="10" borderId="238" applyNumberFormat="0" applyFont="0" applyAlignment="0" applyProtection="0"/>
    <xf numFmtId="0" fontId="8" fillId="10" borderId="238" applyNumberFormat="0" applyFont="0" applyAlignment="0" applyProtection="0"/>
    <xf numFmtId="0" fontId="31" fillId="0" borderId="267" applyNumberFormat="0" applyFill="0" applyAlignment="0" applyProtection="0"/>
    <xf numFmtId="0" fontId="28" fillId="0" borderId="321"/>
    <xf numFmtId="0" fontId="24" fillId="24" borderId="279" applyNumberFormat="0" applyAlignment="0" applyProtection="0"/>
    <xf numFmtId="0" fontId="48" fillId="24" borderId="314" applyNumberFormat="0" applyAlignment="0" applyProtection="0"/>
    <xf numFmtId="0" fontId="48" fillId="12" borderId="314" applyNumberFormat="0" applyAlignment="0" applyProtection="0"/>
    <xf numFmtId="0" fontId="48" fillId="12" borderId="268" applyNumberFormat="0" applyAlignment="0" applyProtection="0"/>
    <xf numFmtId="0" fontId="41" fillId="13" borderId="268" applyNumberFormat="0" applyAlignment="0" applyProtection="0"/>
    <xf numFmtId="0" fontId="8" fillId="10" borderId="269" applyNumberFormat="0" applyFont="0" applyAlignment="0" applyProtection="0"/>
    <xf numFmtId="0" fontId="29" fillId="12" borderId="271" applyNumberFormat="0" applyAlignment="0" applyProtection="0"/>
    <xf numFmtId="0" fontId="31" fillId="0" borderId="266" applyNumberFormat="0" applyFill="0" applyAlignment="0" applyProtection="0"/>
    <xf numFmtId="0" fontId="49" fillId="10" borderId="269" applyNumberFormat="0" applyFont="0" applyAlignment="0" applyProtection="0"/>
    <xf numFmtId="0" fontId="8" fillId="10" borderId="269" applyNumberFormat="0" applyFont="0" applyAlignment="0" applyProtection="0"/>
    <xf numFmtId="0" fontId="25" fillId="13" borderId="268" applyNumberFormat="0" applyAlignment="0" applyProtection="0"/>
    <xf numFmtId="0" fontId="24" fillId="24" borderId="270" applyNumberFormat="0" applyAlignment="0" applyProtection="0"/>
    <xf numFmtId="0" fontId="8" fillId="10" borderId="269" applyNumberFormat="0" applyFont="0" applyAlignment="0" applyProtection="0"/>
    <xf numFmtId="0" fontId="25" fillId="8" borderId="268" applyNumberFormat="0" applyAlignment="0" applyProtection="0"/>
    <xf numFmtId="0" fontId="48" fillId="12" borderId="268" applyNumberFormat="0" applyAlignment="0" applyProtection="0"/>
    <xf numFmtId="0" fontId="49" fillId="10" borderId="269" applyNumberFormat="0" applyFont="0" applyAlignment="0" applyProtection="0"/>
    <xf numFmtId="0" fontId="8" fillId="45" borderId="276" applyNumberFormat="0" applyFont="0" applyAlignment="0" applyProtection="0"/>
    <xf numFmtId="0" fontId="29" fillId="24" borderId="317" applyNumberFormat="0" applyAlignment="0" applyProtection="0"/>
    <xf numFmtId="0" fontId="31" fillId="0" borderId="313" applyNumberFormat="0" applyFill="0" applyAlignment="0" applyProtection="0"/>
    <xf numFmtId="0" fontId="49" fillId="10" borderId="292" applyNumberFormat="0" applyFont="0" applyAlignment="0" applyProtection="0"/>
    <xf numFmtId="0" fontId="8" fillId="10" borderId="315" applyNumberFormat="0" applyFont="0" applyAlignment="0" applyProtection="0"/>
    <xf numFmtId="0" fontId="28" fillId="10" borderId="244" applyNumberFormat="0" applyFont="0" applyAlignment="0" applyProtection="0"/>
    <xf numFmtId="0" fontId="48" fillId="24" borderId="314" applyNumberFormat="0" applyAlignment="0" applyProtection="0"/>
    <xf numFmtId="0" fontId="25" fillId="13" borderId="291" applyNumberFormat="0" applyAlignment="0" applyProtection="0"/>
    <xf numFmtId="0" fontId="25" fillId="8" borderId="314" applyNumberFormat="0" applyAlignment="0" applyProtection="0"/>
    <xf numFmtId="0" fontId="8" fillId="10" borderId="269" applyNumberFormat="0" applyFont="0" applyAlignment="0" applyProtection="0"/>
    <xf numFmtId="0" fontId="8" fillId="10" borderId="315" applyNumberFormat="0" applyFont="0" applyAlignment="0" applyProtection="0"/>
    <xf numFmtId="0" fontId="41" fillId="13" borderId="314" applyNumberFormat="0" applyAlignment="0" applyProtection="0"/>
    <xf numFmtId="0" fontId="85" fillId="0" borderId="298"/>
    <xf numFmtId="0" fontId="48" fillId="24" borderId="291" applyNumberFormat="0" applyAlignment="0" applyProtection="0"/>
    <xf numFmtId="0" fontId="28" fillId="10" borderId="292" applyNumberFormat="0" applyFont="0" applyAlignment="0" applyProtection="0"/>
    <xf numFmtId="0" fontId="16" fillId="24" borderId="284" applyNumberFormat="0" applyAlignment="0" applyProtection="0"/>
    <xf numFmtId="0" fontId="49" fillId="10" borderId="292" applyNumberFormat="0" applyFont="0" applyAlignment="0" applyProtection="0"/>
    <xf numFmtId="0" fontId="49" fillId="10" borderId="292" applyNumberFormat="0" applyFont="0" applyAlignment="0" applyProtection="0"/>
    <xf numFmtId="0" fontId="25" fillId="13" borderId="268" applyNumberFormat="0" applyAlignment="0" applyProtection="0"/>
    <xf numFmtId="0" fontId="28" fillId="0" borderId="321"/>
    <xf numFmtId="0" fontId="16" fillId="24" borderId="323" applyNumberFormat="0" applyAlignment="0" applyProtection="0"/>
    <xf numFmtId="0" fontId="28" fillId="10" borderId="324" applyNumberFormat="0" applyFont="0" applyAlignment="0" applyProtection="0"/>
    <xf numFmtId="0" fontId="29" fillId="24" borderId="283" applyNumberFormat="0" applyAlignment="0" applyProtection="0"/>
    <xf numFmtId="0" fontId="29" fillId="12" borderId="317" applyNumberFormat="0" applyAlignment="0" applyProtection="0"/>
    <xf numFmtId="0" fontId="31" fillId="0" borderId="313" applyNumberFormat="0" applyFill="0" applyAlignment="0" applyProtection="0"/>
    <xf numFmtId="0" fontId="28" fillId="10" borderId="315" applyNumberFormat="0" applyFont="0" applyAlignment="0" applyProtection="0"/>
    <xf numFmtId="0" fontId="31" fillId="0" borderId="290" applyNumberFormat="0" applyFill="0" applyAlignment="0" applyProtection="0"/>
    <xf numFmtId="0" fontId="31" fillId="0" borderId="295" applyNumberFormat="0" applyFill="0" applyAlignment="0" applyProtection="0"/>
    <xf numFmtId="0" fontId="31" fillId="0" borderId="295" applyNumberFormat="0" applyFill="0" applyAlignment="0" applyProtection="0"/>
    <xf numFmtId="0" fontId="16" fillId="24" borderId="284" applyNumberFormat="0" applyAlignment="0" applyProtection="0"/>
    <xf numFmtId="0" fontId="31" fillId="0" borderId="313" applyNumberFormat="0" applyFill="0" applyAlignment="0" applyProtection="0"/>
    <xf numFmtId="0" fontId="25" fillId="13" borderId="314" applyNumberFormat="0" applyAlignment="0" applyProtection="0"/>
    <xf numFmtId="0" fontId="29" fillId="12" borderId="294" applyNumberFormat="0" applyAlignment="0" applyProtection="0"/>
    <xf numFmtId="0" fontId="31" fillId="0" borderId="290" applyNumberFormat="0" applyFill="0" applyAlignment="0" applyProtection="0"/>
    <xf numFmtId="0" fontId="49" fillId="10" borderId="244" applyNumberFormat="0" applyFont="0" applyAlignment="0" applyProtection="0"/>
    <xf numFmtId="0" fontId="85" fillId="0" borderId="247"/>
    <xf numFmtId="0" fontId="16" fillId="24" borderId="291" applyNumberFormat="0" applyAlignment="0" applyProtection="0"/>
    <xf numFmtId="0" fontId="31" fillId="0" borderId="252" applyNumberFormat="0" applyFill="0" applyAlignment="0" applyProtection="0"/>
    <xf numFmtId="0" fontId="8" fillId="10" borderId="292" applyNumberFormat="0" applyFont="0" applyAlignment="0" applyProtection="0"/>
    <xf numFmtId="0" fontId="31" fillId="0" borderId="246" applyNumberFormat="0" applyFill="0" applyAlignment="0" applyProtection="0"/>
    <xf numFmtId="0" fontId="8" fillId="10" borderId="244" applyNumberFormat="0" applyFont="0" applyAlignment="0" applyProtection="0"/>
    <xf numFmtId="0" fontId="24" fillId="24" borderId="245" applyNumberFormat="0" applyAlignment="0" applyProtection="0"/>
    <xf numFmtId="0" fontId="31" fillId="0" borderId="249" applyNumberFormat="0" applyFill="0" applyAlignment="0" applyProtection="0"/>
    <xf numFmtId="0" fontId="41" fillId="13" borderId="314" applyNumberFormat="0" applyAlignment="0" applyProtection="0"/>
    <xf numFmtId="0" fontId="18" fillId="10" borderId="301" applyNumberFormat="0" applyFont="0" applyAlignment="0" applyProtection="0"/>
    <xf numFmtId="0" fontId="16" fillId="24" borderId="300" applyNumberFormat="0" applyAlignment="0" applyProtection="0"/>
    <xf numFmtId="0" fontId="28" fillId="0" borderId="298"/>
    <xf numFmtId="0" fontId="25" fillId="13" borderId="291" applyNumberFormat="0" applyAlignment="0" applyProtection="0"/>
    <xf numFmtId="0" fontId="31" fillId="0" borderId="296" applyNumberFormat="0" applyFill="0" applyAlignment="0" applyProtection="0"/>
    <xf numFmtId="0" fontId="8" fillId="45" borderId="299" applyNumberFormat="0" applyFont="0" applyAlignment="0" applyProtection="0"/>
    <xf numFmtId="0" fontId="28" fillId="0" borderId="275"/>
    <xf numFmtId="0" fontId="29" fillId="24" borderId="283" applyNumberFormat="0" applyAlignment="0" applyProtection="0"/>
    <xf numFmtId="0" fontId="25" fillId="8" borderId="291" applyNumberFormat="0" applyAlignment="0" applyProtection="0"/>
    <xf numFmtId="0" fontId="48" fillId="12" borderId="291" applyNumberFormat="0" applyAlignment="0" applyProtection="0"/>
    <xf numFmtId="0" fontId="29" fillId="12" borderId="294" applyNumberFormat="0" applyAlignment="0" applyProtection="0"/>
    <xf numFmtId="0" fontId="25" fillId="13" borderId="314" applyNumberFormat="0" applyAlignment="0" applyProtection="0"/>
    <xf numFmtId="0" fontId="31" fillId="0" borderId="267" applyNumberFormat="0" applyFill="0" applyAlignment="0" applyProtection="0"/>
    <xf numFmtId="0" fontId="28" fillId="0" borderId="275"/>
    <xf numFmtId="0" fontId="48" fillId="12" borderId="314" applyNumberFormat="0" applyAlignment="0" applyProtection="0"/>
    <xf numFmtId="0" fontId="31" fillId="0" borderId="318" applyNumberFormat="0" applyFill="0" applyAlignment="0" applyProtection="0"/>
    <xf numFmtId="0" fontId="85" fillId="0" borderId="321"/>
    <xf numFmtId="0" fontId="16" fillId="24" borderId="291" applyNumberFormat="0" applyAlignment="0" applyProtection="0"/>
    <xf numFmtId="0" fontId="41" fillId="13" borderId="291" applyNumberFormat="0" applyAlignment="0" applyProtection="0"/>
    <xf numFmtId="0" fontId="16" fillId="24" borderId="314" applyNumberFormat="0" applyAlignment="0" applyProtection="0"/>
    <xf numFmtId="0" fontId="49" fillId="10" borderId="269" applyNumberFormat="0" applyFont="0" applyAlignment="0" applyProtection="0"/>
    <xf numFmtId="0" fontId="31" fillId="0" borderId="267" applyNumberFormat="0" applyFill="0" applyAlignment="0" applyProtection="0"/>
    <xf numFmtId="0" fontId="31" fillId="0" borderId="313" applyNumberFormat="0" applyFill="0" applyAlignment="0" applyProtection="0"/>
    <xf numFmtId="0" fontId="28" fillId="0" borderId="321"/>
    <xf numFmtId="0" fontId="48" fillId="12" borderId="268" applyNumberFormat="0" applyAlignment="0" applyProtection="0"/>
    <xf numFmtId="0" fontId="48" fillId="24" borderId="314" applyNumberFormat="0" applyAlignment="0" applyProtection="0"/>
    <xf numFmtId="0" fontId="49" fillId="10" borderId="315" applyNumberFormat="0" applyFont="0" applyAlignment="0" applyProtection="0"/>
    <xf numFmtId="0" fontId="49" fillId="10" borderId="315" applyNumberFormat="0" applyFont="0" applyAlignment="0" applyProtection="0"/>
    <xf numFmtId="0" fontId="73" fillId="0" borderId="288" applyBorder="0">
      <alignment horizontal="center" vertical="center" wrapText="1"/>
    </xf>
    <xf numFmtId="0" fontId="31" fillId="0" borderId="290" applyNumberFormat="0" applyFill="0" applyAlignment="0" applyProtection="0"/>
    <xf numFmtId="0" fontId="49" fillId="10" borderId="315" applyNumberFormat="0" applyFont="0" applyAlignment="0" applyProtection="0"/>
    <xf numFmtId="0" fontId="24" fillId="24" borderId="256" applyNumberFormat="0" applyAlignment="0" applyProtection="0"/>
    <xf numFmtId="0" fontId="31" fillId="0" borderId="289" applyNumberFormat="0" applyFill="0" applyAlignment="0" applyProtection="0"/>
    <xf numFmtId="0" fontId="85" fillId="0" borderId="247"/>
    <xf numFmtId="0" fontId="31" fillId="0" borderId="246" applyNumberFormat="0" applyFill="0" applyAlignment="0" applyProtection="0"/>
    <xf numFmtId="0" fontId="18" fillId="10" borderId="244" applyNumberFormat="0" applyFont="0" applyAlignment="0" applyProtection="0"/>
    <xf numFmtId="0" fontId="32" fillId="24" borderId="291" applyNumberFormat="0" applyAlignment="0" applyProtection="0"/>
    <xf numFmtId="0" fontId="31" fillId="0" borderId="252" applyNumberFormat="0" applyFill="0" applyAlignment="0" applyProtection="0"/>
    <xf numFmtId="0" fontId="28" fillId="0" borderId="247"/>
    <xf numFmtId="0" fontId="31" fillId="0" borderId="252" applyNumberFormat="0" applyFill="0" applyAlignment="0" applyProtection="0"/>
    <xf numFmtId="0" fontId="28" fillId="10" borderId="292" applyNumberFormat="0" applyFont="0" applyAlignment="0" applyProtection="0"/>
    <xf numFmtId="0" fontId="41" fillId="13" borderId="261" applyNumberFormat="0" applyAlignment="0" applyProtection="0"/>
    <xf numFmtId="0" fontId="29" fillId="24" borderId="260" applyNumberFormat="0" applyAlignment="0" applyProtection="0"/>
    <xf numFmtId="0" fontId="31" fillId="0" borderId="295" applyNumberFormat="0" applyFill="0" applyAlignment="0" applyProtection="0"/>
    <xf numFmtId="0" fontId="31" fillId="0" borderId="249" applyNumberFormat="0" applyFill="0" applyAlignment="0" applyProtection="0"/>
    <xf numFmtId="0" fontId="31" fillId="0" borderId="267" applyNumberFormat="0" applyFill="0" applyAlignment="0" applyProtection="0"/>
    <xf numFmtId="0" fontId="28" fillId="10" borderId="262" applyNumberFormat="0" applyFont="0" applyAlignment="0" applyProtection="0"/>
    <xf numFmtId="0" fontId="85" fillId="0" borderId="275"/>
    <xf numFmtId="0" fontId="31" fillId="0" borderId="273" applyNumberFormat="0" applyFill="0" applyAlignment="0" applyProtection="0"/>
    <xf numFmtId="0" fontId="8" fillId="10" borderId="269" applyNumberFormat="0" applyFont="0" applyAlignment="0" applyProtection="0"/>
    <xf numFmtId="0" fontId="16" fillId="24" borderId="237" applyNumberFormat="0" applyAlignment="0" applyProtection="0"/>
    <xf numFmtId="0" fontId="85" fillId="73" borderId="275"/>
    <xf numFmtId="0" fontId="24" fillId="24" borderId="270" applyNumberFormat="0" applyAlignment="0" applyProtection="0"/>
    <xf numFmtId="0" fontId="31" fillId="0" borderId="267" applyNumberFormat="0" applyFill="0" applyAlignment="0" applyProtection="0"/>
    <xf numFmtId="0" fontId="28" fillId="0" borderId="298"/>
    <xf numFmtId="0" fontId="28" fillId="0" borderId="275"/>
    <xf numFmtId="0" fontId="29" fillId="24" borderId="294" applyNumberFormat="0" applyAlignment="0" applyProtection="0"/>
    <xf numFmtId="0" fontId="29" fillId="12" borderId="317" applyNumberFormat="0" applyAlignment="0" applyProtection="0"/>
    <xf numFmtId="0" fontId="29" fillId="24" borderId="271" applyNumberFormat="0" applyAlignment="0" applyProtection="0"/>
    <xf numFmtId="0" fontId="48" fillId="12" borderId="268" applyNumberFormat="0" applyAlignment="0" applyProtection="0"/>
    <xf numFmtId="0" fontId="8" fillId="10" borderId="269" applyNumberFormat="0" applyFont="0" applyAlignment="0" applyProtection="0"/>
    <xf numFmtId="0" fontId="25" fillId="13" borderId="268" applyNumberFormat="0" applyAlignment="0" applyProtection="0"/>
    <xf numFmtId="0" fontId="29" fillId="24" borderId="271" applyNumberFormat="0" applyAlignment="0" applyProtection="0"/>
    <xf numFmtId="0" fontId="8" fillId="10" borderId="269" applyNumberFormat="0" applyFont="0" applyAlignment="0" applyProtection="0"/>
    <xf numFmtId="0" fontId="31" fillId="0" borderId="273" applyNumberFormat="0" applyFill="0" applyAlignment="0" applyProtection="0"/>
    <xf numFmtId="0" fontId="31" fillId="0" borderId="267" applyNumberFormat="0" applyFill="0" applyAlignment="0" applyProtection="0"/>
    <xf numFmtId="0" fontId="31" fillId="0" borderId="267" applyNumberFormat="0" applyFill="0" applyAlignment="0" applyProtection="0"/>
    <xf numFmtId="0" fontId="48" fillId="24" borderId="268" applyNumberFormat="0" applyAlignment="0" applyProtection="0"/>
    <xf numFmtId="0" fontId="31" fillId="0" borderId="273" applyNumberFormat="0" applyFill="0" applyAlignment="0" applyProtection="0"/>
    <xf numFmtId="0" fontId="41" fillId="13" borderId="268" applyNumberFormat="0" applyAlignment="0" applyProtection="0"/>
    <xf numFmtId="0" fontId="31" fillId="0" borderId="272" applyNumberFormat="0" applyFill="0" applyAlignment="0" applyProtection="0"/>
    <xf numFmtId="0" fontId="16" fillId="24" borderId="268" applyNumberFormat="0" applyAlignment="0" applyProtection="0"/>
    <xf numFmtId="0" fontId="25" fillId="13" borderId="268" applyNumberFormat="0" applyAlignment="0" applyProtection="0"/>
    <xf numFmtId="0" fontId="29" fillId="24" borderId="271" applyNumberFormat="0" applyAlignment="0" applyProtection="0"/>
    <xf numFmtId="0" fontId="28" fillId="10" borderId="269" applyNumberFormat="0" applyFont="0" applyAlignment="0" applyProtection="0"/>
    <xf numFmtId="0" fontId="29" fillId="24" borderId="271" applyNumberFormat="0" applyAlignment="0" applyProtection="0"/>
    <xf numFmtId="0" fontId="8" fillId="10" borderId="269" applyNumberFormat="0" applyFont="0" applyAlignment="0" applyProtection="0"/>
    <xf numFmtId="0" fontId="28" fillId="0" borderId="275"/>
    <xf numFmtId="0" fontId="31" fillId="0" borderId="273" applyNumberFormat="0" applyFill="0" applyAlignment="0" applyProtection="0"/>
    <xf numFmtId="0" fontId="49" fillId="10" borderId="269" applyNumberFormat="0" applyFont="0" applyAlignment="0" applyProtection="0"/>
    <xf numFmtId="0" fontId="48" fillId="12" borderId="268" applyNumberFormat="0" applyAlignment="0" applyProtection="0"/>
    <xf numFmtId="0" fontId="31" fillId="0" borderId="273" applyNumberFormat="0" applyFill="0" applyAlignment="0" applyProtection="0"/>
    <xf numFmtId="0" fontId="31" fillId="0" borderId="272" applyNumberFormat="0" applyFill="0" applyAlignment="0" applyProtection="0"/>
    <xf numFmtId="0" fontId="49" fillId="10" borderId="315" applyNumberFormat="0" applyFont="0" applyAlignment="0" applyProtection="0"/>
    <xf numFmtId="0" fontId="31" fillId="0" borderId="318" applyNumberFormat="0" applyFill="0" applyAlignment="0" applyProtection="0"/>
    <xf numFmtId="0" fontId="31" fillId="0" borderId="319" applyNumberFormat="0" applyFill="0" applyAlignment="0" applyProtection="0"/>
    <xf numFmtId="0" fontId="25" fillId="13" borderId="291" applyNumberFormat="0" applyAlignment="0" applyProtection="0"/>
    <xf numFmtId="0" fontId="31" fillId="0" borderId="295" applyNumberFormat="0" applyFill="0" applyAlignment="0" applyProtection="0"/>
    <xf numFmtId="0" fontId="8" fillId="10" borderId="244" applyNumberFormat="0" applyFont="0" applyAlignment="0" applyProtection="0"/>
    <xf numFmtId="0" fontId="25" fillId="13" borderId="261" applyNumberFormat="0" applyAlignment="0" applyProtection="0"/>
    <xf numFmtId="0" fontId="48" fillId="12" borderId="314" applyNumberFormat="0" applyAlignment="0" applyProtection="0"/>
    <xf numFmtId="0" fontId="41" fillId="13" borderId="314" applyNumberFormat="0" applyAlignment="0" applyProtection="0"/>
    <xf numFmtId="0" fontId="31" fillId="0" borderId="240" applyNumberFormat="0" applyFill="0" applyAlignment="0" applyProtection="0"/>
    <xf numFmtId="0" fontId="85" fillId="0" borderId="234"/>
    <xf numFmtId="0" fontId="25" fillId="8" borderId="237" applyNumberFormat="0" applyAlignment="0" applyProtection="0"/>
    <xf numFmtId="0" fontId="73" fillId="0" borderId="242" applyBorder="0">
      <alignment horizontal="center" vertical="center" wrapText="1"/>
    </xf>
    <xf numFmtId="0" fontId="41" fillId="13" borderId="237" applyNumberFormat="0" applyAlignment="0" applyProtection="0"/>
    <xf numFmtId="0" fontId="49" fillId="10" borderId="238" applyNumberFormat="0" applyFont="0" applyAlignment="0" applyProtection="0"/>
    <xf numFmtId="0" fontId="48" fillId="24" borderId="291" applyNumberFormat="0" applyAlignment="0" applyProtection="0"/>
    <xf numFmtId="0" fontId="16" fillId="24" borderId="237" applyNumberFormat="0" applyAlignment="0" applyProtection="0"/>
    <xf numFmtId="0" fontId="25" fillId="13" borderId="237" applyNumberFormat="0" applyAlignment="0" applyProtection="0"/>
    <xf numFmtId="0" fontId="18" fillId="10" borderId="238" applyNumberFormat="0" applyFont="0" applyAlignment="0" applyProtection="0"/>
    <xf numFmtId="0" fontId="48" fillId="12" borderId="237" applyNumberFormat="0" applyAlignment="0" applyProtection="0"/>
    <xf numFmtId="0" fontId="16" fillId="24" borderId="237" applyNumberFormat="0" applyAlignment="0" applyProtection="0"/>
    <xf numFmtId="0" fontId="41" fillId="13" borderId="237" applyNumberFormat="0" applyAlignment="0" applyProtection="0"/>
    <xf numFmtId="0" fontId="8" fillId="10" borderId="238" applyNumberFormat="0" applyFont="0" applyAlignment="0" applyProtection="0"/>
    <xf numFmtId="0" fontId="48" fillId="24" borderId="237" applyNumberFormat="0" applyAlignment="0" applyProtection="0"/>
    <xf numFmtId="0" fontId="16" fillId="24" borderId="237" applyNumberFormat="0" applyAlignment="0" applyProtection="0"/>
    <xf numFmtId="0" fontId="41" fillId="13" borderId="237" applyNumberFormat="0" applyAlignment="0" applyProtection="0"/>
    <xf numFmtId="0" fontId="8" fillId="10" borderId="238" applyNumberFormat="0" applyFont="0" applyAlignment="0" applyProtection="0"/>
    <xf numFmtId="0" fontId="85" fillId="73" borderId="298"/>
    <xf numFmtId="0" fontId="32" fillId="24" borderId="237" applyNumberFormat="0" applyAlignment="0" applyProtection="0"/>
    <xf numFmtId="0" fontId="41" fillId="13" borderId="237" applyNumberFormat="0" applyAlignment="0" applyProtection="0"/>
    <xf numFmtId="0" fontId="28" fillId="10" borderId="238" applyNumberFormat="0" applyFont="0" applyAlignment="0" applyProtection="0"/>
    <xf numFmtId="0" fontId="24" fillId="24" borderId="245" applyNumberFormat="0" applyAlignment="0" applyProtection="0"/>
    <xf numFmtId="0" fontId="31" fillId="0" borderId="319" applyNumberFormat="0" applyFill="0" applyAlignment="0" applyProtection="0"/>
    <xf numFmtId="0" fontId="31" fillId="0" borderId="319" applyNumberFormat="0" applyFill="0" applyAlignment="0" applyProtection="0"/>
    <xf numFmtId="0" fontId="31" fillId="0" borderId="273" applyNumberFormat="0" applyFill="0" applyAlignment="0" applyProtection="0"/>
    <xf numFmtId="0" fontId="73" fillId="0" borderId="311" applyBorder="0">
      <alignment horizontal="center" vertical="center" wrapText="1"/>
    </xf>
    <xf numFmtId="0" fontId="18" fillId="10" borderId="315" applyNumberFormat="0" applyFont="0" applyAlignment="0" applyProtection="0"/>
    <xf numFmtId="0" fontId="8" fillId="10" borderId="315" applyNumberFormat="0" applyFont="0" applyAlignment="0" applyProtection="0"/>
    <xf numFmtId="0" fontId="28" fillId="0" borderId="298"/>
    <xf numFmtId="0" fontId="16" fillId="24" borderId="291" applyNumberFormat="0" applyAlignment="0" applyProtection="0"/>
    <xf numFmtId="0" fontId="31" fillId="0" borderId="290" applyNumberFormat="0" applyFill="0" applyAlignment="0" applyProtection="0"/>
    <xf numFmtId="0" fontId="31" fillId="0" borderId="290" applyNumberFormat="0" applyFill="0" applyAlignment="0" applyProtection="0"/>
    <xf numFmtId="0" fontId="31" fillId="0" borderId="296" applyNumberFormat="0" applyFill="0" applyAlignment="0" applyProtection="0"/>
    <xf numFmtId="0" fontId="29" fillId="24" borderId="294" applyNumberFormat="0" applyAlignment="0" applyProtection="0"/>
    <xf numFmtId="0" fontId="49" fillId="10" borderId="292" applyNumberFormat="0" applyFont="0" applyAlignment="0" applyProtection="0"/>
    <xf numFmtId="0" fontId="28" fillId="10" borderId="315" applyNumberFormat="0" applyFont="0" applyAlignment="0" applyProtection="0"/>
    <xf numFmtId="0" fontId="28" fillId="10" borderId="292" applyNumberFormat="0" applyFont="0" applyAlignment="0" applyProtection="0"/>
    <xf numFmtId="0" fontId="25" fillId="8" borderId="314" applyNumberFormat="0" applyAlignment="0" applyProtection="0"/>
    <xf numFmtId="0" fontId="31" fillId="0" borderId="319" applyNumberFormat="0" applyFill="0" applyAlignment="0" applyProtection="0"/>
    <xf numFmtId="0" fontId="8" fillId="10" borderId="315" applyNumberFormat="0" applyFont="0" applyAlignment="0" applyProtection="0"/>
    <xf numFmtId="0" fontId="31" fillId="0" borderId="319" applyNumberFormat="0" applyFill="0" applyAlignment="0" applyProtection="0"/>
    <xf numFmtId="0" fontId="85" fillId="0" borderId="321"/>
    <xf numFmtId="0" fontId="28" fillId="10" borderId="324" applyNumberFormat="0" applyFont="0" applyAlignment="0" applyProtection="0"/>
    <xf numFmtId="0" fontId="31" fillId="0" borderId="290" applyNumberFormat="0" applyFill="0" applyAlignment="0" applyProtection="0"/>
    <xf numFmtId="0" fontId="29" fillId="24" borderId="317" applyNumberFormat="0" applyAlignment="0" applyProtection="0"/>
    <xf numFmtId="0" fontId="31" fillId="0" borderId="273" applyNumberFormat="0" applyFill="0" applyAlignment="0" applyProtection="0"/>
    <xf numFmtId="0" fontId="25" fillId="8" borderId="314" applyNumberFormat="0" applyAlignment="0" applyProtection="0"/>
    <xf numFmtId="0" fontId="28" fillId="0" borderId="321"/>
    <xf numFmtId="0" fontId="31" fillId="0" borderId="318" applyNumberFormat="0" applyFill="0" applyAlignment="0" applyProtection="0"/>
    <xf numFmtId="0" fontId="29" fillId="24" borderId="317" applyNumberFormat="0" applyAlignment="0" applyProtection="0"/>
    <xf numFmtId="0" fontId="28" fillId="0" borderId="321"/>
    <xf numFmtId="0" fontId="73" fillId="0" borderId="288" applyBorder="0">
      <alignment horizontal="center" vertical="center" wrapText="1"/>
    </xf>
    <xf numFmtId="0" fontId="31" fillId="0" borderId="289" applyNumberFormat="0" applyFill="0" applyAlignment="0" applyProtection="0"/>
    <xf numFmtId="0" fontId="48" fillId="24" borderId="291" applyNumberFormat="0" applyAlignment="0" applyProtection="0"/>
    <xf numFmtId="0" fontId="49" fillId="10" borderId="292" applyNumberFormat="0" applyFont="0" applyAlignment="0" applyProtection="0"/>
    <xf numFmtId="0" fontId="29" fillId="24" borderId="294" applyNumberFormat="0" applyAlignment="0" applyProtection="0"/>
    <xf numFmtId="0" fontId="8" fillId="10" borderId="292" applyNumberFormat="0" applyFont="0" applyAlignment="0" applyProtection="0"/>
    <xf numFmtId="0" fontId="25" fillId="8" borderId="291" applyNumberFormat="0" applyAlignment="0" applyProtection="0"/>
    <xf numFmtId="0" fontId="41" fillId="13" borderId="284" applyNumberFormat="0" applyAlignment="0" applyProtection="0"/>
    <xf numFmtId="0" fontId="16" fillId="24" borderId="307" applyNumberFormat="0" applyAlignment="0" applyProtection="0"/>
    <xf numFmtId="0" fontId="29" fillId="24" borderId="317" applyNumberFormat="0" applyAlignment="0" applyProtection="0"/>
    <xf numFmtId="0" fontId="31" fillId="0" borderId="313" applyNumberFormat="0" applyFill="0" applyAlignment="0" applyProtection="0"/>
    <xf numFmtId="0" fontId="31" fillId="0" borderId="313" applyNumberFormat="0" applyFill="0" applyAlignment="0" applyProtection="0"/>
    <xf numFmtId="0" fontId="32" fillId="24" borderId="314" applyNumberFormat="0" applyAlignment="0" applyProtection="0"/>
    <xf numFmtId="0" fontId="16" fillId="24" borderId="254" applyNumberFormat="0" applyAlignment="0" applyProtection="0"/>
    <xf numFmtId="0" fontId="8" fillId="45" borderId="253" applyNumberFormat="0" applyFont="0" applyAlignment="0" applyProtection="0"/>
    <xf numFmtId="0" fontId="31" fillId="0" borderId="249" applyNumberFormat="0" applyFill="0" applyAlignment="0" applyProtection="0"/>
    <xf numFmtId="0" fontId="29" fillId="24" borderId="250" applyNumberFormat="0" applyAlignment="0" applyProtection="0"/>
    <xf numFmtId="0" fontId="31" fillId="0" borderId="251" applyNumberFormat="0" applyFill="0" applyAlignment="0" applyProtection="0"/>
    <xf numFmtId="0" fontId="28" fillId="10" borderId="244" applyNumberFormat="0" applyFont="0" applyAlignment="0" applyProtection="0"/>
    <xf numFmtId="0" fontId="31" fillId="0" borderId="249" applyNumberFormat="0" applyFill="0" applyAlignment="0" applyProtection="0"/>
    <xf numFmtId="0" fontId="31" fillId="0" borderId="252" applyNumberFormat="0" applyFill="0" applyAlignment="0" applyProtection="0"/>
    <xf numFmtId="0" fontId="31" fillId="0" borderId="246" applyNumberFormat="0" applyFill="0" applyAlignment="0" applyProtection="0"/>
    <xf numFmtId="0" fontId="29" fillId="24" borderId="250" applyNumberFormat="0" applyAlignment="0" applyProtection="0"/>
    <xf numFmtId="0" fontId="31" fillId="0" borderId="249" applyNumberFormat="0" applyFill="0" applyAlignment="0" applyProtection="0"/>
    <xf numFmtId="0" fontId="31" fillId="0" borderId="252" applyNumberFormat="0" applyFill="0" applyAlignment="0" applyProtection="0"/>
    <xf numFmtId="0" fontId="29" fillId="12" borderId="250" applyNumberFormat="0" applyAlignment="0" applyProtection="0"/>
    <xf numFmtId="0" fontId="8" fillId="10" borderId="315" applyNumberFormat="0" applyFont="0" applyAlignment="0" applyProtection="0"/>
    <xf numFmtId="0" fontId="8" fillId="45" borderId="253" applyNumberFormat="0" applyFont="0" applyAlignment="0" applyProtection="0"/>
    <xf numFmtId="0" fontId="25" fillId="8" borderId="314" applyNumberFormat="0" applyAlignment="0" applyProtection="0"/>
    <xf numFmtId="0" fontId="31" fillId="0" borderId="303" applyNumberFormat="0" applyFill="0" applyAlignment="0" applyProtection="0"/>
    <xf numFmtId="0" fontId="28" fillId="10" borderId="301" applyNumberFormat="0" applyFont="0" applyAlignment="0" applyProtection="0"/>
    <xf numFmtId="0" fontId="16" fillId="24" borderId="300" applyNumberFormat="0" applyAlignment="0" applyProtection="0"/>
    <xf numFmtId="0" fontId="48" fillId="12" borderId="291" applyNumberFormat="0" applyAlignment="0" applyProtection="0"/>
    <xf numFmtId="0" fontId="48" fillId="12" borderId="291" applyNumberFormat="0" applyAlignment="0" applyProtection="0"/>
    <xf numFmtId="0" fontId="28" fillId="10" borderId="292" applyNumberFormat="0" applyFont="0" applyAlignment="0" applyProtection="0"/>
    <xf numFmtId="0" fontId="28" fillId="0" borderId="298"/>
    <xf numFmtId="0" fontId="25" fillId="13" borderId="291" applyNumberFormat="0" applyAlignment="0" applyProtection="0"/>
    <xf numFmtId="0" fontId="25" fillId="13" borderId="291" applyNumberFormat="0" applyAlignment="0" applyProtection="0"/>
    <xf numFmtId="0" fontId="25" fillId="13" borderId="291" applyNumberFormat="0" applyAlignment="0" applyProtection="0"/>
    <xf numFmtId="0" fontId="31" fillId="0" borderId="272" applyNumberFormat="0" applyFill="0" applyAlignment="0" applyProtection="0"/>
    <xf numFmtId="0" fontId="31" fillId="0" borderId="290" applyNumberFormat="0" applyFill="0" applyAlignment="0" applyProtection="0"/>
    <xf numFmtId="0" fontId="18" fillId="10" borderId="292" applyNumberFormat="0" applyFont="0" applyAlignment="0" applyProtection="0"/>
    <xf numFmtId="0" fontId="24" fillId="24" borderId="286" applyNumberFormat="0" applyAlignment="0" applyProtection="0"/>
    <xf numFmtId="0" fontId="16" fillId="24" borderId="314" applyNumberFormat="0" applyAlignment="0" applyProtection="0"/>
    <xf numFmtId="0" fontId="48" fillId="24" borderId="300" applyNumberFormat="0" applyAlignment="0" applyProtection="0"/>
    <xf numFmtId="0" fontId="49" fillId="10" borderId="292" applyNumberFormat="0" applyFont="0" applyAlignment="0" applyProtection="0"/>
    <xf numFmtId="0" fontId="25" fillId="13" borderId="291" applyNumberFormat="0" applyAlignment="0" applyProtection="0"/>
    <xf numFmtId="0" fontId="41" fillId="13" borderId="291" applyNumberFormat="0" applyAlignment="0" applyProtection="0"/>
    <xf numFmtId="0" fontId="31" fillId="0" borderId="289" applyNumberFormat="0" applyFill="0" applyAlignment="0" applyProtection="0"/>
    <xf numFmtId="0" fontId="16" fillId="24" borderId="314" applyNumberFormat="0" applyAlignment="0" applyProtection="0"/>
    <xf numFmtId="0" fontId="31" fillId="0" borderId="266" applyNumberFormat="0" applyFill="0" applyAlignment="0" applyProtection="0"/>
    <xf numFmtId="0" fontId="48" fillId="24" borderId="268" applyNumberFormat="0" applyAlignment="0" applyProtection="0"/>
    <xf numFmtId="0" fontId="48" fillId="24" borderId="268" applyNumberFormat="0" applyAlignment="0" applyProtection="0"/>
    <xf numFmtId="0" fontId="8" fillId="10" borderId="315" applyNumberFormat="0" applyFont="0" applyAlignment="0" applyProtection="0"/>
    <xf numFmtId="0" fontId="25" fillId="13" borderId="314" applyNumberFormat="0" applyAlignment="0" applyProtection="0"/>
    <xf numFmtId="0" fontId="49" fillId="10" borderId="315" applyNumberFormat="0" applyFont="0" applyAlignment="0" applyProtection="0"/>
    <xf numFmtId="0" fontId="48" fillId="12" borderId="291" applyNumberFormat="0" applyAlignment="0" applyProtection="0"/>
    <xf numFmtId="0" fontId="8" fillId="10" borderId="292" applyNumberFormat="0" applyFont="0" applyAlignment="0" applyProtection="0"/>
    <xf numFmtId="0" fontId="8" fillId="10" borderId="292" applyNumberFormat="0" applyFont="0" applyAlignment="0" applyProtection="0"/>
    <xf numFmtId="0" fontId="25" fillId="13" borderId="284" applyNumberFormat="0" applyAlignment="0" applyProtection="0"/>
    <xf numFmtId="0" fontId="31" fillId="0" borderId="312" applyNumberFormat="0" applyFill="0" applyAlignment="0" applyProtection="0"/>
    <xf numFmtId="0" fontId="16" fillId="24" borderId="291" applyNumberFormat="0" applyAlignment="0" applyProtection="0"/>
    <xf numFmtId="0" fontId="25" fillId="8" borderId="291" applyNumberFormat="0" applyAlignment="0" applyProtection="0"/>
    <xf numFmtId="0" fontId="41" fillId="13" borderId="314" applyNumberFormat="0" applyAlignment="0" applyProtection="0"/>
    <xf numFmtId="0" fontId="32" fillId="24" borderId="314" applyNumberFormat="0" applyAlignment="0" applyProtection="0"/>
    <xf numFmtId="0" fontId="48" fillId="12" borderId="314" applyNumberFormat="0" applyAlignment="0" applyProtection="0"/>
    <xf numFmtId="0" fontId="16" fillId="24" borderId="314" applyNumberFormat="0" applyAlignment="0" applyProtection="0"/>
    <xf numFmtId="0" fontId="29" fillId="12" borderId="317" applyNumberFormat="0" applyAlignment="0" applyProtection="0"/>
    <xf numFmtId="0" fontId="28" fillId="10" borderId="315" applyNumberFormat="0" applyFont="0" applyAlignment="0" applyProtection="0"/>
    <xf numFmtId="0" fontId="49" fillId="10" borderId="269" applyNumberFormat="0" applyFont="0" applyAlignment="0" applyProtection="0"/>
    <xf numFmtId="0" fontId="31" fillId="0" borderId="267" applyNumberFormat="0" applyFill="0" applyAlignment="0" applyProtection="0"/>
    <xf numFmtId="0" fontId="8" fillId="45" borderId="322" applyNumberFormat="0" applyFont="0" applyAlignment="0" applyProtection="0"/>
    <xf numFmtId="0" fontId="24" fillId="24" borderId="316" applyNumberFormat="0" applyAlignment="0" applyProtection="0"/>
    <xf numFmtId="0" fontId="28" fillId="0" borderId="321"/>
    <xf numFmtId="0" fontId="73" fillId="0" borderId="297" applyBorder="0">
      <alignment horizontal="center" vertical="center" wrapText="1"/>
    </xf>
    <xf numFmtId="0" fontId="31" fillId="0" borderId="290" applyNumberFormat="0" applyFill="0" applyAlignment="0" applyProtection="0"/>
    <xf numFmtId="0" fontId="48" fillId="24" borderId="291" applyNumberFormat="0" applyAlignment="0" applyProtection="0"/>
    <xf numFmtId="0" fontId="85" fillId="0" borderId="321"/>
    <xf numFmtId="0" fontId="31" fillId="0" borderId="319" applyNumberFormat="0" applyFill="0" applyAlignment="0" applyProtection="0"/>
    <xf numFmtId="0" fontId="28" fillId="0" borderId="275"/>
    <xf numFmtId="0" fontId="49" fillId="10" borderId="292" applyNumberFormat="0" applyFont="0" applyAlignment="0" applyProtection="0"/>
    <xf numFmtId="0" fontId="28" fillId="0" borderId="247"/>
    <xf numFmtId="0" fontId="31" fillId="0" borderId="246" applyNumberFormat="0" applyFill="0" applyAlignment="0" applyProtection="0"/>
    <xf numFmtId="0" fontId="31" fillId="0" borderId="246" applyNumberFormat="0" applyFill="0" applyAlignment="0" applyProtection="0"/>
    <xf numFmtId="0" fontId="8" fillId="10" borderId="244" applyNumberFormat="0" applyFont="0" applyAlignment="0" applyProtection="0"/>
    <xf numFmtId="0" fontId="29" fillId="24" borderId="250" applyNumberFormat="0" applyAlignment="0" applyProtection="0"/>
    <xf numFmtId="0" fontId="28" fillId="10" borderId="244" applyNumberFormat="0" applyFont="0" applyAlignment="0" applyProtection="0"/>
    <xf numFmtId="0" fontId="24" fillId="24" borderId="245" applyNumberFormat="0" applyAlignment="0" applyProtection="0"/>
    <xf numFmtId="0" fontId="31" fillId="0" borderId="249" applyNumberFormat="0" applyFill="0" applyAlignment="0" applyProtection="0"/>
    <xf numFmtId="0" fontId="8" fillId="10" borderId="244" applyNumberFormat="0" applyFont="0" applyAlignment="0" applyProtection="0"/>
    <xf numFmtId="0" fontId="85" fillId="0" borderId="247"/>
    <xf numFmtId="0" fontId="28" fillId="10" borderId="244" applyNumberFormat="0" applyFont="0" applyAlignment="0" applyProtection="0"/>
    <xf numFmtId="0" fontId="31" fillId="0" borderId="249" applyNumberFormat="0" applyFill="0" applyAlignment="0" applyProtection="0"/>
    <xf numFmtId="0" fontId="8" fillId="10" borderId="244" applyNumberFormat="0" applyFont="0" applyAlignment="0" applyProtection="0"/>
    <xf numFmtId="0" fontId="31" fillId="0" borderId="249" applyNumberFormat="0" applyFill="0" applyAlignment="0" applyProtection="0"/>
    <xf numFmtId="0" fontId="29" fillId="12" borderId="317" applyNumberFormat="0" applyAlignment="0" applyProtection="0"/>
    <xf numFmtId="0" fontId="48" fillId="24" borderId="291" applyNumberFormat="0" applyAlignment="0" applyProtection="0"/>
    <xf numFmtId="0" fontId="24" fillId="24" borderId="232" applyNumberFormat="0" applyAlignment="0" applyProtection="0"/>
    <xf numFmtId="0" fontId="28" fillId="10" borderId="231" applyNumberFormat="0" applyFont="0" applyAlignment="0" applyProtection="0"/>
    <xf numFmtId="0" fontId="28" fillId="10" borderId="231" applyNumberFormat="0" applyFont="0" applyAlignment="0" applyProtection="0"/>
    <xf numFmtId="0" fontId="18" fillId="10" borderId="231" applyNumberFormat="0" applyFont="0" applyAlignment="0" applyProtection="0"/>
    <xf numFmtId="0" fontId="28" fillId="10" borderId="238" applyNumberFormat="0" applyFont="0" applyAlignment="0" applyProtection="0"/>
    <xf numFmtId="0" fontId="25" fillId="13" borderId="230" applyNumberFormat="0" applyAlignment="0" applyProtection="0"/>
    <xf numFmtId="0" fontId="48" fillId="24" borderId="230" applyNumberFormat="0" applyAlignment="0" applyProtection="0"/>
    <xf numFmtId="0" fontId="48" fillId="12" borderId="221" applyNumberFormat="0" applyAlignment="0" applyProtection="0"/>
    <xf numFmtId="0" fontId="85" fillId="0" borderId="218"/>
    <xf numFmtId="0" fontId="28" fillId="0" borderId="218"/>
    <xf numFmtId="0" fontId="49" fillId="10" borderId="222" applyNumberFormat="0" applyFont="0" applyAlignment="0" applyProtection="0"/>
    <xf numFmtId="0" fontId="31" fillId="0" borderId="219" applyNumberFormat="0" applyFill="0" applyAlignment="0" applyProtection="0"/>
    <xf numFmtId="0" fontId="29" fillId="12" borderId="220" applyNumberFormat="0" applyAlignment="0" applyProtection="0"/>
    <xf numFmtId="0" fontId="85" fillId="0" borderId="218"/>
    <xf numFmtId="0" fontId="31" fillId="0" borderId="224" applyNumberFormat="0" applyFill="0" applyAlignment="0" applyProtection="0"/>
    <xf numFmtId="0" fontId="28" fillId="0" borderId="218"/>
    <xf numFmtId="0" fontId="49" fillId="10" borderId="222" applyNumberFormat="0" applyFont="0" applyAlignment="0" applyProtection="0"/>
    <xf numFmtId="0" fontId="31" fillId="0" borderId="224" applyNumberFormat="0" applyFill="0" applyAlignment="0" applyProtection="0"/>
    <xf numFmtId="0" fontId="16" fillId="24" borderId="221" applyNumberFormat="0" applyAlignment="0" applyProtection="0"/>
    <xf numFmtId="0" fontId="16" fillId="24" borderId="221" applyNumberFormat="0" applyAlignment="0" applyProtection="0"/>
    <xf numFmtId="0" fontId="31" fillId="0" borderId="219" applyNumberFormat="0" applyFill="0" applyAlignment="0" applyProtection="0"/>
    <xf numFmtId="0" fontId="48" fillId="12" borderId="221" applyNumberFormat="0" applyAlignment="0" applyProtection="0"/>
    <xf numFmtId="0" fontId="73" fillId="0" borderId="225" applyBorder="0">
      <alignment horizontal="center" vertical="center" wrapText="1"/>
    </xf>
    <xf numFmtId="0" fontId="48" fillId="12" borderId="221" applyNumberFormat="0" applyAlignment="0" applyProtection="0"/>
    <xf numFmtId="0" fontId="41" fillId="13" borderId="221" applyNumberFormat="0" applyAlignment="0" applyProtection="0"/>
    <xf numFmtId="0" fontId="31" fillId="0" borderId="219" applyNumberFormat="0" applyFill="0" applyAlignment="0" applyProtection="0"/>
    <xf numFmtId="0" fontId="41" fillId="13" borderId="221" applyNumberFormat="0" applyAlignment="0" applyProtection="0"/>
    <xf numFmtId="0" fontId="73" fillId="0" borderId="228" applyBorder="0">
      <alignment horizontal="center" vertical="center" wrapText="1"/>
    </xf>
    <xf numFmtId="0" fontId="29" fillId="24" borderId="220" applyNumberFormat="0" applyAlignment="0" applyProtection="0"/>
    <xf numFmtId="0" fontId="31" fillId="0" borderId="227" applyNumberFormat="0" applyFill="0" applyAlignment="0" applyProtection="0"/>
    <xf numFmtId="0" fontId="73" fillId="0" borderId="225" applyBorder="0">
      <alignment horizontal="center" vertical="center" wrapText="1"/>
    </xf>
    <xf numFmtId="0" fontId="24" fillId="24" borderId="223" applyNumberFormat="0" applyAlignment="0" applyProtection="0"/>
    <xf numFmtId="0" fontId="29" fillId="24" borderId="220" applyNumberFormat="0" applyAlignment="0" applyProtection="0"/>
    <xf numFmtId="0" fontId="24" fillId="24" borderId="223" applyNumberFormat="0" applyAlignment="0" applyProtection="0"/>
    <xf numFmtId="0" fontId="28" fillId="10" borderId="222" applyNumberFormat="0" applyFont="0" applyAlignment="0" applyProtection="0"/>
    <xf numFmtId="0" fontId="25" fillId="13" borderId="221" applyNumberFormat="0" applyAlignment="0" applyProtection="0"/>
    <xf numFmtId="0" fontId="25" fillId="13" borderId="221" applyNumberFormat="0" applyAlignment="0" applyProtection="0"/>
    <xf numFmtId="0" fontId="48" fillId="24" borderId="221" applyNumberFormat="0" applyAlignment="0" applyProtection="0"/>
    <xf numFmtId="0" fontId="31" fillId="0" borderId="227" applyNumberFormat="0" applyFill="0" applyAlignment="0" applyProtection="0"/>
    <xf numFmtId="0" fontId="29" fillId="24" borderId="220" applyNumberFormat="0" applyAlignment="0" applyProtection="0"/>
    <xf numFmtId="0" fontId="24" fillId="24" borderId="223" applyNumberFormat="0" applyAlignment="0" applyProtection="0"/>
    <xf numFmtId="0" fontId="28" fillId="10" borderId="222" applyNumberFormat="0" applyFont="0" applyAlignment="0" applyProtection="0"/>
    <xf numFmtId="0" fontId="18" fillId="10" borderId="222" applyNumberFormat="0" applyFont="0" applyAlignment="0" applyProtection="0"/>
    <xf numFmtId="0" fontId="16" fillId="24" borderId="221" applyNumberFormat="0" applyAlignment="0" applyProtection="0"/>
    <xf numFmtId="0" fontId="32" fillId="24" borderId="221" applyNumberFormat="0" applyAlignment="0" applyProtection="0"/>
    <xf numFmtId="0" fontId="31" fillId="0" borderId="219" applyNumberFormat="0" applyFill="0" applyAlignment="0" applyProtection="0"/>
    <xf numFmtId="0" fontId="29" fillId="12" borderId="220" applyNumberFormat="0" applyAlignment="0" applyProtection="0"/>
    <xf numFmtId="0" fontId="49" fillId="10" borderId="222" applyNumberFormat="0" applyFont="0" applyAlignment="0" applyProtection="0"/>
    <xf numFmtId="0" fontId="8" fillId="10" borderId="222" applyNumberFormat="0" applyFont="0" applyAlignment="0" applyProtection="0"/>
    <xf numFmtId="0" fontId="48" fillId="12" borderId="221" applyNumberFormat="0" applyAlignment="0" applyProtection="0"/>
    <xf numFmtId="0" fontId="31" fillId="0" borderId="219" applyNumberFormat="0" applyFill="0" applyAlignment="0" applyProtection="0"/>
    <xf numFmtId="0" fontId="31" fillId="0" borderId="227" applyNumberFormat="0" applyFill="0" applyAlignment="0" applyProtection="0"/>
    <xf numFmtId="0" fontId="31" fillId="0" borderId="226" applyNumberFormat="0" applyFill="0" applyAlignment="0" applyProtection="0"/>
    <xf numFmtId="0" fontId="8" fillId="10" borderId="222" applyNumberFormat="0" applyFont="0" applyAlignment="0" applyProtection="0"/>
    <xf numFmtId="0" fontId="48" fillId="24" borderId="221" applyNumberFormat="0" applyAlignment="0" applyProtection="0"/>
    <xf numFmtId="0" fontId="31" fillId="0" borderId="227" applyNumberFormat="0" applyFill="0" applyAlignment="0" applyProtection="0"/>
    <xf numFmtId="0" fontId="31" fillId="0" borderId="227" applyNumberFormat="0" applyFill="0" applyAlignment="0" applyProtection="0"/>
    <xf numFmtId="0" fontId="24" fillId="24" borderId="223" applyNumberFormat="0" applyAlignment="0" applyProtection="0"/>
    <xf numFmtId="0" fontId="32" fillId="24" borderId="221" applyNumberFormat="0" applyAlignment="0" applyProtection="0"/>
    <xf numFmtId="0" fontId="31" fillId="0" borderId="227" applyNumberFormat="0" applyFill="0" applyAlignment="0" applyProtection="0"/>
    <xf numFmtId="0" fontId="31" fillId="0" borderId="219" applyNumberFormat="0" applyFill="0" applyAlignment="0" applyProtection="0"/>
    <xf numFmtId="0" fontId="48" fillId="12" borderId="221" applyNumberFormat="0" applyAlignment="0" applyProtection="0"/>
    <xf numFmtId="0" fontId="31" fillId="0" borderId="224" applyNumberFormat="0" applyFill="0" applyAlignment="0" applyProtection="0"/>
    <xf numFmtId="0" fontId="28" fillId="0" borderId="218"/>
    <xf numFmtId="0" fontId="8" fillId="10" borderId="222" applyNumberFormat="0" applyFont="0" applyAlignment="0" applyProtection="0"/>
    <xf numFmtId="0" fontId="48" fillId="24" borderId="221" applyNumberFormat="0" applyAlignment="0" applyProtection="0"/>
    <xf numFmtId="0" fontId="31" fillId="0" borderId="227" applyNumberFormat="0" applyFill="0" applyAlignment="0" applyProtection="0"/>
    <xf numFmtId="0" fontId="29" fillId="24" borderId="220" applyNumberFormat="0" applyAlignment="0" applyProtection="0"/>
    <xf numFmtId="0" fontId="8" fillId="10" borderId="222" applyNumberFormat="0" applyFont="0" applyAlignment="0" applyProtection="0"/>
    <xf numFmtId="0" fontId="28" fillId="10" borderId="222" applyNumberFormat="0" applyFont="0" applyAlignment="0" applyProtection="0"/>
    <xf numFmtId="0" fontId="25" fillId="13" borderId="221" applyNumberFormat="0" applyAlignment="0" applyProtection="0"/>
    <xf numFmtId="0" fontId="16" fillId="24" borderId="221" applyNumberFormat="0" applyAlignment="0" applyProtection="0"/>
    <xf numFmtId="0" fontId="16" fillId="24" borderId="221" applyNumberFormat="0" applyAlignment="0" applyProtection="0"/>
    <xf numFmtId="0" fontId="31" fillId="0" borderId="224" applyNumberFormat="0" applyFill="0" applyAlignment="0" applyProtection="0"/>
    <xf numFmtId="0" fontId="24" fillId="24" borderId="223" applyNumberFormat="0" applyAlignment="0" applyProtection="0"/>
    <xf numFmtId="0" fontId="49" fillId="10" borderId="222" applyNumberFormat="0" applyFont="0" applyAlignment="0" applyProtection="0"/>
    <xf numFmtId="0" fontId="25" fillId="8" borderId="221" applyNumberFormat="0" applyAlignment="0" applyProtection="0"/>
    <xf numFmtId="0" fontId="48" fillId="12" borderId="221" applyNumberFormat="0" applyAlignment="0" applyProtection="0"/>
    <xf numFmtId="0" fontId="48" fillId="24" borderId="221" applyNumberFormat="0" applyAlignment="0" applyProtection="0"/>
    <xf numFmtId="0" fontId="29" fillId="24" borderId="220" applyNumberFormat="0" applyAlignment="0" applyProtection="0"/>
    <xf numFmtId="0" fontId="29" fillId="12" borderId="220" applyNumberFormat="0" applyAlignment="0" applyProtection="0"/>
    <xf numFmtId="0" fontId="31" fillId="0" borderId="219" applyNumberFormat="0" applyFill="0" applyAlignment="0" applyProtection="0"/>
    <xf numFmtId="0" fontId="48" fillId="12" borderId="221" applyNumberFormat="0" applyAlignment="0" applyProtection="0"/>
    <xf numFmtId="0" fontId="85" fillId="0" borderId="218"/>
    <xf numFmtId="0" fontId="31" fillId="0" borderId="224" applyNumberFormat="0" applyFill="0" applyAlignment="0" applyProtection="0"/>
    <xf numFmtId="0" fontId="28" fillId="0" borderId="218"/>
    <xf numFmtId="0" fontId="25" fillId="13" borderId="261" applyNumberFormat="0" applyAlignment="0" applyProtection="0"/>
    <xf numFmtId="0" fontId="8" fillId="45" borderId="229" applyNumberFormat="0" applyFont="0" applyAlignment="0" applyProtection="0"/>
    <xf numFmtId="0" fontId="8" fillId="10" borderId="222" applyNumberFormat="0" applyFont="0" applyAlignment="0" applyProtection="0"/>
    <xf numFmtId="0" fontId="28" fillId="0" borderId="321"/>
    <xf numFmtId="0" fontId="85" fillId="73" borderId="298"/>
    <xf numFmtId="0" fontId="32" fillId="24" borderId="314" applyNumberFormat="0" applyAlignment="0" applyProtection="0"/>
    <xf numFmtId="0" fontId="25" fillId="13" borderId="254" applyNumberFormat="0" applyAlignment="0" applyProtection="0"/>
    <xf numFmtId="0" fontId="29" fillId="12" borderId="250" applyNumberFormat="0" applyAlignment="0" applyProtection="0"/>
    <xf numFmtId="0" fontId="31" fillId="0" borderId="252" applyNumberFormat="0" applyFill="0" applyAlignment="0" applyProtection="0"/>
    <xf numFmtId="0" fontId="31" fillId="0" borderId="246" applyNumberFormat="0" applyFill="0" applyAlignment="0" applyProtection="0"/>
    <xf numFmtId="0" fontId="41" fillId="13" borderId="237" applyNumberFormat="0" applyAlignment="0" applyProtection="0"/>
    <xf numFmtId="0" fontId="28" fillId="10" borderId="238" applyNumberFormat="0" applyFont="0" applyAlignment="0" applyProtection="0"/>
    <xf numFmtId="0" fontId="31" fillId="0" borderId="313" applyNumberFormat="0" applyFill="0" applyAlignment="0" applyProtection="0"/>
    <xf numFmtId="0" fontId="28" fillId="10" borderId="292" applyNumberFormat="0" applyFont="0" applyAlignment="0" applyProtection="0"/>
    <xf numFmtId="0" fontId="28" fillId="10" borderId="255" applyNumberFormat="0" applyFont="0" applyAlignment="0" applyProtection="0"/>
    <xf numFmtId="0" fontId="29" fillId="24" borderId="271" applyNumberFormat="0" applyAlignment="0" applyProtection="0"/>
    <xf numFmtId="0" fontId="28" fillId="10" borderId="292" applyNumberFormat="0" applyFont="0" applyAlignment="0" applyProtection="0"/>
    <xf numFmtId="0" fontId="28" fillId="10" borderId="244" applyNumberFormat="0" applyFont="0" applyAlignment="0" applyProtection="0"/>
    <xf numFmtId="0" fontId="31" fillId="0" borderId="251" applyNumberFormat="0" applyFill="0" applyAlignment="0" applyProtection="0"/>
    <xf numFmtId="0" fontId="28" fillId="10" borderId="244" applyNumberFormat="0" applyFont="0" applyAlignment="0" applyProtection="0"/>
    <xf numFmtId="0" fontId="28" fillId="0" borderId="298"/>
    <xf numFmtId="0" fontId="29" fillId="24" borderId="250" applyNumberFormat="0" applyAlignment="0" applyProtection="0"/>
    <xf numFmtId="0" fontId="73" fillId="0" borderId="320" applyBorder="0">
      <alignment horizontal="center" vertical="center" wrapText="1"/>
    </xf>
    <xf numFmtId="0" fontId="31" fillId="0" borderId="313" applyNumberFormat="0" applyFill="0" applyAlignment="0" applyProtection="0"/>
    <xf numFmtId="0" fontId="73" fillId="0" borderId="297" applyBorder="0">
      <alignment horizontal="center" vertical="center" wrapText="1"/>
    </xf>
    <xf numFmtId="0" fontId="31" fillId="0" borderId="251" applyNumberFormat="0" applyFill="0" applyAlignment="0" applyProtection="0"/>
    <xf numFmtId="0" fontId="31" fillId="0" borderId="267" applyNumberFormat="0" applyFill="0" applyAlignment="0" applyProtection="0"/>
    <xf numFmtId="0" fontId="31" fillId="0" borderId="227" applyNumberFormat="0" applyFill="0" applyAlignment="0" applyProtection="0"/>
    <xf numFmtId="0" fontId="29" fillId="24" borderId="220" applyNumberFormat="0" applyAlignment="0" applyProtection="0"/>
    <xf numFmtId="0" fontId="8" fillId="10" borderId="222" applyNumberFormat="0" applyFont="0" applyAlignment="0" applyProtection="0"/>
    <xf numFmtId="0" fontId="18" fillId="10" borderId="222" applyNumberFormat="0" applyFont="0" applyAlignment="0" applyProtection="0"/>
    <xf numFmtId="0" fontId="25" fillId="13" borderId="221" applyNumberFormat="0" applyAlignment="0" applyProtection="0"/>
    <xf numFmtId="0" fontId="41" fillId="13" borderId="221" applyNumberFormat="0" applyAlignment="0" applyProtection="0"/>
    <xf numFmtId="0" fontId="16" fillId="24" borderId="221" applyNumberFormat="0" applyAlignment="0" applyProtection="0"/>
    <xf numFmtId="0" fontId="73" fillId="0" borderId="228" applyBorder="0">
      <alignment horizontal="center" vertical="center" wrapText="1"/>
    </xf>
    <xf numFmtId="0" fontId="31" fillId="0" borderId="252" applyNumberFormat="0" applyFill="0" applyAlignment="0" applyProtection="0"/>
    <xf numFmtId="0" fontId="31" fillId="0" borderId="224" applyNumberFormat="0" applyFill="0" applyAlignment="0" applyProtection="0"/>
    <xf numFmtId="0" fontId="49" fillId="10" borderId="222" applyNumberFormat="0" applyFont="0" applyAlignment="0" applyProtection="0"/>
    <xf numFmtId="0" fontId="8" fillId="10" borderId="222" applyNumberFormat="0" applyFont="0" applyAlignment="0" applyProtection="0"/>
    <xf numFmtId="0" fontId="31" fillId="0" borderId="227" applyNumberFormat="0" applyFill="0" applyAlignment="0" applyProtection="0"/>
    <xf numFmtId="0" fontId="31" fillId="0" borderId="318" applyNumberFormat="0" applyFill="0" applyAlignment="0" applyProtection="0"/>
    <xf numFmtId="0" fontId="29" fillId="12" borderId="271" applyNumberFormat="0" applyAlignment="0" applyProtection="0"/>
    <xf numFmtId="0" fontId="85" fillId="0" borderId="275"/>
    <xf numFmtId="0" fontId="29" fillId="24" borderId="220" applyNumberFormat="0" applyAlignment="0" applyProtection="0"/>
    <xf numFmtId="0" fontId="8" fillId="10" borderId="222" applyNumberFormat="0" applyFont="0" applyAlignment="0" applyProtection="0"/>
    <xf numFmtId="0" fontId="18" fillId="10" borderId="222" applyNumberFormat="0" applyFont="0" applyAlignment="0" applyProtection="0"/>
    <xf numFmtId="0" fontId="28" fillId="0" borderId="321"/>
    <xf numFmtId="0" fontId="41" fillId="13" borderId="291" applyNumberFormat="0" applyAlignment="0" applyProtection="0"/>
    <xf numFmtId="0" fontId="24" fillId="24" borderId="270" applyNumberFormat="0" applyAlignment="0" applyProtection="0"/>
    <xf numFmtId="0" fontId="31" fillId="0" borderId="313" applyNumberFormat="0" applyFill="0" applyAlignment="0" applyProtection="0"/>
    <xf numFmtId="0" fontId="28" fillId="10" borderId="315" applyNumberFormat="0" applyFont="0" applyAlignment="0" applyProtection="0"/>
    <xf numFmtId="0" fontId="31" fillId="0" borderId="318" applyNumberFormat="0" applyFill="0" applyAlignment="0" applyProtection="0"/>
    <xf numFmtId="0" fontId="24" fillId="24" borderId="279" applyNumberFormat="0" applyAlignment="0" applyProtection="0"/>
    <xf numFmtId="0" fontId="48" fillId="12" borderId="314" applyNumberFormat="0" applyAlignment="0" applyProtection="0"/>
    <xf numFmtId="0" fontId="29" fillId="12" borderId="317" applyNumberFormat="0" applyAlignment="0" applyProtection="0"/>
    <xf numFmtId="0" fontId="48" fillId="24" borderId="314" applyNumberFormat="0" applyAlignment="0" applyProtection="0"/>
    <xf numFmtId="0" fontId="41" fillId="13" borderId="314" applyNumberFormat="0" applyAlignment="0" applyProtection="0"/>
    <xf numFmtId="0" fontId="25" fillId="13" borderId="314" applyNumberFormat="0" applyAlignment="0" applyProtection="0"/>
    <xf numFmtId="0" fontId="25" fillId="13" borderId="314" applyNumberFormat="0" applyAlignment="0" applyProtection="0"/>
    <xf numFmtId="0" fontId="31" fillId="0" borderId="290" applyNumberFormat="0" applyFill="0" applyAlignment="0" applyProtection="0"/>
    <xf numFmtId="0" fontId="32" fillId="24" borderId="291" applyNumberFormat="0" applyAlignment="0" applyProtection="0"/>
    <xf numFmtId="0" fontId="31" fillId="0" borderId="290" applyNumberFormat="0" applyFill="0" applyAlignment="0" applyProtection="0"/>
    <xf numFmtId="0" fontId="41" fillId="13" borderId="221" applyNumberFormat="0" applyAlignment="0" applyProtection="0"/>
    <xf numFmtId="0" fontId="32" fillId="24" borderId="291" applyNumberFormat="0" applyAlignment="0" applyProtection="0"/>
    <xf numFmtId="0" fontId="41" fillId="13" borderId="314" applyNumberFormat="0" applyAlignment="0" applyProtection="0"/>
    <xf numFmtId="0" fontId="25" fillId="13" borderId="291" applyNumberFormat="0" applyAlignment="0" applyProtection="0"/>
    <xf numFmtId="0" fontId="28" fillId="10" borderId="292" applyNumberFormat="0" applyFont="0" applyAlignment="0" applyProtection="0"/>
    <xf numFmtId="0" fontId="31" fillId="0" borderId="249" applyNumberFormat="0" applyFill="0" applyAlignment="0" applyProtection="0"/>
    <xf numFmtId="0" fontId="16" fillId="24" borderId="221" applyNumberFormat="0" applyAlignment="0" applyProtection="0"/>
    <xf numFmtId="0" fontId="73" fillId="0" borderId="225" applyBorder="0">
      <alignment horizontal="center" vertical="center" wrapText="1"/>
    </xf>
    <xf numFmtId="0" fontId="41" fillId="13" borderId="300" applyNumberFormat="0" applyAlignment="0" applyProtection="0"/>
    <xf numFmtId="0" fontId="31" fillId="0" borderId="295" applyNumberFormat="0" applyFill="0" applyAlignment="0" applyProtection="0"/>
    <xf numFmtId="0" fontId="31" fillId="0" borderId="289" applyNumberFormat="0" applyFill="0" applyAlignment="0" applyProtection="0"/>
    <xf numFmtId="0" fontId="24" fillId="24" borderId="293" applyNumberFormat="0" applyAlignment="0" applyProtection="0"/>
    <xf numFmtId="0" fontId="49" fillId="10" borderId="301" applyNumberFormat="0" applyFont="0" applyAlignment="0" applyProtection="0"/>
    <xf numFmtId="0" fontId="31" fillId="0" borderId="252" applyNumberFormat="0" applyFill="0" applyAlignment="0" applyProtection="0"/>
    <xf numFmtId="0" fontId="31" fillId="0" borderId="319" applyNumberFormat="0" applyFill="0" applyAlignment="0" applyProtection="0"/>
    <xf numFmtId="0" fontId="16" fillId="24" borderId="277" applyNumberFormat="0" applyAlignment="0" applyProtection="0"/>
    <xf numFmtId="0" fontId="16" fillId="24" borderId="277" applyNumberFormat="0" applyAlignment="0" applyProtection="0"/>
    <xf numFmtId="0" fontId="48" fillId="12" borderId="268" applyNumberFormat="0" applyAlignment="0" applyProtection="0"/>
    <xf numFmtId="0" fontId="28" fillId="10" borderId="285" applyNumberFormat="0" applyFont="0" applyAlignment="0" applyProtection="0"/>
    <xf numFmtId="0" fontId="41" fillId="13" borderId="300" applyNumberFormat="0" applyAlignment="0" applyProtection="0"/>
    <xf numFmtId="0" fontId="85" fillId="0" borderId="298"/>
    <xf numFmtId="0" fontId="48" fillId="12" borderId="291" applyNumberFormat="0" applyAlignment="0" applyProtection="0"/>
    <xf numFmtId="0" fontId="29" fillId="12" borderId="294" applyNumberFormat="0" applyAlignment="0" applyProtection="0"/>
    <xf numFmtId="0" fontId="32" fillId="24" borderId="300" applyNumberFormat="0" applyAlignment="0" applyProtection="0"/>
    <xf numFmtId="0" fontId="41" fillId="13" borderId="268" applyNumberFormat="0" applyAlignment="0" applyProtection="0"/>
    <xf numFmtId="0" fontId="31" fillId="0" borderId="267" applyNumberFormat="0" applyFill="0" applyAlignment="0" applyProtection="0"/>
    <xf numFmtId="0" fontId="25" fillId="13" borderId="268" applyNumberFormat="0" applyAlignment="0" applyProtection="0"/>
    <xf numFmtId="0" fontId="31" fillId="0" borderId="240" applyNumberFormat="0" applyFill="0" applyAlignment="0" applyProtection="0"/>
    <xf numFmtId="0" fontId="16" fillId="24" borderId="237" applyNumberFormat="0" applyAlignment="0" applyProtection="0"/>
    <xf numFmtId="0" fontId="31" fillId="0" borderId="267" applyNumberFormat="0" applyFill="0" applyAlignment="0" applyProtection="0"/>
    <xf numFmtId="0" fontId="28" fillId="10" borderId="269" applyNumberFormat="0" applyFont="0" applyAlignment="0" applyProtection="0"/>
    <xf numFmtId="0" fontId="73" fillId="0" borderId="274" applyBorder="0">
      <alignment horizontal="center" vertical="center" wrapText="1"/>
    </xf>
    <xf numFmtId="0" fontId="48" fillId="12" borderId="237" applyNumberFormat="0" applyAlignment="0" applyProtection="0"/>
    <xf numFmtId="0" fontId="28" fillId="0" borderId="298"/>
    <xf numFmtId="0" fontId="49" fillId="10" borderId="315" applyNumberFormat="0" applyFont="0" applyAlignment="0" applyProtection="0"/>
    <xf numFmtId="0" fontId="25" fillId="8" borderId="237" applyNumberFormat="0" applyAlignment="0" applyProtection="0"/>
    <xf numFmtId="0" fontId="28" fillId="10" borderId="238" applyNumberFormat="0" applyFont="0" applyAlignment="0" applyProtection="0"/>
    <xf numFmtId="0" fontId="41" fillId="13" borderId="237" applyNumberFormat="0" applyAlignment="0" applyProtection="0"/>
    <xf numFmtId="0" fontId="48" fillId="24" borderId="237" applyNumberFormat="0" applyAlignment="0" applyProtection="0"/>
    <xf numFmtId="0" fontId="16" fillId="24" borderId="268" applyNumberFormat="0" applyAlignment="0" applyProtection="0"/>
    <xf numFmtId="0" fontId="48" fillId="12" borderId="221" applyNumberFormat="0" applyAlignment="0" applyProtection="0"/>
    <xf numFmtId="0" fontId="48" fillId="12" borderId="291" applyNumberFormat="0" applyAlignment="0" applyProtection="0"/>
    <xf numFmtId="0" fontId="24" fillId="24" borderId="316" applyNumberFormat="0" applyAlignment="0" applyProtection="0"/>
    <xf numFmtId="0" fontId="29" fillId="12" borderId="271" applyNumberFormat="0" applyAlignment="0" applyProtection="0"/>
    <xf numFmtId="0" fontId="31" fillId="0" borderId="267" applyNumberFormat="0" applyFill="0" applyAlignment="0" applyProtection="0"/>
    <xf numFmtId="0" fontId="48" fillId="24" borderId="268"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32"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24"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48" fillId="12"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16" fillId="24" borderId="214" applyNumberFormat="0" applyAlignment="0" applyProtection="0"/>
    <xf numFmtId="0" fontId="48" fillId="12" borderId="291" applyNumberFormat="0" applyAlignment="0" applyProtection="0"/>
    <xf numFmtId="0" fontId="31" fillId="0" borderId="241" applyNumberFormat="0" applyFill="0" applyAlignment="0" applyProtection="0"/>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8" fillId="0" borderId="218"/>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41"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13"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25" fillId="8" borderId="214" applyNumberFormat="0" applyAlignment="0" applyProtection="0"/>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85" fillId="73" borderId="218"/>
    <xf numFmtId="0" fontId="31" fillId="0" borderId="290" applyNumberFormat="0" applyFill="0" applyAlignment="0" applyProtection="0"/>
    <xf numFmtId="0" fontId="31" fillId="0" borderId="267" applyNumberFormat="0" applyFill="0" applyAlignment="0" applyProtection="0"/>
    <xf numFmtId="0" fontId="28" fillId="10" borderId="238" applyNumberFormat="0" applyFont="0" applyAlignment="0" applyProtection="0"/>
    <xf numFmtId="0" fontId="28" fillId="10" borderId="238" applyNumberFormat="0" applyFont="0" applyAlignment="0" applyProtection="0"/>
    <xf numFmtId="0" fontId="48" fillId="24" borderId="237" applyNumberFormat="0" applyAlignment="0" applyProtection="0"/>
    <xf numFmtId="0" fontId="48" fillId="12" borderId="237" applyNumberFormat="0" applyAlignment="0" applyProtection="0"/>
    <xf numFmtId="0" fontId="41" fillId="13" borderId="237" applyNumberFormat="0" applyAlignment="0" applyProtection="0"/>
    <xf numFmtId="0" fontId="8" fillId="10" borderId="238" applyNumberFormat="0" applyFont="0" applyAlignment="0" applyProtection="0"/>
    <xf numFmtId="0" fontId="49" fillId="10" borderId="238" applyNumberFormat="0" applyFont="0" applyAlignment="0" applyProtection="0"/>
    <xf numFmtId="0" fontId="73" fillId="0" borderId="242" applyBorder="0">
      <alignment horizontal="center" vertical="center" wrapText="1"/>
    </xf>
    <xf numFmtId="0" fontId="32" fillId="24" borderId="237" applyNumberFormat="0" applyAlignment="0" applyProtection="0"/>
    <xf numFmtId="0" fontId="16" fillId="24" borderId="237" applyNumberFormat="0" applyAlignment="0" applyProtection="0"/>
    <xf numFmtId="0" fontId="25" fillId="13" borderId="237" applyNumberFormat="0" applyAlignment="0" applyProtection="0"/>
    <xf numFmtId="0" fontId="18" fillId="10" borderId="238" applyNumberFormat="0" applyFont="0" applyAlignment="0" applyProtection="0"/>
    <xf numFmtId="0" fontId="8" fillId="10" borderId="238" applyNumberFormat="0" applyFont="0" applyAlignment="0" applyProtection="0"/>
    <xf numFmtId="0" fontId="28" fillId="0" borderId="321"/>
    <xf numFmtId="0" fontId="41" fillId="13" borderId="268" applyNumberFormat="0" applyAlignment="0" applyProtection="0"/>
    <xf numFmtId="0" fontId="29" fillId="24" borderId="250" applyNumberFormat="0" applyAlignment="0" applyProtection="0"/>
    <xf numFmtId="0" fontId="29" fillId="12" borderId="271" applyNumberFormat="0" applyAlignment="0" applyProtection="0"/>
    <xf numFmtId="0" fontId="49" fillId="10" borderId="222" applyNumberFormat="0" applyFont="0" applyAlignment="0" applyProtection="0"/>
    <xf numFmtId="0" fontId="48" fillId="12" borderId="221" applyNumberFormat="0" applyAlignment="0" applyProtection="0"/>
    <xf numFmtId="0" fontId="25" fillId="8" borderId="221" applyNumberFormat="0" applyAlignment="0" applyProtection="0"/>
    <xf numFmtId="0" fontId="31" fillId="0" borderId="219" applyNumberFormat="0" applyFill="0" applyAlignment="0" applyProtection="0"/>
    <xf numFmtId="0" fontId="31" fillId="0" borderId="224" applyNumberFormat="0" applyFill="0" applyAlignment="0" applyProtection="0"/>
    <xf numFmtId="0" fontId="24" fillId="24" borderId="223" applyNumberFormat="0" applyAlignment="0" applyProtection="0"/>
    <xf numFmtId="0" fontId="8" fillId="10" borderId="222" applyNumberFormat="0" applyFont="0" applyAlignment="0" applyProtection="0"/>
    <xf numFmtId="0" fontId="41" fillId="13" borderId="221" applyNumberFormat="0" applyAlignment="0" applyProtection="0"/>
    <xf numFmtId="0" fontId="48" fillId="12" borderId="221" applyNumberFormat="0" applyAlignment="0" applyProtection="0"/>
    <xf numFmtId="0" fontId="48" fillId="24" borderId="221" applyNumberFormat="0" applyAlignment="0" applyProtection="0"/>
    <xf numFmtId="0" fontId="31" fillId="0" borderId="219" applyNumberFormat="0" applyFill="0" applyAlignment="0" applyProtection="0"/>
    <xf numFmtId="0" fontId="48" fillId="24" borderId="221" applyNumberFormat="0" applyAlignment="0" applyProtection="0"/>
    <xf numFmtId="0" fontId="49" fillId="10" borderId="222" applyNumberFormat="0" applyFont="0" applyAlignment="0" applyProtection="0"/>
    <xf numFmtId="0" fontId="29" fillId="12" borderId="220" applyNumberFormat="0" applyAlignment="0" applyProtection="0"/>
    <xf numFmtId="0" fontId="8" fillId="10" borderId="222" applyNumberFormat="0" applyFont="0" applyAlignment="0" applyProtection="0"/>
    <xf numFmtId="0" fontId="8" fillId="10" borderId="215" applyNumberFormat="0" applyFont="0" applyAlignment="0" applyProtection="0"/>
    <xf numFmtId="0" fontId="49" fillId="10" borderId="215" applyNumberFormat="0" applyFont="0" applyAlignment="0" applyProtection="0"/>
    <xf numFmtId="0" fontId="31" fillId="0" borderId="217" applyNumberFormat="0" applyFill="0" applyAlignment="0" applyProtection="0"/>
    <xf numFmtId="0" fontId="31" fillId="0" borderId="219" applyNumberFormat="0" applyFill="0" applyAlignment="0" applyProtection="0"/>
    <xf numFmtId="0" fontId="31" fillId="0" borderId="224" applyNumberFormat="0" applyFill="0" applyAlignment="0" applyProtection="0"/>
    <xf numFmtId="0" fontId="31" fillId="0" borderId="219" applyNumberFormat="0" applyFill="0" applyAlignment="0" applyProtection="0"/>
    <xf numFmtId="0" fontId="48" fillId="24" borderId="268" applyNumberFormat="0" applyAlignment="0" applyProtection="0"/>
    <xf numFmtId="0" fontId="29" fillId="24" borderId="260" applyNumberFormat="0" applyAlignment="0" applyProtection="0"/>
    <xf numFmtId="0" fontId="8" fillId="10" borderId="262" applyNumberFormat="0" applyFont="0" applyAlignment="0" applyProtection="0"/>
    <xf numFmtId="0" fontId="73" fillId="0" borderId="198" applyBorder="0">
      <alignment horizontal="center" vertical="center" wrapText="1"/>
    </xf>
    <xf numFmtId="0" fontId="28" fillId="0" borderId="275"/>
    <xf numFmtId="0" fontId="8" fillId="10" borderId="292" applyNumberFormat="0" applyFont="0" applyAlignment="0" applyProtection="0"/>
    <xf numFmtId="0" fontId="85" fillId="0" borderId="298"/>
    <xf numFmtId="0" fontId="25" fillId="13" borderId="268" applyNumberFormat="0" applyAlignment="0" applyProtection="0"/>
    <xf numFmtId="0" fontId="25" fillId="13" borderId="237" applyNumberFormat="0" applyAlignment="0" applyProtection="0"/>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32"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24"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48" fillId="12"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16" fillId="24" borderId="230" applyNumberFormat="0" applyAlignment="0" applyProtection="0"/>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8" fillId="0" borderId="234"/>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41"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13"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25" fillId="8" borderId="230" applyNumberFormat="0" applyAlignment="0" applyProtection="0"/>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85" fillId="73" borderId="234"/>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73" fillId="0" borderId="228" applyBorder="0">
      <alignment horizontal="center" vertical="center" wrapText="1"/>
    </xf>
    <xf numFmtId="0" fontId="29" fillId="24" borderId="306" applyNumberFormat="0" applyAlignment="0" applyProtection="0"/>
    <xf numFmtId="0" fontId="73" fillId="0" borderId="274" applyBorder="0">
      <alignment horizontal="center" vertical="center" wrapText="1"/>
    </xf>
    <xf numFmtId="0" fontId="16" fillId="24" borderId="268" applyNumberFormat="0" applyAlignment="0" applyProtection="0"/>
    <xf numFmtId="0" fontId="8" fillId="10" borderId="315" applyNumberFormat="0" applyFont="0" applyAlignment="0" applyProtection="0"/>
    <xf numFmtId="0" fontId="29" fillId="12" borderId="271" applyNumberFormat="0" applyAlignment="0" applyProtection="0"/>
    <xf numFmtId="0" fontId="8" fillId="10" borderId="315" applyNumberFormat="0" applyFont="0" applyAlignment="0" applyProtection="0"/>
    <xf numFmtId="0" fontId="41" fillId="13" borderId="268" applyNumberFormat="0" applyAlignment="0" applyProtection="0"/>
    <xf numFmtId="0" fontId="18" fillId="10" borderId="285" applyNumberFormat="0" applyFont="0" applyAlignment="0" applyProtection="0"/>
    <xf numFmtId="0" fontId="28" fillId="0" borderId="298"/>
    <xf numFmtId="0" fontId="49" fillId="10" borderId="238" applyNumberFormat="0" applyFont="0" applyAlignment="0" applyProtection="0"/>
    <xf numFmtId="0" fontId="48" fillId="12" borderId="237" applyNumberFormat="0" applyAlignment="0" applyProtection="0"/>
    <xf numFmtId="0" fontId="25" fillId="8" borderId="237" applyNumberFormat="0" applyAlignment="0" applyProtection="0"/>
    <xf numFmtId="0" fontId="31" fillId="0" borderId="235" applyNumberFormat="0" applyFill="0" applyAlignment="0" applyProtection="0"/>
    <xf numFmtId="0" fontId="31" fillId="0" borderId="240" applyNumberFormat="0" applyFill="0" applyAlignment="0" applyProtection="0"/>
    <xf numFmtId="0" fontId="24" fillId="24" borderId="239" applyNumberFormat="0" applyAlignment="0" applyProtection="0"/>
    <xf numFmtId="0" fontId="8" fillId="10" borderId="238" applyNumberFormat="0" applyFont="0" applyAlignment="0" applyProtection="0"/>
    <xf numFmtId="0" fontId="41" fillId="13" borderId="237" applyNumberFormat="0" applyAlignment="0" applyProtection="0"/>
    <xf numFmtId="0" fontId="48" fillId="12" borderId="237" applyNumberFormat="0" applyAlignment="0" applyProtection="0"/>
    <xf numFmtId="0" fontId="48" fillId="24" borderId="237" applyNumberFormat="0" applyAlignment="0" applyProtection="0"/>
    <xf numFmtId="0" fontId="31" fillId="0" borderId="235" applyNumberFormat="0" applyFill="0" applyAlignment="0" applyProtection="0"/>
    <xf numFmtId="0" fontId="48" fillId="24" borderId="237" applyNumberFormat="0" applyAlignment="0" applyProtection="0"/>
    <xf numFmtId="0" fontId="49" fillId="10" borderId="238" applyNumberFormat="0" applyFont="0" applyAlignment="0" applyProtection="0"/>
    <xf numFmtId="0" fontId="29" fillId="12" borderId="236" applyNumberFormat="0" applyAlignment="0" applyProtection="0"/>
    <xf numFmtId="0" fontId="8" fillId="10" borderId="238" applyNumberFormat="0" applyFont="0" applyAlignment="0" applyProtection="0"/>
    <xf numFmtId="0" fontId="8" fillId="10" borderId="231" applyNumberFormat="0" applyFont="0" applyAlignment="0" applyProtection="0"/>
    <xf numFmtId="0" fontId="49" fillId="10" borderId="231" applyNumberFormat="0" applyFont="0" applyAlignment="0" applyProtection="0"/>
    <xf numFmtId="0" fontId="31" fillId="0" borderId="233" applyNumberFormat="0" applyFill="0" applyAlignment="0" applyProtection="0"/>
    <xf numFmtId="0" fontId="31" fillId="0" borderId="235" applyNumberFormat="0" applyFill="0" applyAlignment="0" applyProtection="0"/>
    <xf numFmtId="0" fontId="31" fillId="0" borderId="240" applyNumberFormat="0" applyFill="0" applyAlignment="0" applyProtection="0"/>
    <xf numFmtId="0" fontId="31" fillId="0" borderId="235" applyNumberFormat="0" applyFill="0" applyAlignment="0" applyProtection="0"/>
    <xf numFmtId="0" fontId="31" fillId="0" borderId="290" applyNumberFormat="0" applyFill="0" applyAlignment="0" applyProtection="0"/>
    <xf numFmtId="0" fontId="73" fillId="0" borderId="248" applyBorder="0">
      <alignment horizontal="center" vertical="center" wrapText="1"/>
    </xf>
    <xf numFmtId="0" fontId="31" fillId="0" borderId="296" applyNumberFormat="0" applyFill="0" applyAlignment="0" applyProtection="0"/>
    <xf numFmtId="0" fontId="28" fillId="0" borderId="321"/>
    <xf numFmtId="0" fontId="29" fillId="24" borderId="317" applyNumberFormat="0" applyAlignment="0" applyProtection="0"/>
    <xf numFmtId="0" fontId="31" fillId="0" borderId="313" applyNumberFormat="0" applyFill="0" applyAlignment="0" applyProtection="0"/>
    <xf numFmtId="0" fontId="31" fillId="0" borderId="296" applyNumberFormat="0" applyFill="0" applyAlignment="0" applyProtection="0"/>
    <xf numFmtId="0" fontId="31" fillId="0" borderId="296" applyNumberFormat="0" applyFill="0" applyAlignment="0" applyProtection="0"/>
    <xf numFmtId="0" fontId="28" fillId="10" borderId="292" applyNumberFormat="0" applyFont="0" applyAlignment="0" applyProtection="0"/>
    <xf numFmtId="0" fontId="48" fillId="24" borderId="291" applyNumberFormat="0" applyAlignment="0" applyProtection="0"/>
    <xf numFmtId="0" fontId="73" fillId="0" borderId="297" applyBorder="0">
      <alignment horizontal="center" vertical="center" wrapText="1"/>
    </xf>
    <xf numFmtId="0" fontId="8" fillId="10" borderId="285" applyNumberFormat="0" applyFont="0" applyAlignment="0" applyProtection="0"/>
    <xf numFmtId="0" fontId="31" fillId="0" borderId="313" applyNumberFormat="0" applyFill="0" applyAlignment="0" applyProtection="0"/>
    <xf numFmtId="0" fontId="29" fillId="24" borderId="294" applyNumberFormat="0" applyAlignment="0" applyProtection="0"/>
    <xf numFmtId="0" fontId="29" fillId="24" borderId="317" applyNumberFormat="0" applyAlignment="0" applyProtection="0"/>
    <xf numFmtId="0" fontId="31" fillId="0" borderId="296" applyNumberFormat="0" applyFill="0" applyAlignment="0" applyProtection="0"/>
    <xf numFmtId="0" fontId="16" fillId="24" borderId="314" applyNumberFormat="0" applyAlignment="0" applyProtection="0"/>
    <xf numFmtId="0" fontId="85" fillId="73" borderId="321"/>
    <xf numFmtId="0" fontId="48" fillId="12" borderId="268" applyNumberFormat="0" applyAlignment="0" applyProtection="0"/>
    <xf numFmtId="0" fontId="25" fillId="13" borderId="291" applyNumberFormat="0" applyAlignment="0" applyProtection="0"/>
    <xf numFmtId="0" fontId="24" fillId="24" borderId="293" applyNumberFormat="0" applyAlignment="0" applyProtection="0"/>
    <xf numFmtId="0" fontId="31" fillId="0" borderId="326" applyNumberFormat="0" applyFill="0" applyAlignment="0" applyProtection="0"/>
    <xf numFmtId="0" fontId="48" fillId="12" borderId="291" applyNumberFormat="0" applyAlignment="0" applyProtection="0"/>
    <xf numFmtId="0" fontId="73" fillId="0" borderId="274" applyBorder="0">
      <alignment horizontal="center" vertical="center" wrapText="1"/>
    </xf>
    <xf numFmtId="0" fontId="49" fillId="10" borderId="269" applyNumberFormat="0" applyFont="0" applyAlignment="0" applyProtection="0"/>
    <xf numFmtId="0" fontId="85" fillId="73" borderId="275"/>
    <xf numFmtId="0" fontId="31" fillId="0" borderId="272" applyNumberFormat="0" applyFill="0" applyAlignment="0" applyProtection="0"/>
    <xf numFmtId="0" fontId="29" fillId="24" borderId="271" applyNumberFormat="0" applyAlignment="0" applyProtection="0"/>
    <xf numFmtId="0" fontId="31" fillId="0" borderId="267" applyNumberFormat="0" applyFill="0" applyAlignment="0" applyProtection="0"/>
    <xf numFmtId="0" fontId="28" fillId="10" borderId="269" applyNumberFormat="0" applyFont="0" applyAlignment="0" applyProtection="0"/>
    <xf numFmtId="0" fontId="48" fillId="12" borderId="268" applyNumberFormat="0" applyAlignment="0" applyProtection="0"/>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32"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24"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48" fillId="12"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16" fillId="24" borderId="243" applyNumberFormat="0" applyAlignment="0" applyProtection="0"/>
    <xf numFmtId="0" fontId="28" fillId="10" borderId="269" applyNumberFormat="0" applyFont="0" applyAlignment="0" applyProtection="0"/>
    <xf numFmtId="0" fontId="41" fillId="13" borderId="268" applyNumberFormat="0" applyAlignment="0" applyProtection="0"/>
    <xf numFmtId="0" fontId="73" fillId="0" borderId="265" applyBorder="0">
      <alignment horizontal="center" vertical="center" wrapText="1"/>
    </xf>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8" fillId="0" borderId="247"/>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41"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13"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25" fillId="8" borderId="243" applyNumberFormat="0" applyAlignment="0" applyProtection="0"/>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85" fillId="73" borderId="247"/>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73" fillId="0" borderId="248" applyBorder="0">
      <alignment horizontal="center" vertical="center" wrapText="1"/>
    </xf>
    <xf numFmtId="0" fontId="49" fillId="10" borderId="244" applyNumberFormat="0" applyFont="0" applyAlignment="0" applyProtection="0"/>
    <xf numFmtId="0" fontId="48" fillId="12" borderId="243" applyNumberFormat="0" applyAlignment="0" applyProtection="0"/>
    <xf numFmtId="0" fontId="25" fillId="8" borderId="243" applyNumberFormat="0" applyAlignment="0" applyProtection="0"/>
    <xf numFmtId="0" fontId="31" fillId="0" borderId="249" applyNumberFormat="0" applyFill="0" applyAlignment="0" applyProtection="0"/>
    <xf numFmtId="0" fontId="31" fillId="0" borderId="246" applyNumberFormat="0" applyFill="0" applyAlignment="0" applyProtection="0"/>
    <xf numFmtId="0" fontId="24" fillId="24" borderId="245" applyNumberFormat="0" applyAlignment="0" applyProtection="0"/>
    <xf numFmtId="0" fontId="8" fillId="10" borderId="244" applyNumberFormat="0" applyFont="0" applyAlignment="0" applyProtection="0"/>
    <xf numFmtId="0" fontId="41" fillId="13" borderId="243" applyNumberFormat="0" applyAlignment="0" applyProtection="0"/>
    <xf numFmtId="0" fontId="48" fillId="12" borderId="243" applyNumberFormat="0" applyAlignment="0" applyProtection="0"/>
    <xf numFmtId="0" fontId="48" fillId="24" borderId="243" applyNumberFormat="0" applyAlignment="0" applyProtection="0"/>
    <xf numFmtId="0" fontId="31" fillId="0" borderId="249" applyNumberFormat="0" applyFill="0" applyAlignment="0" applyProtection="0"/>
    <xf numFmtId="0" fontId="48" fillId="24" borderId="243" applyNumberFormat="0" applyAlignment="0" applyProtection="0"/>
    <xf numFmtId="0" fontId="49" fillId="10" borderId="244" applyNumberFormat="0" applyFont="0" applyAlignment="0" applyProtection="0"/>
    <xf numFmtId="0" fontId="29" fillId="12" borderId="250" applyNumberFormat="0" applyAlignment="0" applyProtection="0"/>
    <xf numFmtId="0" fontId="8" fillId="10" borderId="244" applyNumberFormat="0" applyFont="0" applyAlignment="0" applyProtection="0"/>
    <xf numFmtId="0" fontId="8" fillId="10" borderId="244" applyNumberFormat="0" applyFont="0" applyAlignment="0" applyProtection="0"/>
    <xf numFmtId="0" fontId="49" fillId="10" borderId="244" applyNumberFormat="0" applyFont="0" applyAlignment="0" applyProtection="0"/>
    <xf numFmtId="0" fontId="31" fillId="0" borderId="246" applyNumberFormat="0" applyFill="0" applyAlignment="0" applyProtection="0"/>
    <xf numFmtId="0" fontId="31" fillId="0" borderId="249" applyNumberFormat="0" applyFill="0" applyAlignment="0" applyProtection="0"/>
    <xf numFmtId="0" fontId="31" fillId="0" borderId="246" applyNumberFormat="0" applyFill="0" applyAlignment="0" applyProtection="0"/>
    <xf numFmtId="0" fontId="31" fillId="0" borderId="249" applyNumberFormat="0" applyFill="0" applyAlignment="0" applyProtection="0"/>
    <xf numFmtId="0" fontId="28" fillId="0" borderId="298"/>
    <xf numFmtId="0" fontId="73" fillId="0" borderId="320" applyBorder="0">
      <alignment horizontal="center" vertical="center" wrapText="1"/>
    </xf>
    <xf numFmtId="0" fontId="8" fillId="10" borderId="315" applyNumberFormat="0" applyFont="0" applyAlignment="0" applyProtection="0"/>
    <xf numFmtId="0" fontId="29" fillId="24" borderId="317" applyNumberFormat="0" applyAlignment="0" applyProtection="0"/>
    <xf numFmtId="0" fontId="31" fillId="0" borderId="290" applyNumberFormat="0" applyFill="0" applyAlignment="0" applyProtection="0"/>
    <xf numFmtId="0" fontId="31" fillId="0" borderId="313" applyNumberFormat="0" applyFill="0" applyAlignment="0" applyProtection="0"/>
    <xf numFmtId="0" fontId="48" fillId="12" borderId="314" applyNumberFormat="0" applyAlignment="0" applyProtection="0"/>
    <xf numFmtId="0" fontId="31" fillId="0" borderId="295" applyNumberFormat="0" applyFill="0" applyAlignment="0" applyProtection="0"/>
    <xf numFmtId="0" fontId="29" fillId="24" borderId="294" applyNumberFormat="0" applyAlignment="0" applyProtection="0"/>
    <xf numFmtId="0" fontId="73" fillId="0" borderId="265" applyBorder="0">
      <alignment horizontal="center" vertical="center" wrapText="1"/>
    </xf>
    <xf numFmtId="0" fontId="29" fillId="24" borderId="317" applyNumberFormat="0" applyAlignment="0" applyProtection="0"/>
    <xf numFmtId="0" fontId="25" fillId="8" borderId="291" applyNumberFormat="0" applyAlignment="0" applyProtection="0"/>
    <xf numFmtId="0" fontId="31" fillId="0" borderId="295" applyNumberFormat="0" applyFill="0" applyAlignment="0" applyProtection="0"/>
    <xf numFmtId="0" fontId="48" fillId="12" borderId="291" applyNumberFormat="0" applyAlignment="0" applyProtection="0"/>
    <xf numFmtId="0" fontId="25" fillId="13" borderId="261" applyNumberFormat="0" applyAlignment="0" applyProtection="0"/>
    <xf numFmtId="0" fontId="25" fillId="13" borderId="291" applyNumberFormat="0" applyAlignment="0" applyProtection="0"/>
    <xf numFmtId="0" fontId="73" fillId="0" borderId="297" applyBorder="0">
      <alignment horizontal="center" vertical="center" wrapText="1"/>
    </xf>
    <xf numFmtId="0" fontId="28" fillId="10" borderId="292" applyNumberFormat="0" applyFont="0" applyAlignment="0" applyProtection="0"/>
    <xf numFmtId="0" fontId="28" fillId="10" borderId="292" applyNumberFormat="0" applyFont="0" applyAlignment="0" applyProtection="0"/>
    <xf numFmtId="0" fontId="29" fillId="24" borderId="294" applyNumberFormat="0" applyAlignment="0" applyProtection="0"/>
    <xf numFmtId="0" fontId="31" fillId="0" borderId="290" applyNumberFormat="0" applyFill="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32"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24"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48" fillId="12"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16" fillId="24" borderId="254" applyNumberFormat="0" applyAlignment="0" applyProtection="0"/>
    <xf numFmtId="0" fontId="85" fillId="0" borderId="29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8" fillId="0" borderId="258"/>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41"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13"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25" fillId="8" borderId="254" applyNumberFormat="0" applyAlignment="0" applyProtection="0"/>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85" fillId="73" borderId="258"/>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73" fillId="0" borderId="242" applyBorder="0">
      <alignment horizontal="center" vertical="center" wrapText="1"/>
    </xf>
    <xf numFmtId="0" fontId="31" fillId="0" borderId="319" applyNumberFormat="0" applyFill="0" applyAlignment="0" applyProtection="0"/>
    <xf numFmtId="0" fontId="31" fillId="0" borderId="319" applyNumberFormat="0" applyFill="0" applyAlignment="0" applyProtection="0"/>
    <xf numFmtId="0" fontId="85" fillId="73" borderId="321"/>
    <xf numFmtId="0" fontId="28" fillId="10" borderId="308" applyNumberFormat="0" applyFont="0" applyAlignment="0" applyProtection="0"/>
    <xf numFmtId="0" fontId="49" fillId="10" borderId="262" applyNumberFormat="0" applyFont="0" applyAlignment="0" applyProtection="0"/>
    <xf numFmtId="0" fontId="48" fillId="12" borderId="261" applyNumberFormat="0" applyAlignment="0" applyProtection="0"/>
    <xf numFmtId="0" fontId="25" fillId="8" borderId="261" applyNumberFormat="0" applyAlignment="0" applyProtection="0"/>
    <xf numFmtId="0" fontId="31" fillId="0" borderId="259" applyNumberFormat="0" applyFill="0" applyAlignment="0" applyProtection="0"/>
    <xf numFmtId="0" fontId="31" fillId="0" borderId="264" applyNumberFormat="0" applyFill="0" applyAlignment="0" applyProtection="0"/>
    <xf numFmtId="0" fontId="24" fillId="24" borderId="263" applyNumberFormat="0" applyAlignment="0" applyProtection="0"/>
    <xf numFmtId="0" fontId="8" fillId="10" borderId="262" applyNumberFormat="0" applyFont="0" applyAlignment="0" applyProtection="0"/>
    <xf numFmtId="0" fontId="41" fillId="13" borderId="261" applyNumberFormat="0" applyAlignment="0" applyProtection="0"/>
    <xf numFmtId="0" fontId="48" fillId="12" borderId="261" applyNumberFormat="0" applyAlignment="0" applyProtection="0"/>
    <xf numFmtId="0" fontId="48" fillId="24" borderId="261" applyNumberFormat="0" applyAlignment="0" applyProtection="0"/>
    <xf numFmtId="0" fontId="31" fillId="0" borderId="259" applyNumberFormat="0" applyFill="0" applyAlignment="0" applyProtection="0"/>
    <xf numFmtId="0" fontId="48" fillId="24" borderId="261" applyNumberFormat="0" applyAlignment="0" applyProtection="0"/>
    <xf numFmtId="0" fontId="49" fillId="10" borderId="262" applyNumberFormat="0" applyFont="0" applyAlignment="0" applyProtection="0"/>
    <xf numFmtId="0" fontId="29" fillId="12" borderId="260" applyNumberFormat="0" applyAlignment="0" applyProtection="0"/>
    <xf numFmtId="0" fontId="8" fillId="10" borderId="262" applyNumberFormat="0" applyFont="0" applyAlignment="0" applyProtection="0"/>
    <xf numFmtId="0" fontId="8" fillId="10" borderId="255" applyNumberFormat="0" applyFont="0" applyAlignment="0" applyProtection="0"/>
    <xf numFmtId="0" fontId="49" fillId="10" borderId="255" applyNumberFormat="0" applyFont="0" applyAlignment="0" applyProtection="0"/>
    <xf numFmtId="0" fontId="31" fillId="0" borderId="257" applyNumberFormat="0" applyFill="0" applyAlignment="0" applyProtection="0"/>
    <xf numFmtId="0" fontId="31" fillId="0" borderId="259" applyNumberFormat="0" applyFill="0" applyAlignment="0" applyProtection="0"/>
    <xf numFmtId="0" fontId="31" fillId="0" borderId="264" applyNumberFormat="0" applyFill="0" applyAlignment="0" applyProtection="0"/>
    <xf numFmtId="0" fontId="31" fillId="0" borderId="259" applyNumberFormat="0" applyFill="0" applyAlignment="0" applyProtection="0"/>
    <xf numFmtId="0" fontId="31" fillId="0" borderId="313" applyNumberFormat="0" applyFill="0" applyAlignment="0" applyProtection="0"/>
    <xf numFmtId="0" fontId="29" fillId="24" borderId="317" applyNumberFormat="0" applyAlignment="0" applyProtection="0"/>
    <xf numFmtId="0" fontId="73" fillId="0" borderId="288" applyBorder="0">
      <alignment horizontal="center" vertical="center" wrapText="1"/>
    </xf>
    <xf numFmtId="0" fontId="8" fillId="10" borderId="324" applyNumberFormat="0" applyFont="0" applyAlignment="0" applyProtection="0"/>
    <xf numFmtId="0" fontId="25" fillId="13" borderId="284" applyNumberFormat="0" applyAlignment="0" applyProtection="0"/>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32"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24"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48" fillId="12"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16" fillId="24" borderId="277" applyNumberFormat="0" applyAlignment="0" applyProtection="0"/>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8" fillId="0" borderId="281"/>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41"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13"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25" fillId="8" borderId="277" applyNumberFormat="0" applyAlignment="0" applyProtection="0"/>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85" fillId="73" borderId="281"/>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73" fillId="0" borderId="274" applyBorder="0">
      <alignment horizontal="center" vertical="center" wrapText="1"/>
    </xf>
    <xf numFmtId="0" fontId="49" fillId="10" borderId="285" applyNumberFormat="0" applyFont="0" applyAlignment="0" applyProtection="0"/>
    <xf numFmtId="0" fontId="48" fillId="12" borderId="284" applyNumberFormat="0" applyAlignment="0" applyProtection="0"/>
    <xf numFmtId="0" fontId="25" fillId="8" borderId="284" applyNumberFormat="0" applyAlignment="0" applyProtection="0"/>
    <xf numFmtId="0" fontId="31" fillId="0" borderId="282" applyNumberFormat="0" applyFill="0" applyAlignment="0" applyProtection="0"/>
    <xf numFmtId="0" fontId="31" fillId="0" borderId="287" applyNumberFormat="0" applyFill="0" applyAlignment="0" applyProtection="0"/>
    <xf numFmtId="0" fontId="24" fillId="24" borderId="286" applyNumberFormat="0" applyAlignment="0" applyProtection="0"/>
    <xf numFmtId="0" fontId="8" fillId="10" borderId="285" applyNumberFormat="0" applyFont="0" applyAlignment="0" applyProtection="0"/>
    <xf numFmtId="0" fontId="41" fillId="13" borderId="284" applyNumberFormat="0" applyAlignment="0" applyProtection="0"/>
    <xf numFmtId="0" fontId="48" fillId="12" borderId="284" applyNumberFormat="0" applyAlignment="0" applyProtection="0"/>
    <xf numFmtId="0" fontId="48" fillId="24" borderId="284" applyNumberFormat="0" applyAlignment="0" applyProtection="0"/>
    <xf numFmtId="0" fontId="31" fillId="0" borderId="282" applyNumberFormat="0" applyFill="0" applyAlignment="0" applyProtection="0"/>
    <xf numFmtId="0" fontId="48" fillId="24" borderId="284" applyNumberFormat="0" applyAlignment="0" applyProtection="0"/>
    <xf numFmtId="0" fontId="49" fillId="10" borderId="285" applyNumberFormat="0" applyFont="0" applyAlignment="0" applyProtection="0"/>
    <xf numFmtId="0" fontId="29" fillId="12" borderId="283" applyNumberFormat="0" applyAlignment="0" applyProtection="0"/>
    <xf numFmtId="0" fontId="8" fillId="10" borderId="285" applyNumberFormat="0" applyFont="0" applyAlignment="0" applyProtection="0"/>
    <xf numFmtId="0" fontId="8" fillId="10" borderId="278" applyNumberFormat="0" applyFont="0" applyAlignment="0" applyProtection="0"/>
    <xf numFmtId="0" fontId="49" fillId="10" borderId="278" applyNumberFormat="0" applyFont="0" applyAlignment="0" applyProtection="0"/>
    <xf numFmtId="0" fontId="31" fillId="0" borderId="280" applyNumberFormat="0" applyFill="0" applyAlignment="0" applyProtection="0"/>
    <xf numFmtId="0" fontId="31" fillId="0" borderId="282" applyNumberFormat="0" applyFill="0" applyAlignment="0" applyProtection="0"/>
    <xf numFmtId="0" fontId="31" fillId="0" borderId="287" applyNumberFormat="0" applyFill="0" applyAlignment="0" applyProtection="0"/>
    <xf numFmtId="0" fontId="31" fillId="0" borderId="282" applyNumberFormat="0" applyFill="0" applyAlignment="0" applyProtection="0"/>
    <xf numFmtId="0" fontId="16" fillId="24" borderId="307" applyNumberFormat="0" applyAlignment="0" applyProtection="0"/>
    <xf numFmtId="0" fontId="32" fillId="24" borderId="307" applyNumberFormat="0" applyAlignment="0" applyProtection="0"/>
    <xf numFmtId="0" fontId="73" fillId="0" borderId="311" applyBorder="0">
      <alignment horizontal="center" vertical="center" wrapText="1"/>
    </xf>
    <xf numFmtId="0" fontId="25" fillId="13" borderId="307" applyNumberFormat="0" applyAlignment="0" applyProtection="0"/>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32"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24"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48" fillId="12"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16" fillId="24" borderId="300" applyNumberFormat="0" applyAlignment="0" applyProtection="0"/>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8" fillId="0" borderId="304"/>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41"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13"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25" fillId="8" borderId="300" applyNumberFormat="0" applyAlignment="0" applyProtection="0"/>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85" fillId="73" borderId="304"/>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73" fillId="0" borderId="297" applyBorder="0">
      <alignment horizontal="center" vertical="center" wrapText="1"/>
    </xf>
    <xf numFmtId="0" fontId="49" fillId="10" borderId="308" applyNumberFormat="0" applyFont="0" applyAlignment="0" applyProtection="0"/>
    <xf numFmtId="0" fontId="48" fillId="12" borderId="307" applyNumberFormat="0" applyAlignment="0" applyProtection="0"/>
    <xf numFmtId="0" fontId="25" fillId="8" borderId="307" applyNumberFormat="0" applyAlignment="0" applyProtection="0"/>
    <xf numFmtId="0" fontId="31" fillId="0" borderId="305" applyNumberFormat="0" applyFill="0" applyAlignment="0" applyProtection="0"/>
    <xf numFmtId="0" fontId="31" fillId="0" borderId="310" applyNumberFormat="0" applyFill="0" applyAlignment="0" applyProtection="0"/>
    <xf numFmtId="0" fontId="24" fillId="24" borderId="309" applyNumberFormat="0" applyAlignment="0" applyProtection="0"/>
    <xf numFmtId="0" fontId="8" fillId="10" borderId="308" applyNumberFormat="0" applyFont="0" applyAlignment="0" applyProtection="0"/>
    <xf numFmtId="0" fontId="41" fillId="13" borderId="307" applyNumberFormat="0" applyAlignment="0" applyProtection="0"/>
    <xf numFmtId="0" fontId="48" fillId="12" borderId="307" applyNumberFormat="0" applyAlignment="0" applyProtection="0"/>
    <xf numFmtId="0" fontId="48" fillId="24" borderId="307" applyNumberFormat="0" applyAlignment="0" applyProtection="0"/>
    <xf numFmtId="0" fontId="31" fillId="0" borderId="305" applyNumberFormat="0" applyFill="0" applyAlignment="0" applyProtection="0"/>
    <xf numFmtId="0" fontId="48" fillId="24" borderId="307" applyNumberFormat="0" applyAlignment="0" applyProtection="0"/>
    <xf numFmtId="0" fontId="49" fillId="10" borderId="308" applyNumberFormat="0" applyFont="0" applyAlignment="0" applyProtection="0"/>
    <xf numFmtId="0" fontId="29" fillId="12" borderId="306" applyNumberFormat="0" applyAlignment="0" applyProtection="0"/>
    <xf numFmtId="0" fontId="8" fillId="10" borderId="308" applyNumberFormat="0" applyFont="0" applyAlignment="0" applyProtection="0"/>
    <xf numFmtId="0" fontId="8" fillId="10" borderId="301" applyNumberFormat="0" applyFont="0" applyAlignment="0" applyProtection="0"/>
    <xf numFmtId="0" fontId="49" fillId="10" borderId="301" applyNumberFormat="0" applyFont="0" applyAlignment="0" applyProtection="0"/>
    <xf numFmtId="0" fontId="31" fillId="0" borderId="303" applyNumberFormat="0" applyFill="0" applyAlignment="0" applyProtection="0"/>
    <xf numFmtId="0" fontId="31" fillId="0" borderId="305" applyNumberFormat="0" applyFill="0" applyAlignment="0" applyProtection="0"/>
    <xf numFmtId="0" fontId="31" fillId="0" borderId="310" applyNumberFormat="0" applyFill="0" applyAlignment="0" applyProtection="0"/>
    <xf numFmtId="0" fontId="31" fillId="0" borderId="305" applyNumberFormat="0" applyFill="0" applyAlignment="0" applyProtection="0"/>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32"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24"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48" fillId="12"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16" fillId="24" borderId="323" applyNumberFormat="0" applyAlignment="0" applyProtection="0"/>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8" fillId="0" borderId="327"/>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41"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13"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25" fillId="8" borderId="323" applyNumberFormat="0" applyAlignment="0" applyProtection="0"/>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85" fillId="73" borderId="327"/>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73" fillId="0" borderId="320" applyBorder="0">
      <alignment horizontal="center" vertical="center" wrapText="1"/>
    </xf>
    <xf numFmtId="0" fontId="49" fillId="10" borderId="331" applyNumberFormat="0" applyFont="0" applyAlignment="0" applyProtection="0"/>
    <xf numFmtId="0" fontId="48" fillId="12" borderId="330" applyNumberFormat="0" applyAlignment="0" applyProtection="0"/>
    <xf numFmtId="0" fontId="25" fillId="8" borderId="330" applyNumberFormat="0" applyAlignment="0" applyProtection="0"/>
    <xf numFmtId="0" fontId="31" fillId="0" borderId="328" applyNumberFormat="0" applyFill="0" applyAlignment="0" applyProtection="0"/>
    <xf numFmtId="0" fontId="31" fillId="0" borderId="333" applyNumberFormat="0" applyFill="0" applyAlignment="0" applyProtection="0"/>
    <xf numFmtId="0" fontId="24" fillId="24" borderId="332" applyNumberFormat="0" applyAlignment="0" applyProtection="0"/>
    <xf numFmtId="0" fontId="8" fillId="10" borderId="331" applyNumberFormat="0" applyFont="0" applyAlignment="0" applyProtection="0"/>
    <xf numFmtId="0" fontId="41" fillId="13" borderId="330" applyNumberFormat="0" applyAlignment="0" applyProtection="0"/>
    <xf numFmtId="0" fontId="48" fillId="12" borderId="330" applyNumberFormat="0" applyAlignment="0" applyProtection="0"/>
    <xf numFmtId="0" fontId="48" fillId="24" borderId="330" applyNumberFormat="0" applyAlignment="0" applyProtection="0"/>
    <xf numFmtId="0" fontId="31" fillId="0" borderId="328" applyNumberFormat="0" applyFill="0" applyAlignment="0" applyProtection="0"/>
    <xf numFmtId="0" fontId="48" fillId="24" borderId="330" applyNumberFormat="0" applyAlignment="0" applyProtection="0"/>
    <xf numFmtId="0" fontId="49" fillId="10" borderId="331" applyNumberFormat="0" applyFont="0" applyAlignment="0" applyProtection="0"/>
    <xf numFmtId="0" fontId="29" fillId="12" borderId="329" applyNumberFormat="0" applyAlignment="0" applyProtection="0"/>
    <xf numFmtId="0" fontId="8" fillId="10" borderId="331" applyNumberFormat="0" applyFont="0" applyAlignment="0" applyProtection="0"/>
    <xf numFmtId="0" fontId="8" fillId="10" borderId="324" applyNumberFormat="0" applyFont="0" applyAlignment="0" applyProtection="0"/>
    <xf numFmtId="0" fontId="49" fillId="10" borderId="324" applyNumberFormat="0" applyFont="0" applyAlignment="0" applyProtection="0"/>
    <xf numFmtId="0" fontId="31" fillId="0" borderId="326" applyNumberFormat="0" applyFill="0" applyAlignment="0" applyProtection="0"/>
    <xf numFmtId="0" fontId="31" fillId="0" borderId="328" applyNumberFormat="0" applyFill="0" applyAlignment="0" applyProtection="0"/>
    <xf numFmtId="0" fontId="31" fillId="0" borderId="333" applyNumberFormat="0" applyFill="0" applyAlignment="0" applyProtection="0"/>
    <xf numFmtId="0" fontId="31" fillId="0" borderId="328" applyNumberFormat="0" applyFill="0" applyAlignment="0" applyProtection="0"/>
    <xf numFmtId="0" fontId="41" fillId="13" borderId="346" applyNumberFormat="0" applyAlignment="0" applyProtection="0"/>
    <xf numFmtId="0" fontId="31" fillId="0" borderId="352" applyNumberFormat="0" applyFill="0" applyAlignment="0" applyProtection="0"/>
    <xf numFmtId="0" fontId="73" fillId="0" borderId="353" applyBorder="0">
      <alignment horizontal="center" vertical="center" wrapText="1"/>
    </xf>
    <xf numFmtId="0" fontId="31" fillId="0" borderId="352" applyNumberFormat="0" applyFill="0" applyAlignment="0" applyProtection="0"/>
    <xf numFmtId="0" fontId="24" fillId="24" borderId="348" applyNumberFormat="0" applyAlignment="0" applyProtection="0"/>
    <xf numFmtId="0" fontId="31" fillId="0" borderId="349" applyNumberFormat="0" applyFill="0" applyAlignment="0" applyProtection="0"/>
    <xf numFmtId="0" fontId="31" fillId="0" borderId="344" applyNumberFormat="0" applyFill="0" applyAlignment="0" applyProtection="0"/>
    <xf numFmtId="0" fontId="73" fillId="0" borderId="350" applyBorder="0">
      <alignment horizontal="center" vertical="center" wrapText="1"/>
    </xf>
    <xf numFmtId="0" fontId="8" fillId="10" borderId="347" applyNumberFormat="0" applyFont="0" applyAlignment="0" applyProtection="0"/>
    <xf numFmtId="0" fontId="48" fillId="24" borderId="346" applyNumberFormat="0" applyAlignment="0" applyProtection="0"/>
    <xf numFmtId="0" fontId="8" fillId="10" borderId="347" applyNumberFormat="0" applyFont="0" applyAlignment="0" applyProtection="0"/>
    <xf numFmtId="0" fontId="25" fillId="13" borderId="346" applyNumberFormat="0" applyAlignment="0" applyProtection="0"/>
    <xf numFmtId="0" fontId="28" fillId="10" borderId="347" applyNumberFormat="0" applyFont="0" applyAlignment="0" applyProtection="0"/>
    <xf numFmtId="0" fontId="73" fillId="0" borderId="350" applyBorder="0">
      <alignment horizontal="center" vertical="center" wrapText="1"/>
    </xf>
    <xf numFmtId="0" fontId="31" fillId="0" borderId="352" applyNumberFormat="0" applyFill="0" applyAlignment="0" applyProtection="0"/>
    <xf numFmtId="0" fontId="31" fillId="0" borderId="352" applyNumberFormat="0" applyFill="0" applyAlignment="0" applyProtection="0"/>
    <xf numFmtId="0" fontId="8" fillId="10" borderId="347" applyNumberFormat="0" applyFont="0" applyAlignment="0" applyProtection="0"/>
    <xf numFmtId="0" fontId="25" fillId="13" borderId="355" applyNumberFormat="0" applyAlignment="0" applyProtection="0"/>
    <xf numFmtId="0" fontId="32" fillId="24" borderId="330" applyNumberFormat="0" applyAlignment="0" applyProtection="0"/>
    <xf numFmtId="0" fontId="16" fillId="24" borderId="330" applyNumberFormat="0" applyAlignment="0" applyProtection="0"/>
    <xf numFmtId="0" fontId="16" fillId="24" borderId="330" applyNumberFormat="0" applyAlignment="0" applyProtection="0"/>
    <xf numFmtId="0" fontId="16" fillId="24" borderId="330"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0" fontId="73" fillId="0" borderId="311" applyBorder="0">
      <alignment horizontal="center" vertical="center" wrapText="1"/>
    </xf>
    <xf numFmtId="0" fontId="25" fillId="13" borderId="335" applyNumberFormat="0" applyAlignment="0" applyProtection="0"/>
    <xf numFmtId="0" fontId="25" fillId="13" borderId="335" applyNumberFormat="0" applyAlignment="0" applyProtection="0"/>
    <xf numFmtId="0" fontId="25" fillId="13" borderId="335" applyNumberFormat="0" applyAlignment="0" applyProtection="0"/>
    <xf numFmtId="0" fontId="41" fillId="13" borderId="335" applyNumberFormat="0" applyAlignment="0" applyProtection="0"/>
    <xf numFmtId="0" fontId="21" fillId="11" borderId="0" applyNumberFormat="0" applyBorder="0" applyAlignment="0" applyProtection="0"/>
    <xf numFmtId="0" fontId="41" fillId="13" borderId="330" applyNumberFormat="0" applyAlignment="0" applyProtection="0"/>
    <xf numFmtId="0" fontId="25" fillId="13" borderId="330" applyNumberFormat="0" applyAlignment="0" applyProtection="0"/>
    <xf numFmtId="0" fontId="25" fillId="13" borderId="330" applyNumberFormat="0" applyAlignment="0" applyProtection="0"/>
    <xf numFmtId="0" fontId="25" fillId="13" borderId="330" applyNumberFormat="0" applyAlignment="0" applyProtection="0"/>
    <xf numFmtId="0" fontId="73" fillId="0" borderId="311" applyBorder="0">
      <alignment horizontal="center" vertical="center" wrapText="1"/>
    </xf>
    <xf numFmtId="0" fontId="2" fillId="0" borderId="0"/>
    <xf numFmtId="0" fontId="2" fillId="0" borderId="0"/>
    <xf numFmtId="0" fontId="16" fillId="24" borderId="335" applyNumberFormat="0" applyAlignment="0" applyProtection="0"/>
    <xf numFmtId="0" fontId="16" fillId="24" borderId="335" applyNumberFormat="0" applyAlignment="0" applyProtection="0"/>
    <xf numFmtId="0" fontId="16" fillId="24" borderId="335" applyNumberFormat="0" applyAlignment="0" applyProtection="0"/>
    <xf numFmtId="0" fontId="32" fillId="24" borderId="335" applyNumberFormat="0" applyAlignment="0" applyProtection="0"/>
    <xf numFmtId="0" fontId="6" fillId="0" borderId="0"/>
    <xf numFmtId="0" fontId="2" fillId="0" borderId="0"/>
    <xf numFmtId="175" fontId="28" fillId="0" borderId="0"/>
    <xf numFmtId="0" fontId="6" fillId="0" borderId="0"/>
    <xf numFmtId="0" fontId="31" fillId="0" borderId="352" applyNumberFormat="0" applyFill="0" applyAlignment="0" applyProtection="0"/>
    <xf numFmtId="0" fontId="6" fillId="0" borderId="0"/>
    <xf numFmtId="0" fontId="49" fillId="10" borderId="347" applyNumberFormat="0" applyFont="0" applyAlignment="0" applyProtection="0"/>
    <xf numFmtId="0" fontId="16" fillId="24" borderId="346" applyNumberFormat="0" applyAlignment="0" applyProtection="0"/>
    <xf numFmtId="0" fontId="48" fillId="12" borderId="335" applyNumberFormat="0" applyAlignment="0" applyProtection="0"/>
    <xf numFmtId="0" fontId="48" fillId="24" borderId="335" applyNumberFormat="0" applyAlignment="0" applyProtection="0"/>
    <xf numFmtId="0" fontId="29" fillId="12" borderId="336" applyNumberFormat="0" applyAlignment="0" applyProtection="0"/>
    <xf numFmtId="0" fontId="31" fillId="0" borderId="349" applyNumberFormat="0" applyFill="0" applyAlignment="0" applyProtection="0"/>
    <xf numFmtId="0" fontId="25" fillId="8" borderId="335" applyNumberFormat="0" applyAlignment="0" applyProtection="0"/>
    <xf numFmtId="0" fontId="16" fillId="24" borderId="346" applyNumberFormat="0" applyAlignment="0" applyProtection="0"/>
    <xf numFmtId="0" fontId="16" fillId="24" borderId="346" applyNumberFormat="0" applyAlignment="0" applyProtection="0"/>
    <xf numFmtId="0" fontId="31" fillId="0" borderId="352" applyNumberFormat="0" applyFill="0" applyAlignment="0" applyProtection="0"/>
    <xf numFmtId="0" fontId="2" fillId="0" borderId="0"/>
    <xf numFmtId="0" fontId="49" fillId="10" borderId="347" applyNumberFormat="0" applyFont="0" applyAlignment="0" applyProtection="0"/>
    <xf numFmtId="0" fontId="31" fillId="0" borderId="349" applyNumberFormat="0" applyFill="0" applyAlignment="0" applyProtection="0"/>
    <xf numFmtId="0" fontId="49" fillId="10" borderId="347" applyNumberFormat="0" applyFont="0" applyAlignment="0" applyProtection="0"/>
    <xf numFmtId="0" fontId="29" fillId="24" borderId="345" applyNumberFormat="0" applyAlignment="0" applyProtection="0"/>
    <xf numFmtId="0" fontId="16" fillId="24" borderId="346" applyNumberFormat="0" applyAlignment="0" applyProtection="0"/>
    <xf numFmtId="0" fontId="31" fillId="0" borderId="352" applyNumberFormat="0" applyFill="0" applyAlignment="0" applyProtection="0"/>
    <xf numFmtId="0" fontId="29" fillId="24" borderId="345" applyNumberFormat="0" applyAlignment="0" applyProtection="0"/>
    <xf numFmtId="0" fontId="41" fillId="13" borderId="355" applyNumberFormat="0" applyAlignment="0" applyProtection="0"/>
    <xf numFmtId="0" fontId="2" fillId="0" borderId="0"/>
    <xf numFmtId="0" fontId="2" fillId="0" borderId="0"/>
    <xf numFmtId="0" fontId="41" fillId="13" borderId="335" applyNumberFormat="0" applyAlignment="0" applyProtection="0"/>
    <xf numFmtId="0" fontId="2" fillId="0" borderId="0"/>
    <xf numFmtId="0" fontId="48" fillId="12" borderId="335" applyNumberFormat="0" applyAlignment="0" applyProtection="0"/>
    <xf numFmtId="0" fontId="48" fillId="24" borderId="335" applyNumberFormat="0" applyAlignment="0" applyProtection="0"/>
    <xf numFmtId="0" fontId="18" fillId="10" borderId="331" applyNumberFormat="0" applyFont="0" applyAlignment="0" applyProtection="0"/>
    <xf numFmtId="0" fontId="28" fillId="10" borderId="331" applyNumberFormat="0" applyFont="0" applyAlignment="0" applyProtection="0"/>
    <xf numFmtId="0" fontId="28" fillId="10" borderId="331" applyNumberFormat="0" applyFont="0" applyAlignment="0" applyProtection="0"/>
    <xf numFmtId="0" fontId="8" fillId="10" borderId="331" applyNumberFormat="0" applyFont="0" applyAlignment="0" applyProtection="0"/>
    <xf numFmtId="0" fontId="28" fillId="10" borderId="331" applyNumberFormat="0" applyFont="0" applyAlignment="0" applyProtection="0"/>
    <xf numFmtId="0" fontId="24" fillId="24" borderId="332" applyNumberFormat="0" applyAlignment="0" applyProtection="0"/>
    <xf numFmtId="0" fontId="29" fillId="24" borderId="329" applyNumberFormat="0" applyAlignment="0" applyProtection="0"/>
    <xf numFmtId="0" fontId="29" fillId="24" borderId="329" applyNumberFormat="0" applyAlignment="0" applyProtection="0"/>
    <xf numFmtId="0" fontId="29" fillId="24" borderId="329" applyNumberFormat="0" applyAlignment="0" applyProtection="0"/>
    <xf numFmtId="9" fontId="18"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44" fontId="2" fillId="0" borderId="0" applyFont="0" applyFill="0" applyBorder="0" applyAlignment="0" applyProtection="0"/>
    <xf numFmtId="0" fontId="8" fillId="0" borderId="0"/>
    <xf numFmtId="43" fontId="49" fillId="0" borderId="0" applyFont="0" applyFill="0" applyBorder="0" applyAlignment="0" applyProtection="0"/>
    <xf numFmtId="44" fontId="1" fillId="0" borderId="0" applyFont="0" applyFill="0" applyBorder="0" applyAlignment="0" applyProtection="0"/>
    <xf numFmtId="0" fontId="48" fillId="12" borderId="346" applyNumberFormat="0" applyAlignment="0" applyProtection="0"/>
    <xf numFmtId="0" fontId="8" fillId="10" borderId="347" applyNumberFormat="0" applyFont="0" applyAlignment="0" applyProtection="0"/>
    <xf numFmtId="0" fontId="8" fillId="10" borderId="347" applyNumberFormat="0" applyFont="0" applyAlignment="0" applyProtection="0"/>
    <xf numFmtId="0" fontId="25" fillId="8" borderId="346" applyNumberFormat="0" applyAlignment="0" applyProtection="0"/>
    <xf numFmtId="0" fontId="28" fillId="10" borderId="347" applyNumberFormat="0" applyFont="0" applyAlignment="0" applyProtection="0"/>
    <xf numFmtId="0" fontId="28" fillId="10" borderId="347" applyNumberFormat="0" applyFont="0" applyAlignment="0" applyProtection="0"/>
    <xf numFmtId="0" fontId="29" fillId="24" borderId="336" applyNumberFormat="0" applyAlignment="0" applyProtection="0"/>
    <xf numFmtId="0" fontId="29" fillId="24" borderId="336" applyNumberFormat="0" applyAlignment="0" applyProtection="0"/>
    <xf numFmtId="0" fontId="29" fillId="24" borderId="336" applyNumberFormat="0" applyAlignment="0" applyProtection="0"/>
    <xf numFmtId="0" fontId="73" fillId="0" borderId="350" applyBorder="0">
      <alignment horizontal="center" vertical="center" wrapText="1"/>
    </xf>
    <xf numFmtId="0" fontId="48" fillId="24" borderId="330" applyNumberFormat="0" applyAlignment="0" applyProtection="0"/>
    <xf numFmtId="0" fontId="48" fillId="24" borderId="330" applyNumberFormat="0" applyAlignment="0" applyProtection="0"/>
    <xf numFmtId="0" fontId="48" fillId="12" borderId="330" applyNumberFormat="0" applyAlignment="0" applyProtection="0"/>
    <xf numFmtId="0" fontId="48" fillId="12" borderId="330" applyNumberFormat="0" applyAlignment="0" applyProtection="0"/>
    <xf numFmtId="0" fontId="41" fillId="13" borderId="330" applyNumberFormat="0" applyAlignment="0" applyProtection="0"/>
    <xf numFmtId="0" fontId="25" fillId="8" borderId="330" applyNumberFormat="0" applyAlignment="0" applyProtection="0"/>
    <xf numFmtId="0" fontId="8" fillId="10" borderId="331" applyNumberFormat="0" applyFont="0" applyAlignment="0" applyProtection="0"/>
    <xf numFmtId="0" fontId="8" fillId="10" borderId="331" applyNumberFormat="0" applyFont="0" applyAlignment="0" applyProtection="0"/>
    <xf numFmtId="0" fontId="49" fillId="10" borderId="331" applyNumberFormat="0" applyFont="0" applyAlignment="0" applyProtection="0"/>
    <xf numFmtId="0" fontId="49" fillId="10" borderId="331" applyNumberFormat="0" applyFont="0" applyAlignment="0" applyProtection="0"/>
    <xf numFmtId="0" fontId="24" fillId="24" borderId="332" applyNumberFormat="0" applyAlignment="0" applyProtection="0"/>
    <xf numFmtId="0" fontId="29" fillId="12" borderId="329" applyNumberFormat="0" applyAlignment="0" applyProtection="0"/>
    <xf numFmtId="0" fontId="31" fillId="0" borderId="333" applyNumberFormat="0" applyFill="0" applyAlignment="0" applyProtection="0"/>
    <xf numFmtId="0" fontId="31" fillId="0" borderId="333" applyNumberFormat="0" applyFill="0" applyAlignment="0" applyProtection="0"/>
    <xf numFmtId="0" fontId="31" fillId="0" borderId="328" applyNumberFormat="0" applyFill="0" applyAlignment="0" applyProtection="0"/>
    <xf numFmtId="0" fontId="31" fillId="0" borderId="328" applyNumberFormat="0" applyFill="0" applyAlignment="0" applyProtection="0"/>
    <xf numFmtId="0" fontId="32" fillId="24" borderId="330" applyNumberFormat="0" applyAlignment="0" applyProtection="0"/>
    <xf numFmtId="0" fontId="16" fillId="24" borderId="330" applyNumberFormat="0" applyAlignment="0" applyProtection="0"/>
    <xf numFmtId="0" fontId="16" fillId="24" borderId="330" applyNumberFormat="0" applyAlignment="0" applyProtection="0"/>
    <xf numFmtId="0" fontId="16" fillId="24" borderId="330" applyNumberFormat="0" applyAlignment="0" applyProtection="0"/>
    <xf numFmtId="0" fontId="41" fillId="13" borderId="330" applyNumberFormat="0" applyAlignment="0" applyProtection="0"/>
    <xf numFmtId="0" fontId="25" fillId="13" borderId="330" applyNumberFormat="0" applyAlignment="0" applyProtection="0"/>
    <xf numFmtId="0" fontId="25" fillId="13" borderId="330" applyNumberFormat="0" applyAlignment="0" applyProtection="0"/>
    <xf numFmtId="0" fontId="25" fillId="13" borderId="330" applyNumberFormat="0" applyAlignment="0" applyProtection="0"/>
    <xf numFmtId="0" fontId="18" fillId="10" borderId="331" applyNumberFormat="0" applyFont="0" applyAlignment="0" applyProtection="0"/>
    <xf numFmtId="0" fontId="28" fillId="10" borderId="331" applyNumberFormat="0" applyFont="0" applyAlignment="0" applyProtection="0"/>
    <xf numFmtId="0" fontId="28" fillId="10" borderId="331" applyNumberFormat="0" applyFont="0" applyAlignment="0" applyProtection="0"/>
    <xf numFmtId="0" fontId="8" fillId="10" borderId="331" applyNumberFormat="0" applyFont="0" applyAlignment="0" applyProtection="0"/>
    <xf numFmtId="0" fontId="28" fillId="10" borderId="331" applyNumberFormat="0" applyFont="0" applyAlignment="0" applyProtection="0"/>
    <xf numFmtId="0" fontId="24" fillId="24" borderId="332" applyNumberFormat="0" applyAlignment="0" applyProtection="0"/>
    <xf numFmtId="0" fontId="29" fillId="24" borderId="329" applyNumberFormat="0" applyAlignment="0" applyProtection="0"/>
    <xf numFmtId="0" fontId="29" fillId="24" borderId="329" applyNumberFormat="0" applyAlignment="0" applyProtection="0"/>
    <xf numFmtId="0" fontId="29" fillId="24" borderId="329" applyNumberFormat="0" applyAlignment="0" applyProtection="0"/>
    <xf numFmtId="0" fontId="48" fillId="24" borderId="330" applyNumberFormat="0" applyAlignment="0" applyProtection="0"/>
    <xf numFmtId="0" fontId="32" fillId="24" borderId="346" applyNumberFormat="0" applyAlignment="0" applyProtection="0"/>
    <xf numFmtId="0" fontId="41" fillId="13" borderId="346" applyNumberFormat="0" applyAlignment="0" applyProtection="0"/>
    <xf numFmtId="0" fontId="29" fillId="24" borderId="345" applyNumberFormat="0" applyAlignment="0" applyProtection="0"/>
    <xf numFmtId="0" fontId="24" fillId="24" borderId="348" applyNumberFormat="0" applyAlignment="0" applyProtection="0"/>
    <xf numFmtId="0" fontId="18" fillId="10" borderId="347" applyNumberFormat="0" applyFont="0" applyAlignment="0" applyProtection="0"/>
    <xf numFmtId="0" fontId="8" fillId="10" borderId="331" applyNumberFormat="0" applyFont="0" applyAlignment="0" applyProtection="0"/>
    <xf numFmtId="0" fontId="49" fillId="10" borderId="331" applyNumberFormat="0" applyFont="0" applyAlignment="0" applyProtection="0"/>
    <xf numFmtId="0" fontId="28" fillId="0" borderId="327"/>
    <xf numFmtId="0" fontId="28" fillId="0" borderId="327"/>
    <xf numFmtId="0" fontId="31" fillId="0" borderId="333" applyNumberFormat="0" applyFill="0" applyAlignment="0" applyProtection="0"/>
    <xf numFmtId="0" fontId="85" fillId="0" borderId="327"/>
    <xf numFmtId="0" fontId="85" fillId="0" borderId="327"/>
    <xf numFmtId="0" fontId="48" fillId="12" borderId="330" applyNumberFormat="0" applyAlignment="0" applyProtection="0"/>
    <xf numFmtId="0" fontId="48" fillId="12" borderId="330" applyNumberFormat="0" applyAlignment="0" applyProtection="0"/>
    <xf numFmtId="0" fontId="25" fillId="8" borderId="330" applyNumberFormat="0" applyAlignment="0" applyProtection="0"/>
    <xf numFmtId="0" fontId="29" fillId="12" borderId="329" applyNumberFormat="0" applyAlignment="0" applyProtection="0"/>
    <xf numFmtId="0" fontId="31" fillId="0" borderId="328" applyNumberFormat="0" applyFill="0" applyAlignment="0" applyProtection="0"/>
    <xf numFmtId="0" fontId="31" fillId="0" borderId="328" applyNumberFormat="0" applyFill="0" applyAlignment="0" applyProtection="0"/>
    <xf numFmtId="0" fontId="31" fillId="0" borderId="344" applyNumberFormat="0" applyFill="0" applyAlignment="0" applyProtection="0"/>
    <xf numFmtId="0" fontId="29" fillId="12" borderId="329" applyNumberFormat="0" applyAlignment="0" applyProtection="0"/>
    <xf numFmtId="0" fontId="29" fillId="24" borderId="329" applyNumberFormat="0" applyAlignment="0" applyProtection="0"/>
    <xf numFmtId="0" fontId="29" fillId="24" borderId="329" applyNumberFormat="0" applyAlignment="0" applyProtection="0"/>
    <xf numFmtId="0" fontId="29" fillId="24" borderId="329" applyNumberFormat="0" applyAlignment="0" applyProtection="0"/>
    <xf numFmtId="0" fontId="48" fillId="24" borderId="330" applyNumberFormat="0" applyAlignment="0" applyProtection="0"/>
    <xf numFmtId="0" fontId="48" fillId="24" borderId="330" applyNumberFormat="0" applyAlignment="0" applyProtection="0"/>
    <xf numFmtId="0" fontId="48" fillId="12" borderId="330" applyNumberFormat="0" applyAlignment="0" applyProtection="0"/>
    <xf numFmtId="0" fontId="48" fillId="12" borderId="330" applyNumberFormat="0" applyAlignment="0" applyProtection="0"/>
    <xf numFmtId="0" fontId="41" fillId="13" borderId="330" applyNumberFormat="0" applyAlignment="0" applyProtection="0"/>
    <xf numFmtId="0" fontId="25" fillId="8" borderId="330" applyNumberFormat="0" applyAlignment="0" applyProtection="0"/>
    <xf numFmtId="0" fontId="8" fillId="10" borderId="331" applyNumberFormat="0" applyFont="0" applyAlignment="0" applyProtection="0"/>
    <xf numFmtId="0" fontId="8" fillId="10" borderId="331" applyNumberFormat="0" applyFont="0" applyAlignment="0" applyProtection="0"/>
    <xf numFmtId="0" fontId="49" fillId="10" borderId="331" applyNumberFormat="0" applyFont="0" applyAlignment="0" applyProtection="0"/>
    <xf numFmtId="0" fontId="49" fillId="10" borderId="331" applyNumberFormat="0" applyFont="0" applyAlignment="0" applyProtection="0"/>
    <xf numFmtId="0" fontId="24" fillId="24" borderId="332" applyNumberFormat="0" applyAlignment="0" applyProtection="0"/>
    <xf numFmtId="0" fontId="29" fillId="12" borderId="329" applyNumberFormat="0" applyAlignment="0" applyProtection="0"/>
    <xf numFmtId="0" fontId="31" fillId="0" borderId="333" applyNumberFormat="0" applyFill="0" applyAlignment="0" applyProtection="0"/>
    <xf numFmtId="0" fontId="31" fillId="0" borderId="333" applyNumberFormat="0" applyFill="0" applyAlignment="0" applyProtection="0"/>
    <xf numFmtId="0" fontId="31" fillId="0" borderId="328" applyNumberFormat="0" applyFill="0" applyAlignment="0" applyProtection="0"/>
    <xf numFmtId="0" fontId="31" fillId="0" borderId="328" applyNumberFormat="0" applyFill="0" applyAlignment="0" applyProtection="0"/>
    <xf numFmtId="0" fontId="32" fillId="24" borderId="330" applyNumberFormat="0" applyAlignment="0" applyProtection="0"/>
    <xf numFmtId="0" fontId="16" fillId="24" borderId="330" applyNumberFormat="0" applyAlignment="0" applyProtection="0"/>
    <xf numFmtId="0" fontId="16" fillId="24" borderId="330" applyNumberFormat="0" applyAlignment="0" applyProtection="0"/>
    <xf numFmtId="0" fontId="16" fillId="24" borderId="330" applyNumberFormat="0" applyAlignment="0" applyProtection="0"/>
    <xf numFmtId="0" fontId="41" fillId="13" borderId="330" applyNumberFormat="0" applyAlignment="0" applyProtection="0"/>
    <xf numFmtId="0" fontId="25" fillId="13" borderId="330" applyNumberFormat="0" applyAlignment="0" applyProtection="0"/>
    <xf numFmtId="0" fontId="25" fillId="13" borderId="330" applyNumberFormat="0" applyAlignment="0" applyProtection="0"/>
    <xf numFmtId="0" fontId="25" fillId="13" borderId="330" applyNumberFormat="0" applyAlignment="0" applyProtection="0"/>
    <xf numFmtId="0" fontId="18" fillId="10" borderId="331" applyNumberFormat="0" applyFont="0" applyAlignment="0" applyProtection="0"/>
    <xf numFmtId="0" fontId="28" fillId="10" borderId="331" applyNumberFormat="0" applyFont="0" applyAlignment="0" applyProtection="0"/>
    <xf numFmtId="0" fontId="28" fillId="10" borderId="331" applyNumberFormat="0" applyFont="0" applyAlignment="0" applyProtection="0"/>
    <xf numFmtId="0" fontId="8" fillId="10" borderId="331" applyNumberFormat="0" applyFont="0" applyAlignment="0" applyProtection="0"/>
    <xf numFmtId="0" fontId="28" fillId="10" borderId="331" applyNumberFormat="0" applyFont="0" applyAlignment="0" applyProtection="0"/>
    <xf numFmtId="0" fontId="24" fillId="24" borderId="332" applyNumberFormat="0" applyAlignment="0" applyProtection="0"/>
    <xf numFmtId="0" fontId="29" fillId="24" borderId="329" applyNumberFormat="0" applyAlignment="0" applyProtection="0"/>
    <xf numFmtId="0" fontId="29" fillId="24" borderId="329" applyNumberFormat="0" applyAlignment="0" applyProtection="0"/>
    <xf numFmtId="0" fontId="29" fillId="24" borderId="329" applyNumberFormat="0" applyAlignment="0" applyProtection="0"/>
    <xf numFmtId="0" fontId="48" fillId="24" borderId="330" applyNumberFormat="0" applyAlignment="0" applyProtection="0"/>
    <xf numFmtId="0" fontId="8" fillId="10" borderId="331" applyNumberFormat="0" applyFont="0" applyAlignment="0" applyProtection="0"/>
    <xf numFmtId="0" fontId="49" fillId="10" borderId="331" applyNumberFormat="0" applyFont="0" applyAlignment="0" applyProtection="0"/>
    <xf numFmtId="0" fontId="28" fillId="0" borderId="327"/>
    <xf numFmtId="0" fontId="28" fillId="0" borderId="327"/>
    <xf numFmtId="0" fontId="31" fillId="0" borderId="333" applyNumberFormat="0" applyFill="0" applyAlignment="0" applyProtection="0"/>
    <xf numFmtId="0" fontId="85" fillId="0" borderId="327"/>
    <xf numFmtId="0" fontId="85" fillId="0" borderId="327"/>
    <xf numFmtId="0" fontId="48" fillId="12" borderId="330" applyNumberFormat="0" applyAlignment="0" applyProtection="0"/>
    <xf numFmtId="0" fontId="48" fillId="12" borderId="330" applyNumberFormat="0" applyAlignment="0" applyProtection="0"/>
    <xf numFmtId="0" fontId="25" fillId="8" borderId="330" applyNumberFormat="0" applyAlignment="0" applyProtection="0"/>
    <xf numFmtId="0" fontId="29" fillId="12" borderId="329" applyNumberFormat="0" applyAlignment="0" applyProtection="0"/>
    <xf numFmtId="0" fontId="31" fillId="0" borderId="328" applyNumberFormat="0" applyFill="0" applyAlignment="0" applyProtection="0"/>
    <xf numFmtId="0" fontId="31" fillId="0" borderId="328" applyNumberFormat="0" applyFill="0" applyAlignment="0" applyProtection="0"/>
    <xf numFmtId="0" fontId="48" fillId="24" borderId="330" applyNumberFormat="0" applyAlignment="0" applyProtection="0"/>
    <xf numFmtId="0" fontId="49" fillId="10" borderId="331" applyNumberFormat="0" applyFont="0" applyAlignment="0" applyProtection="0"/>
    <xf numFmtId="0" fontId="29" fillId="12" borderId="329" applyNumberFormat="0" applyAlignment="0" applyProtection="0"/>
    <xf numFmtId="0" fontId="32" fillId="24" borderId="330" applyNumberFormat="0" applyAlignment="0" applyProtection="0"/>
    <xf numFmtId="0" fontId="48" fillId="12" borderId="330" applyNumberFormat="0" applyAlignment="0" applyProtection="0"/>
    <xf numFmtId="0" fontId="24" fillId="24" borderId="332" applyNumberFormat="0" applyAlignment="0" applyProtection="0"/>
    <xf numFmtId="0" fontId="8" fillId="10" borderId="331" applyNumberFormat="0" applyFont="0" applyAlignment="0" applyProtection="0"/>
    <xf numFmtId="0" fontId="29" fillId="24" borderId="329" applyNumberFormat="0" applyAlignment="0" applyProtection="0"/>
    <xf numFmtId="0" fontId="16" fillId="24" borderId="330" applyNumberFormat="0" applyAlignment="0" applyProtection="0"/>
    <xf numFmtId="0" fontId="41" fillId="13" borderId="330" applyNumberFormat="0" applyAlignment="0" applyProtection="0"/>
    <xf numFmtId="0" fontId="48" fillId="24" borderId="330" applyNumberFormat="0" applyAlignment="0" applyProtection="0"/>
    <xf numFmtId="0" fontId="41" fillId="13" borderId="330" applyNumberFormat="0" applyAlignment="0" applyProtection="0"/>
    <xf numFmtId="0" fontId="25" fillId="8" borderId="330" applyNumberFormat="0" applyAlignment="0" applyProtection="0"/>
    <xf numFmtId="0" fontId="8" fillId="10" borderId="331" applyNumberFormat="0" applyFont="0" applyAlignment="0" applyProtection="0"/>
    <xf numFmtId="0" fontId="8" fillId="10" borderId="331" applyNumberFormat="0" applyFont="0" applyAlignment="0" applyProtection="0"/>
    <xf numFmtId="0" fontId="49" fillId="10" borderId="331" applyNumberFormat="0" applyFont="0" applyAlignment="0" applyProtection="0"/>
    <xf numFmtId="0" fontId="24" fillId="24" borderId="332" applyNumberFormat="0" applyAlignment="0" applyProtection="0"/>
    <xf numFmtId="0" fontId="31" fillId="0" borderId="333" applyNumberFormat="0" applyFill="0" applyAlignment="0" applyProtection="0"/>
    <xf numFmtId="0" fontId="31" fillId="0" borderId="333" applyNumberFormat="0" applyFill="0" applyAlignment="0" applyProtection="0"/>
    <xf numFmtId="0" fontId="31" fillId="0" borderId="328" applyNumberFormat="0" applyFill="0" applyAlignment="0" applyProtection="0"/>
    <xf numFmtId="0" fontId="49" fillId="10" borderId="331" applyNumberFormat="0" applyFont="0" applyAlignment="0" applyProtection="0"/>
    <xf numFmtId="0" fontId="8" fillId="10" borderId="331" applyNumberFormat="0" applyFont="0" applyAlignment="0" applyProtection="0"/>
    <xf numFmtId="0" fontId="48" fillId="24" borderId="330" applyNumberFormat="0" applyAlignment="0" applyProtection="0"/>
    <xf numFmtId="0" fontId="29" fillId="24" borderId="329" applyNumberFormat="0" applyAlignment="0" applyProtection="0"/>
    <xf numFmtId="0" fontId="8" fillId="10" borderId="331" applyNumberFormat="0" applyFont="0" applyAlignment="0" applyProtection="0"/>
    <xf numFmtId="0" fontId="25" fillId="13" borderId="330" applyNumberFormat="0" applyAlignment="0" applyProtection="0"/>
    <xf numFmtId="0" fontId="16" fillId="24" borderId="330" applyNumberFormat="0" applyAlignment="0" applyProtection="0"/>
    <xf numFmtId="0" fontId="31" fillId="0" borderId="328" applyNumberFormat="0" applyFill="0" applyAlignment="0" applyProtection="0"/>
    <xf numFmtId="0" fontId="48" fillId="24" borderId="330" applyNumberFormat="0" applyAlignment="0" applyProtection="0"/>
    <xf numFmtId="0" fontId="48" fillId="24" borderId="330" applyNumberFormat="0" applyAlignment="0" applyProtection="0"/>
    <xf numFmtId="0" fontId="48" fillId="12" borderId="330" applyNumberFormat="0" applyAlignment="0" applyProtection="0"/>
    <xf numFmtId="0" fontId="48" fillId="12" borderId="330" applyNumberFormat="0" applyAlignment="0" applyProtection="0"/>
    <xf numFmtId="0" fontId="41" fillId="13" borderId="330" applyNumberFormat="0" applyAlignment="0" applyProtection="0"/>
    <xf numFmtId="0" fontId="25" fillId="8" borderId="330" applyNumberFormat="0" applyAlignment="0" applyProtection="0"/>
    <xf numFmtId="0" fontId="8" fillId="10" borderId="331" applyNumberFormat="0" applyFont="0" applyAlignment="0" applyProtection="0"/>
    <xf numFmtId="0" fontId="8" fillId="10" borderId="331" applyNumberFormat="0" applyFont="0" applyAlignment="0" applyProtection="0"/>
    <xf numFmtId="0" fontId="49" fillId="10" borderId="331" applyNumberFormat="0" applyFont="0" applyAlignment="0" applyProtection="0"/>
    <xf numFmtId="0" fontId="49" fillId="10" borderId="331" applyNumberFormat="0" applyFont="0" applyAlignment="0" applyProtection="0"/>
    <xf numFmtId="0" fontId="24" fillId="24" borderId="332" applyNumberFormat="0" applyAlignment="0" applyProtection="0"/>
    <xf numFmtId="0" fontId="29" fillId="12" borderId="329" applyNumberFormat="0" applyAlignment="0" applyProtection="0"/>
    <xf numFmtId="0" fontId="31" fillId="0" borderId="333" applyNumberFormat="0" applyFill="0" applyAlignment="0" applyProtection="0"/>
    <xf numFmtId="0" fontId="31" fillId="0" borderId="333" applyNumberFormat="0" applyFill="0" applyAlignment="0" applyProtection="0"/>
    <xf numFmtId="0" fontId="31" fillId="0" borderId="328" applyNumberFormat="0" applyFill="0" applyAlignment="0" applyProtection="0"/>
    <xf numFmtId="0" fontId="31" fillId="0" borderId="328" applyNumberFormat="0" applyFill="0" applyAlignment="0" applyProtection="0"/>
    <xf numFmtId="0" fontId="32" fillId="24" borderId="330" applyNumberFormat="0" applyAlignment="0" applyProtection="0"/>
    <xf numFmtId="0" fontId="16" fillId="24" borderId="330" applyNumberFormat="0" applyAlignment="0" applyProtection="0"/>
    <xf numFmtId="0" fontId="16" fillId="24" borderId="330" applyNumberFormat="0" applyAlignment="0" applyProtection="0"/>
    <xf numFmtId="0" fontId="16" fillId="24" borderId="330" applyNumberFormat="0" applyAlignment="0" applyProtection="0"/>
    <xf numFmtId="0" fontId="41" fillId="13" borderId="330" applyNumberFormat="0" applyAlignment="0" applyProtection="0"/>
    <xf numFmtId="0" fontId="25" fillId="13" borderId="330" applyNumberFormat="0" applyAlignment="0" applyProtection="0"/>
    <xf numFmtId="0" fontId="25" fillId="13" borderId="330" applyNumberFormat="0" applyAlignment="0" applyProtection="0"/>
    <xf numFmtId="0" fontId="25" fillId="13" borderId="330" applyNumberFormat="0" applyAlignment="0" applyProtection="0"/>
    <xf numFmtId="0" fontId="18" fillId="10" borderId="331" applyNumberFormat="0" applyFont="0" applyAlignment="0" applyProtection="0"/>
    <xf numFmtId="0" fontId="28" fillId="10" borderId="331" applyNumberFormat="0" applyFont="0" applyAlignment="0" applyProtection="0"/>
    <xf numFmtId="0" fontId="28" fillId="10" borderId="331" applyNumberFormat="0" applyFont="0" applyAlignment="0" applyProtection="0"/>
    <xf numFmtId="0" fontId="8" fillId="10" borderId="331" applyNumberFormat="0" applyFont="0" applyAlignment="0" applyProtection="0"/>
    <xf numFmtId="0" fontId="28" fillId="10" borderId="331" applyNumberFormat="0" applyFont="0" applyAlignment="0" applyProtection="0"/>
    <xf numFmtId="0" fontId="24" fillId="24" borderId="332" applyNumberFormat="0" applyAlignment="0" applyProtection="0"/>
    <xf numFmtId="0" fontId="29" fillId="24" borderId="329" applyNumberFormat="0" applyAlignment="0" applyProtection="0"/>
    <xf numFmtId="0" fontId="29" fillId="24" borderId="329" applyNumberFormat="0" applyAlignment="0" applyProtection="0"/>
    <xf numFmtId="0" fontId="29" fillId="24" borderId="329" applyNumberFormat="0" applyAlignment="0" applyProtection="0"/>
    <xf numFmtId="0" fontId="48" fillId="24" borderId="330" applyNumberFormat="0" applyAlignment="0" applyProtection="0"/>
    <xf numFmtId="0" fontId="16" fillId="24" borderId="330" applyNumberFormat="0" applyAlignment="0" applyProtection="0"/>
    <xf numFmtId="0" fontId="16" fillId="24" borderId="330" applyNumberFormat="0" applyAlignment="0" applyProtection="0"/>
    <xf numFmtId="0" fontId="25" fillId="13" borderId="330" applyNumberFormat="0" applyAlignment="0" applyProtection="0"/>
    <xf numFmtId="0" fontId="25" fillId="13" borderId="330" applyNumberFormat="0" applyAlignment="0" applyProtection="0"/>
    <xf numFmtId="0" fontId="25" fillId="13" borderId="330" applyNumberFormat="0" applyAlignment="0" applyProtection="0"/>
    <xf numFmtId="0" fontId="18" fillId="10" borderId="331" applyNumberFormat="0" applyFont="0" applyAlignment="0" applyProtection="0"/>
    <xf numFmtId="0" fontId="28" fillId="10" borderId="331" applyNumberFormat="0" applyFont="0" applyAlignment="0" applyProtection="0"/>
    <xf numFmtId="0" fontId="28" fillId="10" borderId="331" applyNumberFormat="0" applyFont="0" applyAlignment="0" applyProtection="0"/>
    <xf numFmtId="0" fontId="8" fillId="10" borderId="331" applyNumberFormat="0" applyFont="0" applyAlignment="0" applyProtection="0"/>
    <xf numFmtId="0" fontId="28" fillId="10" borderId="331" applyNumberFormat="0" applyFont="0" applyAlignment="0" applyProtection="0"/>
    <xf numFmtId="0" fontId="24" fillId="24" borderId="332" applyNumberFormat="0" applyAlignment="0" applyProtection="0"/>
    <xf numFmtId="0" fontId="29" fillId="24" borderId="329" applyNumberFormat="0" applyAlignment="0" applyProtection="0"/>
    <xf numFmtId="0" fontId="29" fillId="24" borderId="329" applyNumberFormat="0" applyAlignment="0" applyProtection="0"/>
    <xf numFmtId="0" fontId="24" fillId="24" borderId="332" applyNumberFormat="0" applyAlignment="0" applyProtection="0"/>
    <xf numFmtId="0" fontId="31" fillId="0" borderId="333" applyNumberFormat="0" applyFill="0" applyAlignment="0" applyProtection="0"/>
    <xf numFmtId="0" fontId="28" fillId="0" borderId="327"/>
    <xf numFmtId="0" fontId="85" fillId="0" borderId="327"/>
    <xf numFmtId="0" fontId="25" fillId="8" borderId="330" applyNumberFormat="0" applyAlignment="0" applyProtection="0"/>
    <xf numFmtId="0" fontId="31" fillId="0" borderId="328" applyNumberFormat="0" applyFill="0" applyAlignment="0" applyProtection="0"/>
    <xf numFmtId="0" fontId="29" fillId="24" borderId="329" applyNumberFormat="0" applyAlignment="0" applyProtection="0"/>
    <xf numFmtId="0" fontId="29" fillId="24" borderId="329" applyNumberFormat="0" applyAlignment="0" applyProtection="0"/>
    <xf numFmtId="0" fontId="28" fillId="10" borderId="331" applyNumberFormat="0" applyFont="0" applyAlignment="0" applyProtection="0"/>
    <xf numFmtId="0" fontId="18" fillId="10" borderId="331" applyNumberFormat="0" applyFont="0" applyAlignment="0" applyProtection="0"/>
    <xf numFmtId="0" fontId="25" fillId="13" borderId="330" applyNumberFormat="0" applyAlignment="0" applyProtection="0"/>
    <xf numFmtId="0" fontId="41" fillId="13" borderId="330" applyNumberFormat="0" applyAlignment="0" applyProtection="0"/>
    <xf numFmtId="0" fontId="32" fillId="24" borderId="330" applyNumberFormat="0" applyAlignment="0" applyProtection="0"/>
    <xf numFmtId="0" fontId="31" fillId="0" borderId="328" applyNumberFormat="0" applyFill="0" applyAlignment="0" applyProtection="0"/>
    <xf numFmtId="0" fontId="31" fillId="0" borderId="328" applyNumberFormat="0" applyFill="0" applyAlignment="0" applyProtection="0"/>
    <xf numFmtId="0" fontId="8" fillId="10" borderId="331" applyNumberFormat="0" applyFont="0" applyAlignment="0" applyProtection="0"/>
    <xf numFmtId="0" fontId="25" fillId="8" borderId="330" applyNumberFormat="0" applyAlignment="0" applyProtection="0"/>
    <xf numFmtId="0" fontId="41" fillId="13" borderId="330" applyNumberFormat="0" applyAlignment="0" applyProtection="0"/>
    <xf numFmtId="0" fontId="48" fillId="12" borderId="330" applyNumberFormat="0" applyAlignment="0" applyProtection="0"/>
    <xf numFmtId="0" fontId="48" fillId="12" borderId="330" applyNumberFormat="0" applyAlignment="0" applyProtection="0"/>
    <xf numFmtId="0" fontId="48" fillId="24" borderId="330" applyNumberFormat="0" applyAlignment="0" applyProtection="0"/>
    <xf numFmtId="0" fontId="48" fillId="24" borderId="330" applyNumberFormat="0" applyAlignment="0" applyProtection="0"/>
    <xf numFmtId="0" fontId="28" fillId="0" borderId="327"/>
    <xf numFmtId="0" fontId="31" fillId="0" borderId="333" applyNumberFormat="0" applyFill="0" applyAlignment="0" applyProtection="0"/>
    <xf numFmtId="0" fontId="48" fillId="12" borderId="330" applyNumberFormat="0" applyAlignment="0" applyProtection="0"/>
    <xf numFmtId="0" fontId="48" fillId="12" borderId="330" applyNumberFormat="0" applyAlignment="0" applyProtection="0"/>
    <xf numFmtId="0" fontId="31" fillId="0" borderId="328" applyNumberFormat="0" applyFill="0" applyAlignment="0" applyProtection="0"/>
    <xf numFmtId="0" fontId="29" fillId="12" borderId="329" applyNumberFormat="0" applyAlignment="0" applyProtection="0"/>
    <xf numFmtId="0" fontId="28" fillId="10" borderId="331" applyNumberFormat="0" applyFont="0" applyAlignment="0" applyProtection="0"/>
    <xf numFmtId="0" fontId="16" fillId="24" borderId="330" applyNumberFormat="0" applyAlignment="0" applyProtection="0"/>
    <xf numFmtId="0" fontId="48" fillId="24" borderId="330" applyNumberFormat="0" applyAlignment="0" applyProtection="0"/>
    <xf numFmtId="0" fontId="28" fillId="10" borderId="331" applyNumberFormat="0" applyFont="0" applyAlignment="0" applyProtection="0"/>
    <xf numFmtId="0" fontId="25" fillId="13" borderId="330" applyNumberFormat="0" applyAlignment="0" applyProtection="0"/>
    <xf numFmtId="0" fontId="16" fillId="24" borderId="330" applyNumberFormat="0" applyAlignment="0" applyProtection="0"/>
    <xf numFmtId="0" fontId="29" fillId="12" borderId="329" applyNumberFormat="0" applyAlignment="0" applyProtection="0"/>
    <xf numFmtId="0" fontId="31" fillId="0" borderId="333" applyNumberFormat="0" applyFill="0" applyAlignment="0" applyProtection="0"/>
    <xf numFmtId="0" fontId="49" fillId="10" borderId="331" applyNumberFormat="0" applyFont="0" applyAlignment="0" applyProtection="0"/>
    <xf numFmtId="0" fontId="8" fillId="10" borderId="331" applyNumberFormat="0" applyFont="0" applyAlignment="0" applyProtection="0"/>
    <xf numFmtId="0" fontId="49" fillId="10" borderId="331" applyNumberFormat="0" applyFont="0" applyAlignment="0" applyProtection="0"/>
    <xf numFmtId="0" fontId="49" fillId="10" borderId="331" applyNumberFormat="0" applyFont="0" applyAlignment="0" applyProtection="0"/>
    <xf numFmtId="0" fontId="28" fillId="0" borderId="327"/>
    <xf numFmtId="0" fontId="28" fillId="0" borderId="327"/>
    <xf numFmtId="0" fontId="31" fillId="0" borderId="333" applyNumberFormat="0" applyFill="0" applyAlignment="0" applyProtection="0"/>
    <xf numFmtId="0" fontId="85" fillId="0" borderId="327"/>
    <xf numFmtId="0" fontId="85" fillId="0" borderId="327"/>
    <xf numFmtId="0" fontId="85" fillId="0" borderId="327"/>
    <xf numFmtId="0" fontId="48" fillId="12" borderId="330" applyNumberFormat="0" applyAlignment="0" applyProtection="0"/>
    <xf numFmtId="0" fontId="48" fillId="12" borderId="330" applyNumberFormat="0" applyAlignment="0" applyProtection="0"/>
    <xf numFmtId="0" fontId="25" fillId="8" borderId="330" applyNumberFormat="0" applyAlignment="0" applyProtection="0"/>
    <xf numFmtId="0" fontId="29" fillId="12" borderId="329" applyNumberFormat="0" applyAlignment="0" applyProtection="0"/>
    <xf numFmtId="0" fontId="31" fillId="0" borderId="328" applyNumberFormat="0" applyFill="0" applyAlignment="0" applyProtection="0"/>
    <xf numFmtId="0" fontId="31" fillId="0" borderId="328" applyNumberFormat="0" applyFill="0" applyAlignment="0" applyProtection="0"/>
    <xf numFmtId="0" fontId="48" fillId="12" borderId="330" applyNumberFormat="0" applyAlignment="0" applyProtection="0"/>
    <xf numFmtId="0" fontId="8" fillId="10" borderId="331" applyNumberFormat="0" applyFont="0" applyAlignment="0" applyProtection="0"/>
    <xf numFmtId="0" fontId="49" fillId="10" borderId="331" applyNumberFormat="0" applyFont="0" applyAlignment="0" applyProtection="0"/>
    <xf numFmtId="0" fontId="28" fillId="0" borderId="327"/>
    <xf numFmtId="0" fontId="28" fillId="0" borderId="327"/>
    <xf numFmtId="0" fontId="31" fillId="0" borderId="333" applyNumberFormat="0" applyFill="0" applyAlignment="0" applyProtection="0"/>
    <xf numFmtId="0" fontId="85" fillId="0" borderId="327"/>
    <xf numFmtId="0" fontId="85" fillId="0" borderId="327"/>
    <xf numFmtId="0" fontId="48" fillId="12" borderId="330" applyNumberFormat="0" applyAlignment="0" applyProtection="0"/>
    <xf numFmtId="0" fontId="48" fillId="12" borderId="330" applyNumberFormat="0" applyAlignment="0" applyProtection="0"/>
    <xf numFmtId="0" fontId="25" fillId="8" borderId="330" applyNumberFormat="0" applyAlignment="0" applyProtection="0"/>
    <xf numFmtId="0" fontId="29" fillId="12" borderId="329" applyNumberFormat="0" applyAlignment="0" applyProtection="0"/>
    <xf numFmtId="0" fontId="31" fillId="0" borderId="328" applyNumberFormat="0" applyFill="0" applyAlignment="0" applyProtection="0"/>
    <xf numFmtId="0" fontId="31" fillId="0" borderId="328" applyNumberFormat="0" applyFill="0" applyAlignment="0" applyProtection="0"/>
    <xf numFmtId="0" fontId="32" fillId="24" borderId="339" applyNumberFormat="0" applyAlignment="0" applyProtection="0"/>
    <xf numFmtId="0" fontId="16" fillId="24" borderId="339" applyNumberFormat="0" applyAlignment="0" applyProtection="0"/>
    <xf numFmtId="0" fontId="48"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25" fillId="13" borderId="339" applyNumberFormat="0" applyAlignment="0" applyProtection="0"/>
    <xf numFmtId="0" fontId="41" fillId="13" borderId="339" applyNumberFormat="0" applyAlignment="0" applyProtection="0"/>
    <xf numFmtId="0" fontId="25" fillId="13" borderId="339" applyNumberFormat="0" applyAlignment="0" applyProtection="0"/>
    <xf numFmtId="0" fontId="41" fillId="13" borderId="339" applyNumberFormat="0" applyAlignment="0" applyProtection="0"/>
    <xf numFmtId="0" fontId="25" fillId="13" borderId="339" applyNumberFormat="0" applyAlignment="0" applyProtection="0"/>
    <xf numFmtId="0" fontId="18" fillId="10" borderId="340" applyNumberFormat="0" applyFont="0" applyAlignment="0" applyProtection="0"/>
    <xf numFmtId="0" fontId="28" fillId="10" borderId="340" applyNumberFormat="0" applyFont="0" applyAlignment="0" applyProtection="0"/>
    <xf numFmtId="0" fontId="8" fillId="10" borderId="340" applyNumberFormat="0" applyFont="0" applyAlignment="0" applyProtection="0"/>
    <xf numFmtId="0" fontId="28" fillId="10" borderId="340" applyNumberFormat="0" applyFont="0" applyAlignment="0" applyProtection="0"/>
    <xf numFmtId="0" fontId="8" fillId="10" borderId="340" applyNumberFormat="0" applyFont="0" applyAlignment="0" applyProtection="0"/>
    <xf numFmtId="0" fontId="49" fillId="10" borderId="340" applyNumberFormat="0" applyFont="0" applyAlignment="0" applyProtection="0"/>
    <xf numFmtId="0" fontId="28" fillId="10" borderId="340" applyNumberFormat="0" applyFont="0" applyAlignment="0" applyProtection="0"/>
    <xf numFmtId="0" fontId="24" fillId="24" borderId="341" applyNumberFormat="0" applyAlignment="0" applyProtection="0"/>
    <xf numFmtId="0" fontId="24" fillId="24" borderId="341" applyNumberFormat="0" applyAlignment="0" applyProtection="0"/>
    <xf numFmtId="0" fontId="31" fillId="0" borderId="342" applyNumberFormat="0" applyFill="0" applyAlignment="0" applyProtection="0"/>
    <xf numFmtId="0" fontId="31" fillId="0" borderId="358" applyNumberFormat="0" applyFill="0" applyAlignment="0" applyProtection="0"/>
    <xf numFmtId="0" fontId="24" fillId="24" borderId="357" applyNumberFormat="0" applyAlignment="0" applyProtection="0"/>
    <xf numFmtId="0" fontId="28" fillId="10" borderId="356" applyNumberFormat="0" applyFont="0" applyAlignment="0" applyProtection="0"/>
    <xf numFmtId="0" fontId="8" fillId="10" borderId="356" applyNumberFormat="0" applyFont="0" applyAlignment="0" applyProtection="0"/>
    <xf numFmtId="0" fontId="8" fillId="10" borderId="356" applyNumberFormat="0" applyFont="0" applyAlignment="0" applyProtection="0"/>
    <xf numFmtId="0" fontId="28" fillId="10" borderId="356" applyNumberFormat="0" applyFont="0" applyAlignment="0" applyProtection="0"/>
    <xf numFmtId="0" fontId="18" fillId="10" borderId="356" applyNumberFormat="0" applyFont="0" applyAlignment="0" applyProtection="0"/>
    <xf numFmtId="0" fontId="41" fillId="13" borderId="355" applyNumberFormat="0" applyAlignment="0" applyProtection="0"/>
    <xf numFmtId="0" fontId="16" fillId="24" borderId="355" applyNumberFormat="0" applyAlignment="0" applyProtection="0"/>
    <xf numFmtId="0" fontId="16" fillId="24" borderId="355" applyNumberFormat="0" applyAlignment="0" applyProtection="0"/>
    <xf numFmtId="0" fontId="32" fillId="24" borderId="355" applyNumberFormat="0" applyAlignment="0" applyProtection="0"/>
    <xf numFmtId="0" fontId="31" fillId="0" borderId="344" applyNumberFormat="0" applyFill="0" applyAlignment="0" applyProtection="0"/>
    <xf numFmtId="0" fontId="31" fillId="0" borderId="344" applyNumberFormat="0" applyFill="0" applyAlignment="0" applyProtection="0"/>
    <xf numFmtId="0" fontId="25" fillId="8" borderId="346" applyNumberFormat="0" applyAlignment="0" applyProtection="0"/>
    <xf numFmtId="0" fontId="48" fillId="12" borderId="346" applyNumberFormat="0" applyAlignment="0" applyProtection="0"/>
    <xf numFmtId="0" fontId="85" fillId="0" borderId="343"/>
    <xf numFmtId="0" fontId="31" fillId="0" borderId="349" applyNumberFormat="0" applyFill="0" applyAlignment="0" applyProtection="0"/>
    <xf numFmtId="0" fontId="28" fillId="0" borderId="343"/>
    <xf numFmtId="0" fontId="8" fillId="45" borderId="354" applyNumberFormat="0" applyFont="0" applyAlignment="0" applyProtection="0"/>
    <xf numFmtId="0" fontId="8" fillId="10" borderId="347" applyNumberFormat="0" applyFont="0" applyAlignment="0" applyProtection="0"/>
    <xf numFmtId="0" fontId="48" fillId="12" borderId="346" applyNumberFormat="0" applyAlignment="0" applyProtection="0"/>
    <xf numFmtId="0" fontId="31" fillId="0" borderId="344" applyNumberFormat="0" applyFill="0" applyAlignment="0" applyProtection="0"/>
    <xf numFmtId="0" fontId="29" fillId="12" borderId="345" applyNumberFormat="0" applyAlignment="0" applyProtection="0"/>
    <xf numFmtId="0" fontId="25" fillId="8" borderId="346" applyNumberFormat="0" applyAlignment="0" applyProtection="0"/>
    <xf numFmtId="0" fontId="48" fillId="12" borderId="346" applyNumberFormat="0" applyAlignment="0" applyProtection="0"/>
    <xf numFmtId="0" fontId="85" fillId="0" borderId="343"/>
    <xf numFmtId="0" fontId="85" fillId="0" borderId="343"/>
    <xf numFmtId="0" fontId="28" fillId="0" borderId="343"/>
    <xf numFmtId="0" fontId="28" fillId="0" borderId="343"/>
    <xf numFmtId="0" fontId="8" fillId="45" borderId="354" applyNumberFormat="0" applyFont="0" applyAlignment="0" applyProtection="0"/>
    <xf numFmtId="0" fontId="49" fillId="10" borderId="347" applyNumberFormat="0" applyFont="0" applyAlignment="0" applyProtection="0"/>
    <xf numFmtId="0" fontId="31" fillId="0" borderId="349" applyNumberFormat="0" applyFill="0" applyAlignment="0" applyProtection="0"/>
    <xf numFmtId="0" fontId="29" fillId="12" borderId="345" applyNumberFormat="0" applyAlignment="0" applyProtection="0"/>
    <xf numFmtId="0" fontId="25" fillId="13" borderId="346" applyNumberFormat="0" applyAlignment="0" applyProtection="0"/>
    <xf numFmtId="0" fontId="28" fillId="10" borderId="347" applyNumberFormat="0" applyFont="0" applyAlignment="0" applyProtection="0"/>
    <xf numFmtId="0" fontId="48" fillId="24" borderId="346" applyNumberFormat="0" applyAlignment="0" applyProtection="0"/>
    <xf numFmtId="0" fontId="28" fillId="10" borderId="347" applyNumberFormat="0" applyFont="0" applyAlignment="0" applyProtection="0"/>
    <xf numFmtId="0" fontId="29" fillId="12" borderId="345" applyNumberFormat="0" applyAlignment="0" applyProtection="0"/>
    <xf numFmtId="0" fontId="48" fillId="12" borderId="346" applyNumberFormat="0" applyAlignment="0" applyProtection="0"/>
    <xf numFmtId="0" fontId="48" fillId="12" borderId="346" applyNumberFormat="0" applyAlignment="0" applyProtection="0"/>
    <xf numFmtId="0" fontId="28" fillId="0" borderId="343"/>
    <xf numFmtId="0" fontId="48" fillId="24" borderId="346" applyNumberFormat="0" applyAlignment="0" applyProtection="0"/>
    <xf numFmtId="0" fontId="48" fillId="24" borderId="346" applyNumberFormat="0" applyAlignment="0" applyProtection="0"/>
    <xf numFmtId="0" fontId="48" fillId="12" borderId="346" applyNumberFormat="0" applyAlignment="0" applyProtection="0"/>
    <xf numFmtId="0" fontId="41" fillId="13" borderId="346" applyNumberFormat="0" applyAlignment="0" applyProtection="0"/>
    <xf numFmtId="0" fontId="25" fillId="8" borderId="346" applyNumberFormat="0" applyAlignment="0" applyProtection="0"/>
    <xf numFmtId="0" fontId="31" fillId="0" borderId="344" applyNumberFormat="0" applyFill="0" applyAlignment="0" applyProtection="0"/>
    <xf numFmtId="0" fontId="73" fillId="0" borderId="353" applyBorder="0">
      <alignment horizontal="center" vertical="center" wrapText="1"/>
    </xf>
    <xf numFmtId="0" fontId="32" fillId="24" borderId="346" applyNumberFormat="0" applyAlignment="0" applyProtection="0"/>
    <xf numFmtId="0" fontId="25" fillId="13" borderId="346" applyNumberFormat="0" applyAlignment="0" applyProtection="0"/>
    <xf numFmtId="0" fontId="73" fillId="0" borderId="353" applyBorder="0">
      <alignment horizontal="center" vertical="center" wrapText="1"/>
    </xf>
    <xf numFmtId="0" fontId="28" fillId="10" borderId="347" applyNumberFormat="0" applyFont="0" applyAlignment="0" applyProtection="0"/>
    <xf numFmtId="0" fontId="31" fillId="0" borderId="344" applyNumberFormat="0" applyFill="0" applyAlignment="0" applyProtection="0"/>
    <xf numFmtId="0" fontId="73" fillId="0" borderId="350" applyBorder="0">
      <alignment horizontal="center" vertical="center" wrapText="1"/>
    </xf>
    <xf numFmtId="0" fontId="31" fillId="0" borderId="352" applyNumberFormat="0" applyFill="0" applyAlignment="0" applyProtection="0"/>
    <xf numFmtId="0" fontId="85" fillId="0" borderId="343"/>
    <xf numFmtId="0" fontId="28" fillId="0" borderId="343"/>
    <xf numFmtId="0" fontId="31" fillId="0" borderId="349" applyNumberFormat="0" applyFill="0" applyAlignment="0" applyProtection="0"/>
    <xf numFmtId="0" fontId="29" fillId="24" borderId="345" applyNumberFormat="0" applyAlignment="0" applyProtection="0"/>
    <xf numFmtId="0" fontId="24" fillId="24" borderId="348" applyNumberFormat="0" applyAlignment="0" applyProtection="0"/>
    <xf numFmtId="0" fontId="8" fillId="10" borderId="347" applyNumberFormat="0" applyFont="0" applyAlignment="0" applyProtection="0"/>
    <xf numFmtId="0" fontId="28" fillId="10" borderId="347" applyNumberFormat="0" applyFont="0" applyAlignment="0" applyProtection="0"/>
    <xf numFmtId="0" fontId="18" fillId="10" borderId="347" applyNumberFormat="0" applyFont="0" applyAlignment="0" applyProtection="0"/>
    <xf numFmtId="0" fontId="25" fillId="13" borderId="346" applyNumberFormat="0" applyAlignment="0" applyProtection="0"/>
    <xf numFmtId="0" fontId="25" fillId="13" borderId="346" applyNumberFormat="0" applyAlignment="0" applyProtection="0"/>
    <xf numFmtId="0" fontId="16" fillId="24" borderId="346" applyNumberFormat="0" applyAlignment="0" applyProtection="0"/>
    <xf numFmtId="0" fontId="73" fillId="0" borderId="353" applyBorder="0">
      <alignment horizontal="center" vertical="center" wrapText="1"/>
    </xf>
    <xf numFmtId="0" fontId="31" fillId="0" borderId="352" applyNumberFormat="0" applyFill="0" applyAlignment="0" applyProtection="0"/>
    <xf numFmtId="0" fontId="31" fillId="0" borderId="352" applyNumberFormat="0" applyFill="0" applyAlignment="0" applyProtection="0"/>
    <xf numFmtId="0" fontId="31" fillId="0" borderId="351" applyNumberFormat="0" applyFill="0" applyAlignment="0" applyProtection="0"/>
    <xf numFmtId="0" fontId="29" fillId="24" borderId="345" applyNumberFormat="0" applyAlignment="0" applyProtection="0"/>
    <xf numFmtId="0" fontId="29" fillId="24" borderId="345" applyNumberFormat="0" applyAlignment="0" applyProtection="0"/>
    <xf numFmtId="0" fontId="8" fillId="10" borderId="347" applyNumberFormat="0" applyFont="0" applyAlignment="0" applyProtection="0"/>
    <xf numFmtId="0" fontId="28" fillId="10" borderId="347" applyNumberFormat="0" applyFont="0" applyAlignment="0" applyProtection="0"/>
    <xf numFmtId="0" fontId="28" fillId="10" borderId="347" applyNumberFormat="0" applyFont="0" applyAlignment="0" applyProtection="0"/>
    <xf numFmtId="0" fontId="25" fillId="13" borderId="346" applyNumberFormat="0" applyAlignment="0" applyProtection="0"/>
    <xf numFmtId="0" fontId="25" fillId="13" borderId="346" applyNumberFormat="0" applyAlignment="0" applyProtection="0"/>
    <xf numFmtId="0" fontId="41" fillId="13" borderId="346" applyNumberFormat="0" applyAlignment="0" applyProtection="0"/>
    <xf numFmtId="0" fontId="16" fillId="24" borderId="346" applyNumberFormat="0" applyAlignment="0" applyProtection="0"/>
    <xf numFmtId="0" fontId="16" fillId="24" borderId="346" applyNumberFormat="0" applyAlignment="0" applyProtection="0"/>
    <xf numFmtId="0" fontId="31" fillId="0" borderId="344" applyNumberFormat="0" applyFill="0" applyAlignment="0" applyProtection="0"/>
    <xf numFmtId="0" fontId="31" fillId="0" borderId="344" applyNumberFormat="0" applyFill="0" applyAlignment="0" applyProtection="0"/>
    <xf numFmtId="0" fontId="31" fillId="0" borderId="349" applyNumberFormat="0" applyFill="0" applyAlignment="0" applyProtection="0"/>
    <xf numFmtId="0" fontId="24" fillId="24" borderId="348" applyNumberFormat="0" applyAlignment="0" applyProtection="0"/>
    <xf numFmtId="0" fontId="49" fillId="10" borderId="347" applyNumberFormat="0" applyFont="0" applyAlignment="0" applyProtection="0"/>
    <xf numFmtId="0" fontId="49" fillId="10" borderId="347" applyNumberFormat="0" applyFont="0" applyAlignment="0" applyProtection="0"/>
    <xf numFmtId="0" fontId="8" fillId="10" borderId="347" applyNumberFormat="0" applyFont="0" applyAlignment="0" applyProtection="0"/>
    <xf numFmtId="0" fontId="25" fillId="8" borderId="346" applyNumberFormat="0" applyAlignment="0" applyProtection="0"/>
    <xf numFmtId="0" fontId="48" fillId="12" borderId="346" applyNumberFormat="0" applyAlignment="0" applyProtection="0"/>
    <xf numFmtId="0" fontId="48" fillId="24" borderId="346" applyNumberFormat="0" applyAlignment="0" applyProtection="0"/>
    <xf numFmtId="0" fontId="48" fillId="24" borderId="346" applyNumberFormat="0" applyAlignment="0" applyProtection="0"/>
    <xf numFmtId="0" fontId="31" fillId="0" borderId="352" applyNumberFormat="0" applyFill="0" applyAlignment="0" applyProtection="0"/>
    <xf numFmtId="0" fontId="31" fillId="0" borderId="352" applyNumberFormat="0" applyFill="0" applyAlignment="0" applyProtection="0"/>
    <xf numFmtId="0" fontId="31" fillId="0" borderId="351" applyNumberFormat="0" applyFill="0" applyAlignment="0" applyProtection="0"/>
    <xf numFmtId="0" fontId="8" fillId="10" borderId="347" applyNumberFormat="0" applyFont="0" applyAlignment="0" applyProtection="0"/>
    <xf numFmtId="0" fontId="8" fillId="10" borderId="347" applyNumberFormat="0" applyFont="0" applyAlignment="0" applyProtection="0"/>
    <xf numFmtId="0" fontId="41" fillId="13" borderId="346" applyNumberFormat="0" applyAlignment="0" applyProtection="0"/>
    <xf numFmtId="0" fontId="31" fillId="0" borderId="351" applyNumberFormat="0" applyFill="0" applyAlignment="0" applyProtection="0"/>
    <xf numFmtId="0" fontId="31" fillId="0" borderId="352" applyNumberFormat="0" applyFill="0" applyAlignment="0" applyProtection="0"/>
    <xf numFmtId="0" fontId="31" fillId="0" borderId="352" applyNumberFormat="0" applyFill="0" applyAlignment="0" applyProtection="0"/>
    <xf numFmtId="0" fontId="31" fillId="0" borderId="351" applyNumberFormat="0" applyFill="0" applyAlignment="0" applyProtection="0"/>
    <xf numFmtId="0" fontId="16" fillId="24" borderId="346" applyNumberFormat="0" applyAlignment="0" applyProtection="0"/>
    <xf numFmtId="0" fontId="31" fillId="0" borderId="352" applyNumberFormat="0" applyFill="0" applyAlignment="0" applyProtection="0"/>
    <xf numFmtId="0" fontId="29" fillId="24" borderId="345" applyNumberFormat="0" applyAlignment="0" applyProtection="0"/>
    <xf numFmtId="0" fontId="8" fillId="10" borderId="347" applyNumberFormat="0" applyFont="0" applyAlignment="0" applyProtection="0"/>
    <xf numFmtId="0" fontId="48" fillId="12" borderId="346" applyNumberFormat="0" applyAlignment="0" applyProtection="0"/>
    <xf numFmtId="0" fontId="32" fillId="24" borderId="346" applyNumberFormat="0" applyAlignment="0" applyProtection="0"/>
    <xf numFmtId="0" fontId="49" fillId="10" borderId="347" applyNumberFormat="0" applyFont="0" applyAlignment="0" applyProtection="0"/>
    <xf numFmtId="0" fontId="48" fillId="24" borderId="346" applyNumberFormat="0" applyAlignment="0" applyProtection="0"/>
    <xf numFmtId="0" fontId="31" fillId="0" borderId="344" applyNumberFormat="0" applyFill="0" applyAlignment="0" applyProtection="0"/>
    <xf numFmtId="0" fontId="29" fillId="12" borderId="345" applyNumberFormat="0" applyAlignment="0" applyProtection="0"/>
    <xf numFmtId="0" fontId="48" fillId="12" borderId="346" applyNumberFormat="0" applyAlignment="0" applyProtection="0"/>
    <xf numFmtId="0" fontId="85" fillId="0" borderId="343"/>
    <xf numFmtId="0" fontId="85" fillId="0" borderId="343"/>
    <xf numFmtId="0" fontId="28" fillId="0" borderId="343"/>
    <xf numFmtId="0" fontId="28" fillId="0" borderId="343"/>
    <xf numFmtId="0" fontId="49" fillId="10" borderId="347" applyNumberFormat="0" applyFont="0" applyAlignment="0" applyProtection="0"/>
    <xf numFmtId="0" fontId="48" fillId="24" borderId="346" applyNumberFormat="0" applyAlignment="0" applyProtection="0"/>
    <xf numFmtId="0" fontId="31" fillId="0" borderId="352" applyNumberFormat="0" applyFill="0" applyAlignment="0" applyProtection="0"/>
    <xf numFmtId="0" fontId="31" fillId="0" borderId="352" applyNumberFormat="0" applyFill="0" applyAlignment="0" applyProtection="0"/>
    <xf numFmtId="0" fontId="31" fillId="0" borderId="351" applyNumberFormat="0" applyFill="0" applyAlignment="0" applyProtection="0"/>
    <xf numFmtId="0" fontId="29" fillId="24" borderId="345" applyNumberFormat="0" applyAlignment="0" applyProtection="0"/>
    <xf numFmtId="0" fontId="24" fillId="24" borderId="348" applyNumberFormat="0" applyAlignment="0" applyProtection="0"/>
    <xf numFmtId="0" fontId="28" fillId="10" borderId="347" applyNumberFormat="0" applyFont="0" applyAlignment="0" applyProtection="0"/>
    <xf numFmtId="0" fontId="28" fillId="10" borderId="347" applyNumberFormat="0" applyFont="0" applyAlignment="0" applyProtection="0"/>
    <xf numFmtId="0" fontId="28" fillId="10" borderId="347" applyNumberFormat="0" applyFont="0" applyAlignment="0" applyProtection="0"/>
    <xf numFmtId="0" fontId="25" fillId="13" borderId="346" applyNumberFormat="0" applyAlignment="0" applyProtection="0"/>
    <xf numFmtId="0" fontId="25" fillId="13" borderId="346" applyNumberFormat="0" applyAlignment="0" applyProtection="0"/>
    <xf numFmtId="0" fontId="41" fillId="13" borderId="346" applyNumberFormat="0" applyAlignment="0" applyProtection="0"/>
    <xf numFmtId="0" fontId="16" fillId="24" borderId="346" applyNumberFormat="0" applyAlignment="0" applyProtection="0"/>
    <xf numFmtId="0" fontId="16" fillId="24" borderId="346" applyNumberFormat="0" applyAlignment="0" applyProtection="0"/>
    <xf numFmtId="0" fontId="32" fillId="24" borderId="346" applyNumberFormat="0" applyAlignment="0" applyProtection="0"/>
    <xf numFmtId="0" fontId="31" fillId="0" borderId="344" applyNumberFormat="0" applyFill="0" applyAlignment="0" applyProtection="0"/>
    <xf numFmtId="0" fontId="31" fillId="0" borderId="349" applyNumberFormat="0" applyFill="0" applyAlignment="0" applyProtection="0"/>
    <xf numFmtId="0" fontId="29" fillId="12" borderId="345" applyNumberFormat="0" applyAlignment="0" applyProtection="0"/>
    <xf numFmtId="0" fontId="49" fillId="10" borderId="347" applyNumberFormat="0" applyFont="0" applyAlignment="0" applyProtection="0"/>
    <xf numFmtId="0" fontId="49" fillId="10" borderId="347" applyNumberFormat="0" applyFont="0" applyAlignment="0" applyProtection="0"/>
    <xf numFmtId="0" fontId="8" fillId="10" borderId="347" applyNumberFormat="0" applyFont="0" applyAlignment="0" applyProtection="0"/>
    <xf numFmtId="0" fontId="48" fillId="12" borderId="346" applyNumberFormat="0" applyAlignment="0" applyProtection="0"/>
    <xf numFmtId="0" fontId="48" fillId="24" borderId="346" applyNumberFormat="0" applyAlignment="0" applyProtection="0"/>
    <xf numFmtId="0" fontId="48" fillId="24" borderId="346" applyNumberFormat="0" applyAlignment="0" applyProtection="0"/>
    <xf numFmtId="0" fontId="31" fillId="0" borderId="352" applyNumberFormat="0" applyFill="0" applyAlignment="0" applyProtection="0"/>
    <xf numFmtId="0" fontId="31" fillId="0" borderId="352" applyNumberFormat="0" applyFill="0" applyAlignment="0" applyProtection="0"/>
    <xf numFmtId="0" fontId="29" fillId="24" borderId="345" applyNumberFormat="0" applyAlignment="0" applyProtection="0"/>
    <xf numFmtId="0" fontId="29" fillId="24" borderId="345" applyNumberFormat="0" applyAlignment="0" applyProtection="0"/>
    <xf numFmtId="0" fontId="73" fillId="0" borderId="353" applyBorder="0">
      <alignment horizontal="center" vertical="center" wrapText="1"/>
    </xf>
    <xf numFmtId="0" fontId="31" fillId="0" borderId="344" applyNumberFormat="0" applyFill="0" applyAlignment="0" applyProtection="0"/>
    <xf numFmtId="0" fontId="29" fillId="12" borderId="345" applyNumberFormat="0" applyAlignment="0" applyProtection="0"/>
    <xf numFmtId="0" fontId="25" fillId="8" borderId="346" applyNumberFormat="0" applyAlignment="0" applyProtection="0"/>
    <xf numFmtId="0" fontId="48" fillId="12" borderId="346" applyNumberFormat="0" applyAlignment="0" applyProtection="0"/>
    <xf numFmtId="0" fontId="85" fillId="0" borderId="343"/>
    <xf numFmtId="0" fontId="85" fillId="0" borderId="343"/>
    <xf numFmtId="0" fontId="28" fillId="0" borderId="343"/>
    <xf numFmtId="0" fontId="28" fillId="0" borderId="343"/>
    <xf numFmtId="0" fontId="8" fillId="45" borderId="354" applyNumberFormat="0" applyFont="0" applyAlignment="0" applyProtection="0"/>
    <xf numFmtId="0" fontId="8" fillId="10" borderId="347" applyNumberFormat="0" applyFont="0" applyAlignment="0" applyProtection="0"/>
    <xf numFmtId="0" fontId="48" fillId="24" borderId="346" applyNumberFormat="0" applyAlignment="0" applyProtection="0"/>
    <xf numFmtId="0" fontId="31" fillId="0" borderId="352" applyNumberFormat="0" applyFill="0" applyAlignment="0" applyProtection="0"/>
    <xf numFmtId="0" fontId="31" fillId="0" borderId="352" applyNumberFormat="0" applyFill="0" applyAlignment="0" applyProtection="0"/>
    <xf numFmtId="0" fontId="31" fillId="0" borderId="351" applyNumberFormat="0" applyFill="0" applyAlignment="0" applyProtection="0"/>
    <xf numFmtId="0" fontId="29" fillId="24" borderId="345" applyNumberFormat="0" applyAlignment="0" applyProtection="0"/>
    <xf numFmtId="0" fontId="29" fillId="24" borderId="345" applyNumberFormat="0" applyAlignment="0" applyProtection="0"/>
    <xf numFmtId="0" fontId="28" fillId="10" borderId="347" applyNumberFormat="0" applyFont="0" applyAlignment="0" applyProtection="0"/>
    <xf numFmtId="0" fontId="28" fillId="10" borderId="347" applyNumberFormat="0" applyFont="0" applyAlignment="0" applyProtection="0"/>
    <xf numFmtId="0" fontId="28" fillId="10" borderId="347" applyNumberFormat="0" applyFont="0" applyAlignment="0" applyProtection="0"/>
    <xf numFmtId="0" fontId="73" fillId="0" borderId="353" applyBorder="0">
      <alignment horizontal="center" vertical="center" wrapText="1"/>
    </xf>
    <xf numFmtId="0" fontId="25" fillId="13" borderId="346" applyNumberFormat="0" applyAlignment="0" applyProtection="0"/>
    <xf numFmtId="0" fontId="25" fillId="13" borderId="346" applyNumberFormat="0" applyAlignment="0" applyProtection="0"/>
    <xf numFmtId="0" fontId="73" fillId="0" borderId="353" applyBorder="0">
      <alignment horizontal="center" vertical="center" wrapText="1"/>
    </xf>
    <xf numFmtId="0" fontId="24" fillId="24" borderId="348" applyNumberFormat="0" applyAlignment="0" applyProtection="0"/>
    <xf numFmtId="0" fontId="48" fillId="12" borderId="346" applyNumberFormat="0" applyAlignment="0" applyProtection="0"/>
    <xf numFmtId="0" fontId="48" fillId="12" borderId="346" applyNumberFormat="0" applyAlignment="0" applyProtection="0"/>
    <xf numFmtId="0" fontId="48" fillId="24" borderId="346" applyNumberFormat="0" applyAlignment="0" applyProtection="0"/>
    <xf numFmtId="0" fontId="31" fillId="0" borderId="352" applyNumberFormat="0" applyFill="0" applyAlignment="0" applyProtection="0"/>
    <xf numFmtId="0" fontId="31" fillId="0" borderId="352" applyNumberFormat="0" applyFill="0" applyAlignment="0" applyProtection="0"/>
    <xf numFmtId="0" fontId="31" fillId="0" borderId="351" applyNumberFormat="0" applyFill="0" applyAlignment="0" applyProtection="0"/>
    <xf numFmtId="0" fontId="29" fillId="24" borderId="345" applyNumberFormat="0" applyAlignment="0" applyProtection="0"/>
    <xf numFmtId="0" fontId="28" fillId="10" borderId="347" applyNumberFormat="0" applyFont="0" applyAlignment="0" applyProtection="0"/>
    <xf numFmtId="0" fontId="25" fillId="13" borderId="346" applyNumberFormat="0" applyAlignment="0" applyProtection="0"/>
    <xf numFmtId="0" fontId="25" fillId="13" borderId="346" applyNumberFormat="0" applyAlignment="0" applyProtection="0"/>
    <xf numFmtId="0" fontId="25" fillId="13" borderId="346" applyNumberFormat="0" applyAlignment="0" applyProtection="0"/>
    <xf numFmtId="0" fontId="16" fillId="24" borderId="346" applyNumberFormat="0" applyAlignment="0" applyProtection="0"/>
    <xf numFmtId="0" fontId="16" fillId="24" borderId="346" applyNumberFormat="0" applyAlignment="0" applyProtection="0"/>
    <xf numFmtId="0" fontId="32" fillId="24" borderId="346" applyNumberFormat="0" applyAlignment="0" applyProtection="0"/>
    <xf numFmtId="0" fontId="24" fillId="24" borderId="357" applyNumberFormat="0" applyAlignment="0" applyProtection="0"/>
    <xf numFmtId="0" fontId="49" fillId="10" borderId="356" applyNumberFormat="0" applyFont="0" applyAlignment="0" applyProtection="0"/>
    <xf numFmtId="0" fontId="28" fillId="10" borderId="356" applyNumberFormat="0" applyFont="0" applyAlignment="0" applyProtection="0"/>
    <xf numFmtId="0" fontId="25" fillId="13" borderId="355" applyNumberFormat="0" applyAlignment="0" applyProtection="0"/>
    <xf numFmtId="0" fontId="25" fillId="13" borderId="355" applyNumberFormat="0" applyAlignment="0" applyProtection="0"/>
    <xf numFmtId="0" fontId="16" fillId="24" borderId="355" applyNumberFormat="0" applyAlignment="0" applyProtection="0"/>
    <xf numFmtId="0" fontId="48" fillId="24" borderId="355" applyNumberFormat="0" applyAlignment="0" applyProtection="0"/>
    <xf numFmtId="0" fontId="29" fillId="12" borderId="345" applyNumberFormat="0" applyAlignment="0" applyProtection="0"/>
    <xf numFmtId="0" fontId="48" fillId="12" borderId="346" applyNumberFormat="0" applyAlignment="0" applyProtection="0"/>
    <xf numFmtId="0" fontId="85" fillId="0" borderId="343"/>
    <xf numFmtId="0" fontId="28" fillId="0" borderId="343"/>
    <xf numFmtId="0" fontId="49" fillId="10" borderId="347" applyNumberFormat="0" applyFont="0" applyAlignment="0" applyProtection="0"/>
    <xf numFmtId="0" fontId="31" fillId="0" borderId="344" applyNumberFormat="0" applyFill="0" applyAlignment="0" applyProtection="0"/>
    <xf numFmtId="0" fontId="48" fillId="12" borderId="346" applyNumberFormat="0" applyAlignment="0" applyProtection="0"/>
    <xf numFmtId="0" fontId="85" fillId="0" borderId="343"/>
    <xf numFmtId="0" fontId="31" fillId="0" borderId="349" applyNumberFormat="0" applyFill="0" applyAlignment="0" applyProtection="0"/>
    <xf numFmtId="0" fontId="49" fillId="10" borderId="347" applyNumberFormat="0" applyFont="0" applyAlignment="0" applyProtection="0"/>
    <xf numFmtId="0" fontId="49" fillId="10" borderId="347" applyNumberFormat="0" applyFont="0" applyAlignment="0" applyProtection="0"/>
    <xf numFmtId="0" fontId="16" fillId="24" borderId="346" applyNumberFormat="0" applyAlignment="0" applyProtection="0"/>
    <xf numFmtId="0" fontId="31" fillId="0" borderId="351" applyNumberFormat="0" applyFill="0" applyAlignment="0" applyProtection="0"/>
    <xf numFmtId="0" fontId="16" fillId="24" borderId="346" applyNumberFormat="0" applyAlignment="0" applyProtection="0"/>
    <xf numFmtId="0" fontId="31" fillId="0" borderId="344" applyNumberFormat="0" applyFill="0" applyAlignment="0" applyProtection="0"/>
    <xf numFmtId="0" fontId="31" fillId="0" borderId="349" applyNumberFormat="0" applyFill="0" applyAlignment="0" applyProtection="0"/>
    <xf numFmtId="0" fontId="73" fillId="0" borderId="350" applyBorder="0">
      <alignment horizontal="center" vertical="center" wrapText="1"/>
    </xf>
    <xf numFmtId="0" fontId="48" fillId="12" borderId="346" applyNumberFormat="0" applyAlignment="0" applyProtection="0"/>
    <xf numFmtId="0" fontId="8" fillId="10" borderId="347" applyNumberFormat="0" applyFont="0" applyAlignment="0" applyProtection="0"/>
    <xf numFmtId="0" fontId="31" fillId="0" borderId="344" applyNumberFormat="0" applyFill="0" applyAlignment="0" applyProtection="0"/>
    <xf numFmtId="0" fontId="41" fillId="13" borderId="346" applyNumberFormat="0" applyAlignment="0" applyProtection="0"/>
    <xf numFmtId="0" fontId="18" fillId="10" borderId="347" applyNumberFormat="0" applyFont="0" applyAlignment="0" applyProtection="0"/>
    <xf numFmtId="0" fontId="29" fillId="24" borderId="345" applyNumberFormat="0" applyAlignment="0" applyProtection="0"/>
    <xf numFmtId="0" fontId="25" fillId="8" borderId="346" applyNumberFormat="0" applyAlignment="0" applyProtection="0"/>
    <xf numFmtId="0" fontId="8" fillId="45" borderId="354" applyNumberFormat="0" applyFont="0" applyAlignment="0" applyProtection="0"/>
    <xf numFmtId="0" fontId="24" fillId="24" borderId="348" applyNumberFormat="0" applyAlignment="0" applyProtection="0"/>
    <xf numFmtId="0" fontId="29" fillId="24" borderId="345" applyNumberFormat="0" applyAlignment="0" applyProtection="0"/>
    <xf numFmtId="0" fontId="28" fillId="10" borderId="347" applyNumberFormat="0" applyFont="0" applyAlignment="0" applyProtection="0"/>
    <xf numFmtId="0" fontId="28" fillId="10" borderId="347" applyNumberFormat="0" applyFont="0" applyAlignment="0" applyProtection="0"/>
    <xf numFmtId="0" fontId="25" fillId="13" borderId="346" applyNumberFormat="0" applyAlignment="0" applyProtection="0"/>
    <xf numFmtId="0" fontId="16" fillId="24" borderId="346" applyNumberFormat="0" applyAlignment="0" applyProtection="0"/>
    <xf numFmtId="0" fontId="48" fillId="24" borderId="346" applyNumberFormat="0" applyAlignment="0" applyProtection="0"/>
    <xf numFmtId="0" fontId="31" fillId="0" borderId="352" applyNumberFormat="0" applyFill="0" applyAlignment="0" applyProtection="0"/>
    <xf numFmtId="0" fontId="29" fillId="24" borderId="345" applyNumberFormat="0" applyAlignment="0" applyProtection="0"/>
    <xf numFmtId="0" fontId="24" fillId="24" borderId="348" applyNumberFormat="0" applyAlignment="0" applyProtection="0"/>
    <xf numFmtId="0" fontId="18" fillId="10" borderId="347" applyNumberFormat="0" applyFont="0" applyAlignment="0" applyProtection="0"/>
    <xf numFmtId="0" fontId="25" fillId="13" borderId="346" applyNumberFormat="0" applyAlignment="0" applyProtection="0"/>
    <xf numFmtId="0" fontId="16" fillId="24" borderId="346" applyNumberFormat="0" applyAlignment="0" applyProtection="0"/>
    <xf numFmtId="0" fontId="32" fillId="24" borderId="346" applyNumberFormat="0" applyAlignment="0" applyProtection="0"/>
    <xf numFmtId="0" fontId="31" fillId="0" borderId="349" applyNumberFormat="0" applyFill="0" applyAlignment="0" applyProtection="0"/>
    <xf numFmtId="0" fontId="29" fillId="12" borderId="345" applyNumberFormat="0" applyAlignment="0" applyProtection="0"/>
    <xf numFmtId="0" fontId="8" fillId="10" borderId="347" applyNumberFormat="0" applyFont="0" applyAlignment="0" applyProtection="0"/>
    <xf numFmtId="0" fontId="41" fillId="13" borderId="346" applyNumberFormat="0" applyAlignment="0" applyProtection="0"/>
    <xf numFmtId="0" fontId="48" fillId="12" borderId="346" applyNumberFormat="0" applyAlignment="0" applyProtection="0"/>
    <xf numFmtId="0" fontId="31" fillId="0" borderId="344" applyNumberFormat="0" applyFill="0" applyAlignment="0" applyProtection="0"/>
    <xf numFmtId="0" fontId="31" fillId="0" borderId="352" applyNumberFormat="0" applyFill="0" applyAlignment="0" applyProtection="0"/>
    <xf numFmtId="0" fontId="31" fillId="0" borderId="351" applyNumberFormat="0" applyFill="0" applyAlignment="0" applyProtection="0"/>
    <xf numFmtId="0" fontId="25" fillId="8" borderId="346" applyNumberFormat="0" applyAlignment="0" applyProtection="0"/>
    <xf numFmtId="0" fontId="48" fillId="24" borderId="346" applyNumberFormat="0" applyAlignment="0" applyProtection="0"/>
    <xf numFmtId="0" fontId="41" fillId="13" borderId="346" applyNumberFormat="0" applyAlignment="0" applyProtection="0"/>
    <xf numFmtId="0" fontId="31" fillId="0" borderId="352" applyNumberFormat="0" applyFill="0" applyAlignment="0" applyProtection="0"/>
    <xf numFmtId="0" fontId="24" fillId="24" borderId="348" applyNumberFormat="0" applyAlignment="0" applyProtection="0"/>
    <xf numFmtId="0" fontId="29" fillId="12" borderId="345" applyNumberFormat="0" applyAlignment="0" applyProtection="0"/>
    <xf numFmtId="0" fontId="31" fillId="0" borderId="352" applyNumberFormat="0" applyFill="0" applyAlignment="0" applyProtection="0"/>
    <xf numFmtId="0" fontId="31" fillId="0" borderId="344" applyNumberFormat="0" applyFill="0" applyAlignment="0" applyProtection="0"/>
    <xf numFmtId="0" fontId="25" fillId="8" borderId="346" applyNumberFormat="0" applyAlignment="0" applyProtection="0"/>
    <xf numFmtId="0" fontId="48" fillId="12" borderId="346" applyNumberFormat="0" applyAlignment="0" applyProtection="0"/>
    <xf numFmtId="0" fontId="31" fillId="0" borderId="349" applyNumberFormat="0" applyFill="0" applyAlignment="0" applyProtection="0"/>
    <xf numFmtId="0" fontId="8" fillId="45" borderId="354" applyNumberFormat="0" applyFont="0" applyAlignment="0" applyProtection="0"/>
    <xf numFmtId="0" fontId="8" fillId="10" borderId="347" applyNumberFormat="0" applyFont="0" applyAlignment="0" applyProtection="0"/>
    <xf numFmtId="0" fontId="31" fillId="0" borderId="352" applyNumberFormat="0" applyFill="0" applyAlignment="0" applyProtection="0"/>
    <xf numFmtId="0" fontId="29" fillId="24" borderId="345" applyNumberFormat="0" applyAlignment="0" applyProtection="0"/>
    <xf numFmtId="0" fontId="29" fillId="24" borderId="345" applyNumberFormat="0" applyAlignment="0" applyProtection="0"/>
    <xf numFmtId="0" fontId="8" fillId="10" borderId="347" applyNumberFormat="0" applyFont="0" applyAlignment="0" applyProtection="0"/>
    <xf numFmtId="0" fontId="18" fillId="10" borderId="347" applyNumberFormat="0" applyFont="0" applyAlignment="0" applyProtection="0"/>
    <xf numFmtId="0" fontId="25" fillId="13" borderId="346" applyNumberFormat="0" applyAlignment="0" applyProtection="0"/>
    <xf numFmtId="0" fontId="16" fillId="24" borderId="346" applyNumberFormat="0" applyAlignment="0" applyProtection="0"/>
    <xf numFmtId="0" fontId="31" fillId="0" borderId="344" applyNumberFormat="0" applyFill="0" applyAlignment="0" applyProtection="0"/>
    <xf numFmtId="0" fontId="31" fillId="0" borderId="349" applyNumberFormat="0" applyFill="0" applyAlignment="0" applyProtection="0"/>
    <xf numFmtId="0" fontId="24" fillId="24" borderId="348" applyNumberFormat="0" applyAlignment="0" applyProtection="0"/>
    <xf numFmtId="0" fontId="8" fillId="10" borderId="347" applyNumberFormat="0" applyFont="0" applyAlignment="0" applyProtection="0"/>
    <xf numFmtId="0" fontId="25" fillId="8" borderId="346" applyNumberFormat="0" applyAlignment="0" applyProtection="0"/>
    <xf numFmtId="0" fontId="31" fillId="0" borderId="352" applyNumberFormat="0" applyFill="0" applyAlignment="0" applyProtection="0"/>
    <xf numFmtId="0" fontId="31" fillId="0" borderId="351" applyNumberFormat="0" applyFill="0" applyAlignment="0" applyProtection="0"/>
    <xf numFmtId="0" fontId="29" fillId="24" borderId="345" applyNumberFormat="0" applyAlignment="0" applyProtection="0"/>
    <xf numFmtId="0" fontId="29" fillId="12" borderId="345" applyNumberFormat="0" applyAlignment="0" applyProtection="0"/>
    <xf numFmtId="0" fontId="31" fillId="0" borderId="344" applyNumberFormat="0" applyFill="0" applyAlignment="0" applyProtection="0"/>
    <xf numFmtId="0" fontId="48" fillId="12" borderId="346" applyNumberFormat="0" applyAlignment="0" applyProtection="0"/>
    <xf numFmtId="0" fontId="31" fillId="0" borderId="349" applyNumberFormat="0" applyFill="0" applyAlignment="0" applyProtection="0"/>
    <xf numFmtId="0" fontId="49" fillId="10" borderId="347" applyNumberFormat="0" applyFont="0" applyAlignment="0" applyProtection="0"/>
    <xf numFmtId="0" fontId="29" fillId="24" borderId="345" applyNumberFormat="0" applyAlignment="0" applyProtection="0"/>
    <xf numFmtId="0" fontId="24" fillId="24" borderId="348" applyNumberFormat="0" applyAlignment="0" applyProtection="0"/>
    <xf numFmtId="0" fontId="8" fillId="10" borderId="347" applyNumberFormat="0" applyFont="0" applyAlignment="0" applyProtection="0"/>
    <xf numFmtId="0" fontId="18" fillId="10" borderId="347" applyNumberFormat="0" applyFont="0" applyAlignment="0" applyProtection="0"/>
    <xf numFmtId="0" fontId="25" fillId="13" borderId="346" applyNumberFormat="0" applyAlignment="0" applyProtection="0"/>
    <xf numFmtId="0" fontId="41" fillId="13" borderId="346" applyNumberFormat="0" applyAlignment="0" applyProtection="0"/>
    <xf numFmtId="0" fontId="31" fillId="0" borderId="344" applyNumberFormat="0" applyFill="0" applyAlignment="0" applyProtection="0"/>
    <xf numFmtId="0" fontId="31" fillId="0" borderId="349" applyNumberFormat="0" applyFill="0" applyAlignment="0" applyProtection="0"/>
    <xf numFmtId="0" fontId="29" fillId="12" borderId="345" applyNumberFormat="0" applyAlignment="0" applyProtection="0"/>
    <xf numFmtId="0" fontId="49" fillId="10" borderId="347" applyNumberFormat="0" applyFont="0" applyAlignment="0" applyProtection="0"/>
    <xf numFmtId="0" fontId="48" fillId="24" borderId="346" applyNumberFormat="0" applyAlignment="0" applyProtection="0"/>
    <xf numFmtId="0" fontId="31" fillId="0" borderId="352" applyNumberFormat="0" applyFill="0" applyAlignment="0" applyProtection="0"/>
    <xf numFmtId="0" fontId="29" fillId="24" borderId="345" applyNumberFormat="0" applyAlignment="0" applyProtection="0"/>
    <xf numFmtId="0" fontId="8" fillId="10" borderId="347" applyNumberFormat="0" applyFont="0" applyAlignment="0" applyProtection="0"/>
    <xf numFmtId="0" fontId="41" fillId="13" borderId="346" applyNumberFormat="0" applyAlignment="0" applyProtection="0"/>
    <xf numFmtId="0" fontId="16" fillId="24" borderId="346" applyNumberFormat="0" applyAlignment="0" applyProtection="0"/>
    <xf numFmtId="0" fontId="73" fillId="0" borderId="350" applyBorder="0">
      <alignment horizontal="center" vertical="center" wrapText="1"/>
    </xf>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32"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24"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48" fillId="12"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16" fillId="24" borderId="339" applyNumberFormat="0" applyAlignment="0" applyProtection="0"/>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8" fillId="0" borderId="343"/>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41"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13"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25" fillId="8" borderId="339" applyNumberFormat="0" applyAlignment="0" applyProtection="0"/>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85" fillId="73" borderId="343"/>
    <xf numFmtId="0" fontId="49" fillId="10" borderId="347" applyNumberFormat="0" applyFont="0" applyAlignment="0" applyProtection="0"/>
    <xf numFmtId="0" fontId="48" fillId="12" borderId="346" applyNumberFormat="0" applyAlignment="0" applyProtection="0"/>
    <xf numFmtId="0" fontId="25" fillId="8" borderId="346" applyNumberFormat="0" applyAlignment="0" applyProtection="0"/>
    <xf numFmtId="0" fontId="31" fillId="0" borderId="344" applyNumberFormat="0" applyFill="0" applyAlignment="0" applyProtection="0"/>
    <xf numFmtId="0" fontId="31" fillId="0" borderId="349" applyNumberFormat="0" applyFill="0" applyAlignment="0" applyProtection="0"/>
    <xf numFmtId="0" fontId="24" fillId="24" borderId="348" applyNumberFormat="0" applyAlignment="0" applyProtection="0"/>
    <xf numFmtId="0" fontId="8" fillId="10" borderId="347" applyNumberFormat="0" applyFont="0" applyAlignment="0" applyProtection="0"/>
    <xf numFmtId="0" fontId="41" fillId="13" borderId="346" applyNumberFormat="0" applyAlignment="0" applyProtection="0"/>
    <xf numFmtId="0" fontId="48" fillId="12" borderId="346" applyNumberFormat="0" applyAlignment="0" applyProtection="0"/>
    <xf numFmtId="0" fontId="48" fillId="24" borderId="346" applyNumberFormat="0" applyAlignment="0" applyProtection="0"/>
    <xf numFmtId="0" fontId="31" fillId="0" borderId="344" applyNumberFormat="0" applyFill="0" applyAlignment="0" applyProtection="0"/>
    <xf numFmtId="0" fontId="48" fillId="24" borderId="346" applyNumberFormat="0" applyAlignment="0" applyProtection="0"/>
    <xf numFmtId="0" fontId="49" fillId="10" borderId="347" applyNumberFormat="0" applyFont="0" applyAlignment="0" applyProtection="0"/>
    <xf numFmtId="0" fontId="29" fillId="12" borderId="345" applyNumberFormat="0" applyAlignment="0" applyProtection="0"/>
    <xf numFmtId="0" fontId="8" fillId="10" borderId="347" applyNumberFormat="0" applyFont="0" applyAlignment="0" applyProtection="0"/>
    <xf numFmtId="0" fontId="8" fillId="10" borderId="340" applyNumberFormat="0" applyFont="0" applyAlignment="0" applyProtection="0"/>
    <xf numFmtId="0" fontId="49" fillId="10" borderId="340" applyNumberFormat="0" applyFont="0" applyAlignment="0" applyProtection="0"/>
    <xf numFmtId="0" fontId="31" fillId="0" borderId="342" applyNumberFormat="0" applyFill="0" applyAlignment="0" applyProtection="0"/>
    <xf numFmtId="0" fontId="31" fillId="0" borderId="344" applyNumberFormat="0" applyFill="0" applyAlignment="0" applyProtection="0"/>
    <xf numFmtId="0" fontId="31" fillId="0" borderId="349" applyNumberFormat="0" applyFill="0" applyAlignment="0" applyProtection="0"/>
    <xf numFmtId="0" fontId="31" fillId="0" borderId="344" applyNumberFormat="0" applyFill="0" applyAlignment="0" applyProtection="0"/>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32"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24"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48" fillId="12"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16" fillId="24" borderId="355" applyNumberFormat="0" applyAlignment="0" applyProtection="0"/>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8" fillId="0" borderId="359"/>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41"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13"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25" fillId="8" borderId="355" applyNumberFormat="0" applyAlignment="0" applyProtection="0"/>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85" fillId="73" borderId="359"/>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73" fillId="0" borderId="353" applyBorder="0">
      <alignment horizontal="center" vertical="center" wrapText="1"/>
    </xf>
    <xf numFmtId="0" fontId="49" fillId="10" borderId="363" applyNumberFormat="0" applyFont="0" applyAlignment="0" applyProtection="0"/>
    <xf numFmtId="0" fontId="48" fillId="12" borderId="362" applyNumberFormat="0" applyAlignment="0" applyProtection="0"/>
    <xf numFmtId="0" fontId="25" fillId="8" borderId="362" applyNumberFormat="0" applyAlignment="0" applyProtection="0"/>
    <xf numFmtId="0" fontId="31" fillId="0" borderId="360" applyNumberFormat="0" applyFill="0" applyAlignment="0" applyProtection="0"/>
    <xf numFmtId="0" fontId="31" fillId="0" borderId="365" applyNumberFormat="0" applyFill="0" applyAlignment="0" applyProtection="0"/>
    <xf numFmtId="0" fontId="24" fillId="24" borderId="364" applyNumberFormat="0" applyAlignment="0" applyProtection="0"/>
    <xf numFmtId="0" fontId="8" fillId="10" borderId="363" applyNumberFormat="0" applyFont="0" applyAlignment="0" applyProtection="0"/>
    <xf numFmtId="0" fontId="41" fillId="13" borderId="362" applyNumberFormat="0" applyAlignment="0" applyProtection="0"/>
    <xf numFmtId="0" fontId="48" fillId="12" borderId="362" applyNumberFormat="0" applyAlignment="0" applyProtection="0"/>
    <xf numFmtId="0" fontId="48" fillId="24" borderId="362" applyNumberFormat="0" applyAlignment="0" applyProtection="0"/>
    <xf numFmtId="0" fontId="31" fillId="0" borderId="360" applyNumberFormat="0" applyFill="0" applyAlignment="0" applyProtection="0"/>
    <xf numFmtId="0" fontId="48" fillId="24" borderId="362" applyNumberFormat="0" applyAlignment="0" applyProtection="0"/>
    <xf numFmtId="0" fontId="49" fillId="10" borderId="363" applyNumberFormat="0" applyFont="0" applyAlignment="0" applyProtection="0"/>
    <xf numFmtId="0" fontId="29" fillId="12" borderId="361" applyNumberFormat="0" applyAlignment="0" applyProtection="0"/>
    <xf numFmtId="0" fontId="8" fillId="10" borderId="363" applyNumberFormat="0" applyFont="0" applyAlignment="0" applyProtection="0"/>
    <xf numFmtId="0" fontId="8" fillId="10" borderId="356" applyNumberFormat="0" applyFont="0" applyAlignment="0" applyProtection="0"/>
    <xf numFmtId="0" fontId="49" fillId="10" borderId="356" applyNumberFormat="0" applyFont="0" applyAlignment="0" applyProtection="0"/>
    <xf numFmtId="0" fontId="31" fillId="0" borderId="358" applyNumberFormat="0" applyFill="0" applyAlignment="0" applyProtection="0"/>
    <xf numFmtId="0" fontId="31" fillId="0" borderId="360" applyNumberFormat="0" applyFill="0" applyAlignment="0" applyProtection="0"/>
    <xf numFmtId="0" fontId="31" fillId="0" borderId="365" applyNumberFormat="0" applyFill="0" applyAlignment="0" applyProtection="0"/>
    <xf numFmtId="0" fontId="31" fillId="0" borderId="360" applyNumberFormat="0" applyFill="0" applyAlignment="0" applyProtection="0"/>
    <xf numFmtId="0" fontId="99" fillId="0" borderId="0" applyNumberFormat="0" applyFill="0" applyBorder="0" applyAlignment="0" applyProtection="0"/>
    <xf numFmtId="0" fontId="16" fillId="24" borderId="362" applyNumberFormat="0" applyAlignment="0" applyProtection="0"/>
    <xf numFmtId="0" fontId="32" fillId="24" borderId="362" applyNumberFormat="0" applyAlignment="0" applyProtection="0"/>
    <xf numFmtId="0" fontId="25" fillId="13" borderId="362" applyNumberFormat="0" applyAlignment="0" applyProtection="0"/>
    <xf numFmtId="0" fontId="28" fillId="10" borderId="363" applyNumberFormat="0" applyFont="0" applyAlignment="0" applyProtection="0"/>
    <xf numFmtId="0" fontId="18" fillId="10" borderId="363" applyNumberFormat="0" applyFont="0" applyAlignment="0" applyProtection="0"/>
    <xf numFmtId="0" fontId="29" fillId="24" borderId="361" applyNumberFormat="0" applyAlignment="0" applyProtection="0"/>
    <xf numFmtId="0" fontId="48" fillId="24" borderId="372" applyNumberFormat="0" applyAlignment="0" applyProtection="0"/>
    <xf numFmtId="37" fontId="4" fillId="72" borderId="0" applyFill="0"/>
    <xf numFmtId="0" fontId="8" fillId="10" borderId="373" applyNumberFormat="0" applyFont="0" applyAlignment="0" applyProtection="0"/>
    <xf numFmtId="0" fontId="62" fillId="39" borderId="0" applyNumberFormat="0" applyBorder="0" applyAlignment="0" applyProtection="0"/>
    <xf numFmtId="43" fontId="2" fillId="0" borderId="0" applyFont="0" applyFill="0" applyBorder="0" applyAlignment="0" applyProtection="0"/>
    <xf numFmtId="0" fontId="31" fillId="0" borderId="374" applyNumberFormat="0" applyFill="0" applyAlignment="0" applyProtection="0"/>
    <xf numFmtId="0" fontId="8" fillId="8" borderId="0" applyNumberFormat="0" applyBorder="0" applyAlignment="0" applyProtection="0"/>
    <xf numFmtId="0" fontId="73" fillId="0" borderId="382" applyBorder="0">
      <alignment horizontal="center" vertical="center" wrapText="1"/>
    </xf>
    <xf numFmtId="0" fontId="8" fillId="8" borderId="0" applyNumberFormat="0" applyBorder="0" applyAlignment="0" applyProtection="0"/>
    <xf numFmtId="0" fontId="73" fillId="0" borderId="382" applyBorder="0">
      <alignment horizontal="center" vertical="center" wrapText="1"/>
    </xf>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37" borderId="0" applyNumberFormat="0" applyBorder="0" applyAlignment="0" applyProtection="0"/>
    <xf numFmtId="0" fontId="14" fillId="22" borderId="0" applyNumberFormat="0" applyBorder="0" applyAlignment="0" applyProtection="0"/>
    <xf numFmtId="0" fontId="32" fillId="24" borderId="372" applyNumberFormat="0" applyAlignment="0" applyProtection="0"/>
    <xf numFmtId="0" fontId="48" fillId="24" borderId="372" applyNumberFormat="0" applyAlignment="0" applyProtection="0"/>
    <xf numFmtId="0" fontId="16" fillId="24" borderId="372" applyNumberFormat="0" applyAlignment="0" applyProtection="0"/>
    <xf numFmtId="0" fontId="17" fillId="25" borderId="375" applyNumberFormat="0" applyAlignment="0" applyProtection="0"/>
    <xf numFmtId="0" fontId="73" fillId="0" borderId="382" applyBorder="0">
      <alignment horizontal="center" vertical="center" wrapText="1"/>
    </xf>
    <xf numFmtId="44" fontId="2" fillId="0" borderId="0" applyFont="0" applyFill="0" applyBorder="0" applyAlignment="0" applyProtection="0"/>
    <xf numFmtId="0" fontId="36" fillId="0" borderId="7" applyNumberFormat="0" applyFill="0" applyAlignment="0" applyProtection="0"/>
    <xf numFmtId="0" fontId="37" fillId="0" borderId="9" applyNumberFormat="0" applyFill="0" applyAlignment="0" applyProtection="0"/>
    <xf numFmtId="0" fontId="38" fillId="0" borderId="11" applyNumberFormat="0" applyFill="0" applyAlignment="0" applyProtection="0"/>
    <xf numFmtId="0" fontId="41" fillId="13" borderId="372" applyNumberFormat="0" applyAlignment="0" applyProtection="0"/>
    <xf numFmtId="0" fontId="25" fillId="8" borderId="372" applyNumberFormat="0" applyAlignment="0" applyProtection="0"/>
    <xf numFmtId="0" fontId="25" fillId="13" borderId="372" applyNumberFormat="0" applyAlignment="0" applyProtection="0"/>
    <xf numFmtId="0" fontId="42" fillId="0" borderId="13" applyNumberFormat="0" applyFill="0" applyAlignment="0" applyProtection="0"/>
    <xf numFmtId="0" fontId="43" fillId="1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05" fillId="0" borderId="0" applyFont="0" applyFill="0" applyBorder="0" applyAlignment="0" applyProtection="0"/>
    <xf numFmtId="9" fontId="77" fillId="0" borderId="0" applyFont="0" applyFill="0" applyBorder="0" applyAlignment="0" applyProtection="0"/>
    <xf numFmtId="9" fontId="2" fillId="0" borderId="0" applyFont="0" applyFill="0" applyBorder="0" applyAlignment="0" applyProtection="0"/>
    <xf numFmtId="0" fontId="105" fillId="0" borderId="0"/>
    <xf numFmtId="0" fontId="76" fillId="0" borderId="0"/>
    <xf numFmtId="0" fontId="2" fillId="0" borderId="0"/>
    <xf numFmtId="0" fontId="18" fillId="0" borderId="0">
      <alignment vertical="top"/>
    </xf>
    <xf numFmtId="0" fontId="18" fillId="0" borderId="0">
      <alignment vertical="top"/>
    </xf>
    <xf numFmtId="0" fontId="18" fillId="0" borderId="0">
      <alignment vertical="top"/>
    </xf>
    <xf numFmtId="0" fontId="2" fillId="0" borderId="0"/>
    <xf numFmtId="37" fontId="4" fillId="72" borderId="0" applyFill="0"/>
    <xf numFmtId="0" fontId="4" fillId="0" borderId="0"/>
    <xf numFmtId="0" fontId="8" fillId="10" borderId="373" applyNumberFormat="0" applyFont="0" applyAlignment="0" applyProtection="0"/>
    <xf numFmtId="0" fontId="28" fillId="10" borderId="373" applyNumberFormat="0" applyFont="0" applyAlignment="0" applyProtection="0"/>
    <xf numFmtId="0" fontId="24" fillId="24" borderId="376" applyNumberFormat="0" applyAlignment="0" applyProtection="0"/>
    <xf numFmtId="0" fontId="31" fillId="26" borderId="377" applyNumberFormat="0" applyAlignment="0" applyProtection="0"/>
    <xf numFmtId="0" fontId="29" fillId="24" borderId="378" applyNumberFormat="0" applyAlignment="0" applyProtection="0"/>
    <xf numFmtId="44" fontId="105" fillId="0" borderId="0" applyFont="0" applyFill="0" applyBorder="0" applyAlignment="0" applyProtection="0"/>
    <xf numFmtId="44" fontId="19" fillId="0" borderId="0" applyFont="0" applyFill="0" applyBorder="0" applyAlignment="0" applyProtection="0"/>
    <xf numFmtId="9" fontId="8"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0" fontId="31" fillId="0" borderId="379" applyNumberFormat="0" applyFill="0" applyAlignment="0" applyProtection="0"/>
    <xf numFmtId="0" fontId="31" fillId="0" borderId="374" applyNumberFormat="0" applyFill="0" applyAlignment="0" applyProtection="0"/>
    <xf numFmtId="0" fontId="31" fillId="0" borderId="380" applyNumberFormat="0" applyFill="0" applyAlignment="0" applyProtection="0"/>
    <xf numFmtId="0" fontId="86" fillId="0" borderId="0"/>
    <xf numFmtId="0" fontId="48" fillId="12" borderId="372" applyNumberFormat="0" applyAlignment="0" applyProtection="0"/>
    <xf numFmtId="0" fontId="49" fillId="10" borderId="373" applyNumberFormat="0" applyFont="0" applyAlignment="0" applyProtection="0"/>
    <xf numFmtId="44" fontId="1" fillId="0" borderId="0" applyFont="0" applyFill="0" applyBorder="0" applyAlignment="0" applyProtection="0"/>
    <xf numFmtId="43" fontId="18" fillId="0" borderId="0" applyFont="0" applyFill="0" applyBorder="0" applyAlignment="0" applyProtection="0">
      <alignment vertical="top"/>
    </xf>
    <xf numFmtId="0" fontId="31" fillId="0" borderId="381" applyNumberFormat="0" applyFill="0" applyAlignment="0" applyProtection="0"/>
    <xf numFmtId="0" fontId="48" fillId="24" borderId="372" applyNumberFormat="0" applyAlignment="0" applyProtection="0"/>
    <xf numFmtId="0" fontId="32" fillId="24" borderId="372" applyNumberFormat="0" applyAlignment="0" applyProtection="0"/>
    <xf numFmtId="0" fontId="16" fillId="24" borderId="372" applyNumberFormat="0" applyAlignment="0" applyProtection="0"/>
    <xf numFmtId="0" fontId="48" fillId="12" borderId="372" applyNumberFormat="0" applyAlignment="0" applyProtection="0"/>
    <xf numFmtId="0" fontId="16" fillId="24" borderId="372" applyNumberFormat="0" applyAlignment="0" applyProtection="0"/>
    <xf numFmtId="0" fontId="48" fillId="12" borderId="372" applyNumberFormat="0" applyAlignment="0" applyProtection="0"/>
    <xf numFmtId="0" fontId="16" fillId="24" borderId="372" applyNumberFormat="0" applyAlignment="0" applyProtection="0"/>
    <xf numFmtId="0" fontId="86" fillId="0" borderId="0"/>
    <xf numFmtId="0" fontId="28" fillId="0" borderId="377"/>
    <xf numFmtId="0" fontId="73" fillId="0" borderId="382" applyBorder="0">
      <alignment horizontal="center" vertical="center" wrapText="1"/>
    </xf>
    <xf numFmtId="0" fontId="41" fillId="13" borderId="372" applyNumberFormat="0" applyAlignment="0" applyProtection="0"/>
    <xf numFmtId="0" fontId="25" fillId="13" borderId="372" applyNumberFormat="0" applyAlignment="0" applyProtection="0"/>
    <xf numFmtId="0" fontId="25" fillId="13" borderId="372" applyNumberFormat="0" applyAlignment="0" applyProtection="0"/>
    <xf numFmtId="0" fontId="25" fillId="8" borderId="372" applyNumberFormat="0" applyAlignment="0" applyProtection="0"/>
    <xf numFmtId="0" fontId="25" fillId="13" borderId="372" applyNumberFormat="0" applyAlignment="0" applyProtection="0"/>
    <xf numFmtId="0" fontId="25" fillId="8" borderId="372" applyNumberFormat="0" applyAlignment="0" applyProtection="0"/>
    <xf numFmtId="0" fontId="73" fillId="0" borderId="382" applyBorder="0">
      <alignment horizontal="center" vertical="center" wrapText="1"/>
    </xf>
    <xf numFmtId="0" fontId="85" fillId="73" borderId="377"/>
    <xf numFmtId="0" fontId="73" fillId="0" borderId="382" applyBorder="0">
      <alignment horizontal="center" vertical="center" wrapText="1"/>
    </xf>
    <xf numFmtId="0" fontId="73" fillId="0" borderId="382" applyBorder="0">
      <alignment horizontal="center" vertical="center" wrapText="1"/>
    </xf>
    <xf numFmtId="0" fontId="73" fillId="0" borderId="382" applyBorder="0">
      <alignment horizontal="center" vertical="center" wrapText="1"/>
    </xf>
    <xf numFmtId="0" fontId="73" fillId="0" borderId="382" applyBorder="0">
      <alignment horizontal="center" vertical="center" wrapText="1"/>
    </xf>
    <xf numFmtId="0" fontId="73" fillId="0" borderId="382" applyBorder="0">
      <alignment horizontal="center" vertical="center" wrapText="1"/>
    </xf>
    <xf numFmtId="0" fontId="73" fillId="0" borderId="382" applyBorder="0">
      <alignment horizontal="center" vertical="center" wrapText="1"/>
    </xf>
    <xf numFmtId="0" fontId="73" fillId="0" borderId="382" applyBorder="0">
      <alignment horizontal="center" vertical="center" wrapText="1"/>
    </xf>
    <xf numFmtId="0" fontId="73" fillId="0" borderId="382" applyBorder="0">
      <alignment horizontal="center" vertical="center" wrapText="1"/>
    </xf>
    <xf numFmtId="0" fontId="73" fillId="0" borderId="382" applyBorder="0">
      <alignment horizontal="center" vertical="center" wrapText="1"/>
    </xf>
    <xf numFmtId="0" fontId="73" fillId="0" borderId="382" applyBorder="0">
      <alignment horizontal="center" vertical="center" wrapText="1"/>
    </xf>
    <xf numFmtId="0" fontId="73" fillId="0" borderId="382" applyBorder="0">
      <alignment horizontal="center" vertical="center" wrapText="1"/>
    </xf>
    <xf numFmtId="0" fontId="73" fillId="0" borderId="382" applyBorder="0">
      <alignment horizontal="center" vertical="center" wrapText="1"/>
    </xf>
    <xf numFmtId="0" fontId="73" fillId="0" borderId="382" applyBorder="0">
      <alignment horizontal="center" vertical="center" wrapText="1"/>
    </xf>
    <xf numFmtId="0" fontId="73" fillId="0" borderId="382" applyBorder="0">
      <alignment horizontal="center" vertical="center" wrapText="1"/>
    </xf>
    <xf numFmtId="0" fontId="73" fillId="0" borderId="382" applyBorder="0">
      <alignment horizontal="center" vertical="center" wrapText="1"/>
    </xf>
    <xf numFmtId="0" fontId="8" fillId="10" borderId="373" applyNumberFormat="0" applyFont="0" applyAlignment="0" applyProtection="0"/>
    <xf numFmtId="0" fontId="18" fillId="10" borderId="373" applyNumberFormat="0" applyFont="0" applyAlignment="0" applyProtection="0"/>
    <xf numFmtId="0" fontId="28" fillId="10" borderId="373" applyNumberFormat="0" applyFont="0" applyAlignment="0" applyProtection="0"/>
    <xf numFmtId="0" fontId="49" fillId="10" borderId="373" applyNumberFormat="0" applyFont="0" applyAlignment="0" applyProtection="0"/>
    <xf numFmtId="0" fontId="28" fillId="10" borderId="373" applyNumberFormat="0" applyFont="0" applyAlignment="0" applyProtection="0"/>
    <xf numFmtId="0" fontId="8" fillId="10" borderId="373" applyNumberFormat="0" applyFont="0" applyAlignment="0" applyProtection="0"/>
    <xf numFmtId="0" fontId="28" fillId="10" borderId="373" applyNumberFormat="0" applyFont="0" applyAlignment="0" applyProtection="0"/>
    <xf numFmtId="0" fontId="8" fillId="45" borderId="383" applyNumberFormat="0" applyFont="0" applyAlignment="0" applyProtection="0"/>
    <xf numFmtId="0" fontId="24" fillId="24" borderId="376" applyNumberFormat="0" applyAlignment="0" applyProtection="0"/>
    <xf numFmtId="0" fontId="29" fillId="24" borderId="378" applyNumberFormat="0" applyAlignment="0" applyProtection="0"/>
    <xf numFmtId="0" fontId="29" fillId="24" borderId="378" applyNumberFormat="0" applyAlignment="0" applyProtection="0"/>
    <xf numFmtId="0" fontId="24" fillId="24" borderId="376" applyNumberFormat="0" applyAlignment="0" applyProtection="0"/>
    <xf numFmtId="0" fontId="29" fillId="12" borderId="378" applyNumberFormat="0" applyAlignment="0" applyProtection="0"/>
    <xf numFmtId="0" fontId="29" fillId="24" borderId="378" applyNumberFormat="0" applyAlignment="0" applyProtection="0"/>
    <xf numFmtId="0" fontId="29" fillId="12" borderId="378" applyNumberFormat="0" applyAlignment="0" applyProtection="0"/>
    <xf numFmtId="0" fontId="29" fillId="12" borderId="378" applyNumberFormat="0" applyAlignment="0" applyProtection="0"/>
    <xf numFmtId="0" fontId="73" fillId="0" borderId="382" applyBorder="0">
      <alignment horizontal="center" vertical="center" wrapText="1"/>
    </xf>
    <xf numFmtId="0" fontId="28" fillId="0" borderId="377"/>
    <xf numFmtId="0" fontId="28" fillId="0" borderId="377"/>
    <xf numFmtId="0" fontId="31" fillId="0" borderId="374" applyNumberFormat="0" applyFill="0" applyAlignment="0" applyProtection="0"/>
    <xf numFmtId="0" fontId="31" fillId="0" borderId="374" applyNumberFormat="0" applyFill="0" applyAlignment="0" applyProtection="0"/>
    <xf numFmtId="0" fontId="31" fillId="0" borderId="379" applyNumberFormat="0" applyFill="0" applyAlignment="0" applyProtection="0"/>
    <xf numFmtId="0" fontId="31" fillId="0" borderId="380" applyNumberFormat="0" applyFill="0" applyAlignment="0" applyProtection="0"/>
    <xf numFmtId="0" fontId="31" fillId="0" borderId="374" applyNumberFormat="0" applyFill="0" applyAlignment="0" applyProtection="0"/>
    <xf numFmtId="0" fontId="31" fillId="0" borderId="381" applyNumberFormat="0" applyFill="0" applyAlignment="0" applyProtection="0"/>
    <xf numFmtId="0" fontId="31" fillId="0" borderId="381" applyNumberFormat="0" applyFill="0" applyAlignment="0" applyProtection="0"/>
    <xf numFmtId="0" fontId="31" fillId="0" borderId="380" applyNumberFormat="0" applyFill="0" applyAlignment="0" applyProtection="0"/>
    <xf numFmtId="0" fontId="31" fillId="0" borderId="381" applyNumberFormat="0" applyFill="0" applyAlignment="0" applyProtection="0"/>
    <xf numFmtId="0" fontId="31" fillId="0" borderId="381" applyNumberFormat="0" applyFill="0" applyAlignment="0" applyProtection="0"/>
    <xf numFmtId="0" fontId="31" fillId="0" borderId="380" applyNumberFormat="0" applyFill="0" applyAlignment="0" applyProtection="0"/>
    <xf numFmtId="0" fontId="85" fillId="0" borderId="377"/>
    <xf numFmtId="0" fontId="85" fillId="0" borderId="377"/>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46" fillId="0" borderId="0"/>
    <xf numFmtId="0" fontId="48" fillId="24" borderId="384" applyNumberFormat="0" applyAlignment="0" applyProtection="0"/>
    <xf numFmtId="0" fontId="48" fillId="24" borderId="384" applyNumberFormat="0" applyAlignment="0" applyProtection="0"/>
    <xf numFmtId="0" fontId="16" fillId="24" borderId="384" applyNumberFormat="0" applyAlignment="0" applyProtection="0"/>
    <xf numFmtId="0" fontId="41" fillId="13" borderId="384" applyNumberFormat="0" applyAlignment="0" applyProtection="0"/>
    <xf numFmtId="0" fontId="25" fillId="8" borderId="384" applyNumberFormat="0" applyAlignment="0" applyProtection="0"/>
    <xf numFmtId="0" fontId="25" fillId="13" borderId="384" applyNumberFormat="0" applyAlignment="0" applyProtection="0"/>
    <xf numFmtId="0" fontId="24" fillId="24" borderId="385" applyNumberFormat="0" applyAlignment="0" applyProtection="0"/>
    <xf numFmtId="0" fontId="31" fillId="26" borderId="386" applyNumberFormat="0" applyAlignment="0" applyProtection="0"/>
    <xf numFmtId="0" fontId="29" fillId="24" borderId="387" applyNumberFormat="0" applyAlignment="0" applyProtection="0"/>
    <xf numFmtId="0" fontId="31" fillId="0" borderId="388" applyNumberFormat="0" applyFill="0" applyAlignment="0" applyProtection="0"/>
    <xf numFmtId="0" fontId="48" fillId="12" borderId="384" applyNumberFormat="0" applyAlignment="0" applyProtection="0"/>
    <xf numFmtId="0" fontId="31" fillId="0" borderId="389" applyNumberFormat="0" applyFill="0" applyAlignment="0" applyProtection="0"/>
    <xf numFmtId="44" fontId="2" fillId="0" borderId="0" applyFont="0" applyFill="0" applyBorder="0" applyAlignment="0" applyProtection="0"/>
  </cellStyleXfs>
  <cellXfs count="536">
    <xf numFmtId="0" fontId="0" fillId="0" borderId="0" xfId="0"/>
    <xf numFmtId="43" fontId="0" fillId="0" borderId="0" xfId="1" applyFont="1"/>
    <xf numFmtId="0" fontId="3" fillId="0" borderId="0" xfId="0" applyFont="1"/>
    <xf numFmtId="0" fontId="0" fillId="0" borderId="0" xfId="0" applyFont="1"/>
    <xf numFmtId="167" fontId="0" fillId="0" borderId="0" xfId="1" applyNumberFormat="1" applyFont="1"/>
    <xf numFmtId="167" fontId="0" fillId="0" borderId="0" xfId="1" applyNumberFormat="1" applyFont="1" applyBorder="1"/>
    <xf numFmtId="167" fontId="0" fillId="0" borderId="1" xfId="1" applyNumberFormat="1" applyFont="1" applyBorder="1"/>
    <xf numFmtId="166" fontId="0" fillId="0" borderId="0" xfId="1" applyNumberFormat="1" applyFont="1"/>
    <xf numFmtId="0" fontId="9" fillId="0" borderId="0" xfId="0" applyFont="1" applyFill="1"/>
    <xf numFmtId="0" fontId="9" fillId="0" borderId="0" xfId="0" applyFont="1" applyFill="1" applyAlignment="1">
      <alignment horizontal="center"/>
    </xf>
    <xf numFmtId="0" fontId="0" fillId="0" borderId="1" xfId="0" applyFont="1" applyBorder="1" applyAlignment="1">
      <alignment horizontal="center"/>
    </xf>
    <xf numFmtId="0" fontId="0" fillId="0" borderId="1" xfId="0" applyFont="1" applyFill="1" applyBorder="1" applyAlignment="1">
      <alignment horizontal="center"/>
    </xf>
    <xf numFmtId="43" fontId="0" fillId="0" borderId="0" xfId="0" applyNumberFormat="1" applyFont="1" applyBorder="1" applyAlignment="1">
      <alignment horizontal="center"/>
    </xf>
    <xf numFmtId="43" fontId="0" fillId="0" borderId="0" xfId="0" applyNumberFormat="1" applyFont="1"/>
    <xf numFmtId="0" fontId="0" fillId="0" borderId="0" xfId="0" applyFont="1" applyAlignment="1">
      <alignment horizontal="left" indent="1"/>
    </xf>
    <xf numFmtId="0" fontId="0" fillId="5" borderId="0" xfId="0" applyFont="1" applyFill="1" applyAlignment="1">
      <alignment horizontal="center"/>
    </xf>
    <xf numFmtId="0" fontId="0" fillId="0" borderId="0" xfId="0" applyFont="1" applyAlignment="1">
      <alignment horizontal="left"/>
    </xf>
    <xf numFmtId="168" fontId="0" fillId="0" borderId="0" xfId="0" applyNumberFormat="1" applyFont="1"/>
    <xf numFmtId="44" fontId="0" fillId="0" borderId="0" xfId="0" applyNumberFormat="1" applyFont="1"/>
    <xf numFmtId="170" fontId="0" fillId="0" borderId="0" xfId="0" applyNumberFormat="1" applyFont="1"/>
    <xf numFmtId="0" fontId="0" fillId="6" borderId="1" xfId="0" applyFont="1" applyFill="1" applyBorder="1" applyAlignment="1">
      <alignment horizontal="center"/>
    </xf>
    <xf numFmtId="0" fontId="0" fillId="6" borderId="1" xfId="0" applyFont="1" applyFill="1" applyBorder="1"/>
    <xf numFmtId="0" fontId="3" fillId="6" borderId="1" xfId="0" applyFont="1" applyFill="1" applyBorder="1"/>
    <xf numFmtId="0" fontId="0" fillId="0" borderId="0" xfId="0" applyFont="1"/>
    <xf numFmtId="43" fontId="0" fillId="0" borderId="0" xfId="0" applyNumberFormat="1" applyFont="1"/>
    <xf numFmtId="0" fontId="3" fillId="0" borderId="0" xfId="0" applyFont="1"/>
    <xf numFmtId="166" fontId="0" fillId="0" borderId="0" xfId="1" applyNumberFormat="1" applyFont="1"/>
    <xf numFmtId="43" fontId="0" fillId="0" borderId="0" xfId="0" applyNumberFormat="1" applyFont="1"/>
    <xf numFmtId="0" fontId="0" fillId="0" borderId="0" xfId="0" applyFont="1" applyAlignment="1">
      <alignment horizontal="left" indent="1"/>
    </xf>
    <xf numFmtId="43" fontId="0" fillId="0" borderId="0" xfId="1" applyFont="1" applyAlignment="1">
      <alignment horizontal="center"/>
    </xf>
    <xf numFmtId="43" fontId="0" fillId="0" borderId="0" xfId="1" applyFont="1" applyFill="1" applyBorder="1"/>
    <xf numFmtId="43" fontId="0" fillId="0" borderId="0" xfId="1" applyFont="1" applyBorder="1"/>
    <xf numFmtId="44" fontId="0" fillId="0" borderId="0" xfId="2" applyFont="1" applyBorder="1" applyAlignment="1">
      <alignment horizontal="right"/>
    </xf>
    <xf numFmtId="10" fontId="0" fillId="0" borderId="0" xfId="3" applyNumberFormat="1" applyFont="1" applyBorder="1" applyAlignment="1">
      <alignment horizontal="right"/>
    </xf>
    <xf numFmtId="166" fontId="0" fillId="0" borderId="0" xfId="1" applyNumberFormat="1" applyFont="1" applyBorder="1" applyAlignment="1">
      <alignment horizontal="right"/>
    </xf>
    <xf numFmtId="166" fontId="0" fillId="0" borderId="0" xfId="1" applyNumberFormat="1" applyFont="1"/>
    <xf numFmtId="0" fontId="0" fillId="0" borderId="0" xfId="0" applyFont="1" applyBorder="1" applyAlignment="1">
      <alignment horizontal="center" wrapText="1"/>
    </xf>
    <xf numFmtId="43" fontId="0" fillId="0" borderId="0" xfId="0" applyNumberFormat="1" applyFont="1" applyBorder="1"/>
    <xf numFmtId="44" fontId="0" fillId="0" borderId="0" xfId="0" applyNumberFormat="1" applyFont="1" applyBorder="1"/>
    <xf numFmtId="0" fontId="11" fillId="0" borderId="0" xfId="4" applyFont="1" applyFill="1" applyBorder="1" applyAlignment="1">
      <alignment horizontal="left"/>
    </xf>
    <xf numFmtId="166" fontId="11" fillId="0" borderId="0" xfId="1" applyNumberFormat="1" applyFont="1" applyFill="1" applyBorder="1" applyAlignment="1">
      <alignment horizontal="left"/>
    </xf>
    <xf numFmtId="43" fontId="0" fillId="0" borderId="0" xfId="0" applyNumberFormat="1" applyFont="1"/>
    <xf numFmtId="0" fontId="0" fillId="0" borderId="0" xfId="0" applyFont="1" applyAlignment="1">
      <alignment horizontal="left" indent="1"/>
    </xf>
    <xf numFmtId="166" fontId="0" fillId="0" borderId="0" xfId="1" applyNumberFormat="1" applyFont="1" applyFill="1" applyBorder="1" applyAlignment="1">
      <alignment horizontal="center" wrapText="1"/>
    </xf>
    <xf numFmtId="0" fontId="0" fillId="0" borderId="0" xfId="0" applyFont="1" applyFill="1" applyBorder="1" applyAlignment="1">
      <alignment horizontal="center" vertical="center"/>
    </xf>
    <xf numFmtId="0" fontId="3" fillId="6" borderId="1" xfId="0" applyFont="1" applyFill="1" applyBorder="1"/>
    <xf numFmtId="0" fontId="12" fillId="6" borderId="1" xfId="4" applyFont="1" applyFill="1" applyBorder="1" applyAlignment="1">
      <alignment horizontal="left"/>
    </xf>
    <xf numFmtId="3" fontId="3" fillId="6" borderId="1" xfId="0" applyNumberFormat="1" applyFont="1" applyFill="1" applyBorder="1" applyAlignment="1">
      <alignment horizontal="right"/>
    </xf>
    <xf numFmtId="43" fontId="0" fillId="6" borderId="1" xfId="0" applyNumberFormat="1" applyFont="1" applyFill="1" applyBorder="1"/>
    <xf numFmtId="44" fontId="0" fillId="0" borderId="0" xfId="1" applyNumberFormat="1" applyFont="1" applyFill="1" applyBorder="1"/>
    <xf numFmtId="166" fontId="0" fillId="0" borderId="0" xfId="1" applyNumberFormat="1" applyFont="1" applyBorder="1"/>
    <xf numFmtId="0" fontId="0" fillId="0" borderId="0" xfId="0" applyFont="1" applyBorder="1"/>
    <xf numFmtId="0" fontId="0" fillId="0" borderId="0" xfId="0" applyFont="1" applyBorder="1" applyAlignment="1">
      <alignment horizontal="right"/>
    </xf>
    <xf numFmtId="0" fontId="0" fillId="0" borderId="0" xfId="0" applyFont="1" applyFill="1" applyBorder="1"/>
    <xf numFmtId="164" fontId="0" fillId="0" borderId="0" xfId="0" applyNumberFormat="1" applyFont="1" applyBorder="1"/>
    <xf numFmtId="0" fontId="0" fillId="0" borderId="0" xfId="0" applyFont="1" applyBorder="1" applyAlignment="1">
      <alignment horizontal="center"/>
    </xf>
    <xf numFmtId="44" fontId="0" fillId="0" borderId="0" xfId="2" applyFont="1" applyFill="1" applyBorder="1"/>
    <xf numFmtId="0" fontId="0" fillId="0" borderId="0" xfId="0" applyFont="1" applyFill="1" applyBorder="1" applyAlignment="1"/>
    <xf numFmtId="0" fontId="9" fillId="0" borderId="0" xfId="4" applyFont="1" applyFill="1" applyBorder="1" applyAlignment="1">
      <alignment horizontal="left"/>
    </xf>
    <xf numFmtId="0" fontId="3" fillId="0" borderId="19" xfId="0" applyFont="1" applyBorder="1"/>
    <xf numFmtId="0" fontId="0" fillId="0" borderId="20" xfId="0" applyFont="1" applyBorder="1"/>
    <xf numFmtId="0" fontId="11" fillId="0" borderId="0" xfId="296" applyFont="1" applyBorder="1"/>
    <xf numFmtId="166" fontId="11" fillId="0" borderId="0" xfId="1" applyNumberFormat="1" applyFont="1" applyFill="1" applyBorder="1"/>
    <xf numFmtId="3" fontId="0" fillId="0" borderId="0" xfId="0" applyNumberFormat="1" applyFont="1" applyBorder="1"/>
    <xf numFmtId="3" fontId="0" fillId="0" borderId="0" xfId="2" applyNumberFormat="1" applyFont="1" applyFill="1" applyBorder="1"/>
    <xf numFmtId="3" fontId="0" fillId="0" borderId="0" xfId="0" applyNumberFormat="1" applyFont="1" applyBorder="1" applyAlignment="1">
      <alignment horizontal="right"/>
    </xf>
    <xf numFmtId="167" fontId="0" fillId="0" borderId="0" xfId="0" applyNumberFormat="1" applyFont="1"/>
    <xf numFmtId="169" fontId="0" fillId="0" borderId="0" xfId="0" applyNumberFormat="1" applyFont="1"/>
    <xf numFmtId="0" fontId="11" fillId="0" borderId="0" xfId="0" applyFont="1" applyFill="1"/>
    <xf numFmtId="10" fontId="0" fillId="0" borderId="0" xfId="0" applyNumberFormat="1" applyFont="1"/>
    <xf numFmtId="44" fontId="0" fillId="0" borderId="0" xfId="2" applyFont="1" applyFill="1"/>
    <xf numFmtId="165" fontId="0" fillId="0" borderId="0" xfId="2" applyNumberFormat="1" applyFont="1" applyFill="1"/>
    <xf numFmtId="165" fontId="0" fillId="0" borderId="1" xfId="2" applyNumberFormat="1" applyFont="1" applyFill="1" applyBorder="1"/>
    <xf numFmtId="169" fontId="0" fillId="0" borderId="0" xfId="2" applyNumberFormat="1" applyFont="1" applyFill="1"/>
    <xf numFmtId="0" fontId="0" fillId="0" borderId="0" xfId="0" applyFont="1" applyAlignment="1">
      <alignment horizontal="left"/>
    </xf>
    <xf numFmtId="43" fontId="3" fillId="0" borderId="0" xfId="0" applyNumberFormat="1" applyFont="1"/>
    <xf numFmtId="0" fontId="3" fillId="0" borderId="0" xfId="0" applyFont="1" applyAlignment="1">
      <alignment horizontal="left" indent="1"/>
    </xf>
    <xf numFmtId="0" fontId="3" fillId="0" borderId="31" xfId="0" applyFont="1" applyBorder="1"/>
    <xf numFmtId="41" fontId="0" fillId="0" borderId="0" xfId="1" applyNumberFormat="1" applyFont="1"/>
    <xf numFmtId="0" fontId="11" fillId="38" borderId="0" xfId="0" applyFont="1" applyFill="1" applyAlignment="1">
      <alignment horizontal="right"/>
    </xf>
    <xf numFmtId="0" fontId="0" fillId="6" borderId="34" xfId="0" applyFont="1" applyFill="1" applyBorder="1" applyAlignment="1">
      <alignment horizontal="center"/>
    </xf>
    <xf numFmtId="0" fontId="0" fillId="0" borderId="0" xfId="0" applyFont="1" applyFill="1" applyBorder="1" applyAlignment="1">
      <alignment horizontal="left"/>
    </xf>
    <xf numFmtId="0" fontId="57" fillId="0" borderId="0" xfId="1" applyNumberFormat="1" applyFont="1" applyFill="1" applyBorder="1" applyAlignment="1">
      <alignment horizontal="left"/>
    </xf>
    <xf numFmtId="0" fontId="0" fillId="0" borderId="0" xfId="1" applyNumberFormat="1" applyFont="1" applyFill="1" applyBorder="1"/>
    <xf numFmtId="10" fontId="0" fillId="0" borderId="0" xfId="3" applyNumberFormat="1" applyFont="1" applyFill="1" applyBorder="1"/>
    <xf numFmtId="3" fontId="3" fillId="6" borderId="32" xfId="0" applyNumberFormat="1" applyFont="1" applyFill="1" applyBorder="1" applyAlignment="1">
      <alignment horizontal="right"/>
    </xf>
    <xf numFmtId="42" fontId="3" fillId="0" borderId="0" xfId="0" applyNumberFormat="1" applyFont="1"/>
    <xf numFmtId="0" fontId="0" fillId="0" borderId="22" xfId="0" applyFont="1" applyBorder="1"/>
    <xf numFmtId="0" fontId="3" fillId="0" borderId="0" xfId="0" applyFont="1" applyFill="1" applyBorder="1"/>
    <xf numFmtId="42" fontId="0" fillId="0" borderId="0" xfId="0" applyNumberFormat="1" applyFont="1" applyFill="1" applyBorder="1" applyAlignment="1">
      <alignment horizontal="right"/>
    </xf>
    <xf numFmtId="0" fontId="0" fillId="0" borderId="2" xfId="0" applyFont="1" applyBorder="1"/>
    <xf numFmtId="0" fontId="0" fillId="0" borderId="23" xfId="0" applyFont="1" applyBorder="1"/>
    <xf numFmtId="0" fontId="0" fillId="6" borderId="32" xfId="0" applyFont="1" applyFill="1" applyBorder="1" applyAlignment="1">
      <alignment horizontal="center" vertical="center"/>
    </xf>
    <xf numFmtId="0" fontId="12" fillId="6" borderId="32" xfId="4" applyFont="1" applyFill="1" applyBorder="1" applyAlignment="1">
      <alignment horizontal="left"/>
    </xf>
    <xf numFmtId="43" fontId="0" fillId="6" borderId="32" xfId="0" applyNumberFormat="1" applyFont="1" applyFill="1" applyBorder="1"/>
    <xf numFmtId="0" fontId="3" fillId="0" borderId="0" xfId="0" applyFont="1" applyBorder="1"/>
    <xf numFmtId="4" fontId="0" fillId="0" borderId="0" xfId="2" applyNumberFormat="1" applyFont="1" applyFill="1" applyBorder="1"/>
    <xf numFmtId="44" fontId="0" fillId="70" borderId="0" xfId="2" applyFont="1" applyFill="1" applyBorder="1"/>
    <xf numFmtId="0" fontId="97" fillId="0" borderId="0" xfId="0" applyFont="1" applyBorder="1"/>
    <xf numFmtId="0" fontId="97" fillId="0" borderId="0" xfId="0" applyFont="1" applyBorder="1" applyAlignment="1">
      <alignment horizontal="right"/>
    </xf>
    <xf numFmtId="43" fontId="0" fillId="0" borderId="0" xfId="0" applyNumberFormat="1" applyFont="1" applyFill="1"/>
    <xf numFmtId="0" fontId="0" fillId="0" borderId="0" xfId="0" applyFill="1" applyAlignment="1">
      <alignment horizontal="right"/>
    </xf>
    <xf numFmtId="0" fontId="0" fillId="0" borderId="0" xfId="0" applyFont="1" applyBorder="1"/>
    <xf numFmtId="166" fontId="0" fillId="0" borderId="0" xfId="1" applyNumberFormat="1" applyFont="1" applyFill="1" applyBorder="1"/>
    <xf numFmtId="0" fontId="0" fillId="6" borderId="1" xfId="0" applyFont="1" applyFill="1" applyBorder="1" applyAlignment="1">
      <alignment horizontal="center"/>
    </xf>
    <xf numFmtId="3" fontId="0" fillId="0" borderId="0" xfId="0" applyNumberFormat="1" applyFont="1" applyFill="1" applyBorder="1"/>
    <xf numFmtId="0" fontId="0" fillId="0" borderId="0" xfId="0" applyFont="1" applyBorder="1" applyAlignment="1">
      <alignment horizontal="left"/>
    </xf>
    <xf numFmtId="43" fontId="0" fillId="0" borderId="0" xfId="0" applyNumberFormat="1" applyFont="1" applyFill="1" applyBorder="1"/>
    <xf numFmtId="166" fontId="0" fillId="0" borderId="0" xfId="1" applyNumberFormat="1" applyFont="1" applyFill="1"/>
    <xf numFmtId="43" fontId="3" fillId="0" borderId="0" xfId="0" applyNumberFormat="1" applyFont="1" applyFill="1"/>
    <xf numFmtId="0" fontId="0" fillId="0" borderId="0" xfId="0" applyFont="1" applyFill="1" applyBorder="1" applyAlignment="1">
      <alignment horizontal="left" vertical="center"/>
    </xf>
    <xf numFmtId="0" fontId="0" fillId="0" borderId="0" xfId="0" applyFont="1" applyFill="1" applyAlignment="1">
      <alignment horizontal="left" indent="1"/>
    </xf>
    <xf numFmtId="0" fontId="0" fillId="0" borderId="0" xfId="0" applyFill="1"/>
    <xf numFmtId="0" fontId="0" fillId="0" borderId="0" xfId="0" applyFont="1" applyFill="1"/>
    <xf numFmtId="0" fontId="96" fillId="0" borderId="0" xfId="6088" applyFont="1" applyFill="1" applyBorder="1"/>
    <xf numFmtId="44" fontId="0" fillId="0" borderId="0" xfId="2" applyFont="1" applyFill="1" applyBorder="1"/>
    <xf numFmtId="0" fontId="0" fillId="0" borderId="0" xfId="0" applyFont="1" applyFill="1" applyBorder="1"/>
    <xf numFmtId="164" fontId="0" fillId="0" borderId="0" xfId="2" applyNumberFormat="1" applyFont="1" applyFill="1" applyBorder="1"/>
    <xf numFmtId="0" fontId="3" fillId="6" borderId="366" xfId="0" applyFont="1" applyFill="1" applyBorder="1" applyAlignment="1">
      <alignment horizontal="center" vertical="center" wrapText="1"/>
    </xf>
    <xf numFmtId="166" fontId="3" fillId="6" borderId="366" xfId="1" applyNumberFormat="1" applyFont="1" applyFill="1" applyBorder="1" applyAlignment="1">
      <alignment horizontal="center" vertical="center" wrapText="1"/>
    </xf>
    <xf numFmtId="3" fontId="3" fillId="6" borderId="366" xfId="0" applyNumberFormat="1" applyFont="1" applyFill="1" applyBorder="1" applyAlignment="1">
      <alignment horizontal="center" vertical="center" wrapText="1"/>
    </xf>
    <xf numFmtId="0" fontId="3" fillId="2" borderId="366" xfId="0" applyFont="1" applyFill="1" applyBorder="1" applyAlignment="1">
      <alignment horizontal="center" vertical="center" wrapText="1"/>
    </xf>
    <xf numFmtId="0" fontId="0" fillId="0" borderId="0" xfId="0" applyFill="1" applyAlignment="1">
      <alignment horizontal="left"/>
    </xf>
    <xf numFmtId="166" fontId="0" fillId="0" borderId="0" xfId="1" applyNumberFormat="1" applyFont="1" applyFill="1" applyAlignment="1">
      <alignment horizontal="right"/>
    </xf>
    <xf numFmtId="0" fontId="3" fillId="2" borderId="0" xfId="0" applyFont="1" applyFill="1" applyAlignment="1">
      <alignment horizontal="center" vertical="center" wrapText="1"/>
    </xf>
    <xf numFmtId="166" fontId="3" fillId="2" borderId="366" xfId="1"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6" borderId="334" xfId="0" applyFont="1" applyFill="1" applyBorder="1" applyAlignment="1">
      <alignment vertical="center" textRotation="90"/>
    </xf>
    <xf numFmtId="0" fontId="3" fillId="6" borderId="1" xfId="0" applyFont="1" applyFill="1" applyBorder="1" applyAlignment="1">
      <alignment vertical="center" textRotation="90"/>
    </xf>
    <xf numFmtId="0" fontId="3" fillId="0" borderId="0" xfId="0" applyFont="1" applyFill="1" applyBorder="1" applyAlignment="1">
      <alignment horizontal="center" vertical="center" textRotation="90"/>
    </xf>
    <xf numFmtId="166" fontId="3" fillId="6" borderId="32" xfId="1" applyNumberFormat="1" applyFont="1" applyFill="1" applyBorder="1" applyAlignment="1">
      <alignment horizontal="right"/>
    </xf>
    <xf numFmtId="166" fontId="3" fillId="6" borderId="1" xfId="1" applyNumberFormat="1" applyFont="1" applyFill="1" applyBorder="1" applyAlignment="1">
      <alignment horizontal="right"/>
    </xf>
    <xf numFmtId="10" fontId="0" fillId="2" borderId="0" xfId="3" applyNumberFormat="1" applyFont="1" applyFill="1" applyBorder="1"/>
    <xf numFmtId="166" fontId="3" fillId="0" borderId="0" xfId="1" applyNumberFormat="1" applyFont="1" applyFill="1" applyBorder="1" applyAlignment="1">
      <alignment horizontal="right"/>
    </xf>
    <xf numFmtId="166" fontId="0" fillId="0" borderId="368" xfId="1" applyNumberFormat="1" applyFont="1" applyFill="1" applyBorder="1"/>
    <xf numFmtId="44" fontId="99" fillId="0" borderId="0" xfId="37393" applyNumberFormat="1" applyBorder="1"/>
    <xf numFmtId="10" fontId="3" fillId="0" borderId="0" xfId="3" applyNumberFormat="1" applyFont="1" applyFill="1" applyBorder="1" applyAlignment="1">
      <alignment horizontal="right"/>
    </xf>
    <xf numFmtId="42" fontId="0" fillId="0" borderId="21" xfId="2" applyNumberFormat="1" applyFont="1" applyFill="1" applyBorder="1"/>
    <xf numFmtId="166" fontId="0" fillId="0" borderId="1" xfId="1" applyNumberFormat="1" applyFont="1" applyFill="1" applyBorder="1"/>
    <xf numFmtId="0" fontId="100" fillId="0" borderId="0" xfId="0" applyFont="1"/>
    <xf numFmtId="0" fontId="3" fillId="70" borderId="0" xfId="0" applyFont="1" applyFill="1" applyAlignment="1">
      <alignment horizontal="center"/>
    </xf>
    <xf numFmtId="0" fontId="101" fillId="0" borderId="0" xfId="0" applyFont="1" applyFill="1" applyAlignment="1">
      <alignment horizontal="center" vertical="center" wrapText="1"/>
    </xf>
    <xf numFmtId="3" fontId="3" fillId="6" borderId="33" xfId="0" applyNumberFormat="1" applyFont="1" applyFill="1" applyBorder="1" applyAlignment="1">
      <alignment horizontal="right"/>
    </xf>
    <xf numFmtId="3" fontId="3" fillId="6" borderId="370" xfId="0" applyNumberFormat="1" applyFont="1" applyFill="1" applyBorder="1" applyAlignment="1">
      <alignment horizontal="right"/>
    </xf>
    <xf numFmtId="0" fontId="0" fillId="6" borderId="367" xfId="0" applyFont="1" applyFill="1" applyBorder="1" applyAlignment="1">
      <alignment horizontal="center"/>
    </xf>
    <xf numFmtId="0" fontId="12" fillId="6" borderId="367" xfId="4" applyFont="1" applyFill="1" applyBorder="1" applyAlignment="1">
      <alignment horizontal="left"/>
    </xf>
    <xf numFmtId="3" fontId="3" fillId="6" borderId="367" xfId="0" applyNumberFormat="1" applyFont="1" applyFill="1" applyBorder="1" applyAlignment="1">
      <alignment horizontal="right"/>
    </xf>
    <xf numFmtId="43" fontId="0" fillId="6" borderId="367" xfId="0" applyNumberFormat="1" applyFont="1" applyFill="1" applyBorder="1"/>
    <xf numFmtId="166" fontId="3" fillId="6" borderId="367" xfId="1" applyNumberFormat="1" applyFont="1" applyFill="1" applyBorder="1" applyAlignment="1">
      <alignment horizontal="right"/>
    </xf>
    <xf numFmtId="0" fontId="97" fillId="0" borderId="0" xfId="0" applyFont="1" applyFill="1" applyBorder="1" applyAlignment="1">
      <alignment horizontal="right"/>
    </xf>
    <xf numFmtId="0" fontId="0" fillId="0" borderId="0" xfId="0" applyFont="1" applyFill="1" applyBorder="1" applyAlignment="1">
      <alignment horizontal="right" wrapText="1"/>
    </xf>
    <xf numFmtId="166" fontId="0" fillId="0" borderId="0" xfId="1" applyNumberFormat="1" applyFont="1" applyFill="1" applyBorder="1" applyAlignment="1">
      <alignment horizontal="center" wrapText="1"/>
    </xf>
    <xf numFmtId="0" fontId="0" fillId="0" borderId="0" xfId="0" applyFont="1" applyFill="1" applyBorder="1" applyAlignment="1">
      <alignment horizontal="center" vertical="center"/>
    </xf>
    <xf numFmtId="3" fontId="3" fillId="6" borderId="1" xfId="0" applyNumberFormat="1" applyFont="1" applyFill="1" applyBorder="1" applyAlignment="1">
      <alignment horizontal="right"/>
    </xf>
    <xf numFmtId="0" fontId="0" fillId="0" borderId="0" xfId="0" applyFont="1" applyFill="1" applyBorder="1"/>
    <xf numFmtId="44" fontId="0" fillId="0" borderId="0" xfId="2" applyFont="1" applyFill="1" applyBorder="1"/>
    <xf numFmtId="166" fontId="0" fillId="0" borderId="0" xfId="1" applyNumberFormat="1" applyFont="1" applyFill="1" applyBorder="1"/>
    <xf numFmtId="43" fontId="0" fillId="0" borderId="0" xfId="1" applyNumberFormat="1" applyFont="1" applyFill="1" applyBorder="1"/>
    <xf numFmtId="3" fontId="3" fillId="6" borderId="367" xfId="0" applyNumberFormat="1" applyFont="1" applyFill="1" applyBorder="1" applyAlignment="1">
      <alignment horizontal="right"/>
    </xf>
    <xf numFmtId="44" fontId="0" fillId="0" borderId="0" xfId="0" applyNumberFormat="1" applyFont="1" applyFill="1" applyBorder="1"/>
    <xf numFmtId="0" fontId="3" fillId="0" borderId="1" xfId="0" applyFont="1" applyFill="1" applyBorder="1" applyAlignment="1">
      <alignment horizontal="center"/>
    </xf>
    <xf numFmtId="0" fontId="3" fillId="6" borderId="371" xfId="0" applyFont="1" applyFill="1" applyBorder="1" applyAlignment="1">
      <alignment vertical="center"/>
    </xf>
    <xf numFmtId="178" fontId="3" fillId="0" borderId="0" xfId="2" applyNumberFormat="1" applyFont="1" applyBorder="1"/>
    <xf numFmtId="0" fontId="3" fillId="75" borderId="0" xfId="0" applyFont="1" applyFill="1" applyAlignment="1">
      <alignment horizontal="center"/>
    </xf>
    <xf numFmtId="0" fontId="3" fillId="77" borderId="0" xfId="0" applyFont="1" applyFill="1" applyAlignment="1">
      <alignment horizontal="center"/>
    </xf>
    <xf numFmtId="44" fontId="0" fillId="76" borderId="0" xfId="2" applyFont="1" applyFill="1" applyBorder="1"/>
    <xf numFmtId="0" fontId="3" fillId="78" borderId="366" xfId="0" applyFont="1" applyFill="1" applyBorder="1" applyAlignment="1">
      <alignment horizontal="center" vertical="center" wrapText="1"/>
    </xf>
    <xf numFmtId="0" fontId="3" fillId="79" borderId="366" xfId="0" applyFont="1" applyFill="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166" fontId="0" fillId="0" borderId="0" xfId="1" applyNumberFormat="1" applyFont="1" applyFill="1" applyBorder="1" applyAlignment="1">
      <alignment horizontal="center" vertical="center" wrapText="1"/>
    </xf>
    <xf numFmtId="44" fontId="0" fillId="0" borderId="0" xfId="2" applyFont="1" applyFill="1" applyBorder="1" applyAlignment="1">
      <alignment horizontal="center" vertical="center" wrapText="1"/>
    </xf>
    <xf numFmtId="3" fontId="0" fillId="0" borderId="0" xfId="2" applyNumberFormat="1" applyFont="1" applyFill="1" applyBorder="1" applyAlignment="1">
      <alignment horizontal="center" vertical="center" wrapText="1"/>
    </xf>
    <xf numFmtId="43" fontId="0" fillId="0" borderId="0" xfId="1" applyNumberFormat="1" applyFont="1" applyFill="1" applyBorder="1" applyAlignment="1">
      <alignment horizontal="center" vertical="center" wrapText="1"/>
    </xf>
    <xf numFmtId="0" fontId="98" fillId="2" borderId="366" xfId="0" applyFont="1" applyFill="1" applyBorder="1" applyAlignment="1">
      <alignment horizontal="center" vertical="center" wrapText="1"/>
    </xf>
    <xf numFmtId="43" fontId="98" fillId="2" borderId="366" xfId="0" applyNumberFormat="1" applyFont="1" applyFill="1" applyBorder="1" applyAlignment="1">
      <alignment horizontal="center" vertical="center" wrapText="1"/>
    </xf>
    <xf numFmtId="3" fontId="96" fillId="0" borderId="0" xfId="6088" applyNumberFormat="1" applyFont="1" applyFill="1" applyBorder="1"/>
    <xf numFmtId="3" fontId="102" fillId="6" borderId="366" xfId="0" applyNumberFormat="1" applyFont="1" applyFill="1" applyBorder="1" applyAlignment="1">
      <alignment horizontal="center" vertical="center" wrapText="1"/>
    </xf>
    <xf numFmtId="0" fontId="3" fillId="76" borderId="0" xfId="0" applyFont="1" applyFill="1" applyBorder="1" applyAlignment="1">
      <alignment horizontal="center"/>
    </xf>
    <xf numFmtId="43" fontId="0" fillId="0" borderId="0" xfId="1" applyNumberFormat="1" applyFont="1" applyFill="1" applyBorder="1" applyAlignment="1">
      <alignment vertical="center"/>
    </xf>
    <xf numFmtId="0" fontId="0" fillId="0" borderId="0" xfId="0" applyFont="1" applyFill="1" applyBorder="1" applyAlignment="1">
      <alignment vertical="center"/>
    </xf>
    <xf numFmtId="10" fontId="0" fillId="0" borderId="0" xfId="3" applyNumberFormat="1" applyFont="1" applyBorder="1"/>
    <xf numFmtId="43" fontId="0" fillId="0" borderId="0" xfId="1" applyNumberFormat="1" applyFont="1" applyBorder="1"/>
    <xf numFmtId="10" fontId="103" fillId="0" borderId="0" xfId="3" applyNumberFormat="1" applyFont="1" applyFill="1" applyBorder="1"/>
    <xf numFmtId="0" fontId="0" fillId="77" borderId="0" xfId="0" applyFill="1" applyAlignment="1">
      <alignment horizontal="right"/>
    </xf>
    <xf numFmtId="0" fontId="0" fillId="77" borderId="0" xfId="0" applyFill="1" applyAlignment="1">
      <alignment horizontal="left"/>
    </xf>
    <xf numFmtId="0" fontId="3" fillId="77" borderId="0" xfId="0" applyFont="1" applyFill="1" applyAlignment="1">
      <alignment horizontal="right"/>
    </xf>
    <xf numFmtId="0" fontId="0" fillId="0" borderId="0" xfId="0" applyFont="1" applyFill="1"/>
    <xf numFmtId="43" fontId="0" fillId="77" borderId="0" xfId="1" applyFont="1" applyFill="1" applyAlignment="1">
      <alignment horizontal="left"/>
    </xf>
    <xf numFmtId="0" fontId="0" fillId="75" borderId="0" xfId="0" applyFont="1" applyFill="1" applyAlignment="1">
      <alignment horizontal="left"/>
    </xf>
    <xf numFmtId="0" fontId="96" fillId="75" borderId="0" xfId="37475" applyFont="1" applyFill="1" applyBorder="1"/>
    <xf numFmtId="0" fontId="96" fillId="75" borderId="0" xfId="37543" applyFont="1" applyFill="1" applyBorder="1"/>
    <xf numFmtId="0" fontId="0" fillId="75" borderId="0" xfId="0" applyFill="1" applyAlignment="1">
      <alignment horizontal="right"/>
    </xf>
    <xf numFmtId="0" fontId="96" fillId="75" borderId="0" xfId="37542" applyFont="1" applyFill="1" applyBorder="1"/>
    <xf numFmtId="0" fontId="3" fillId="75" borderId="0" xfId="0" applyFont="1" applyFill="1" applyAlignment="1">
      <alignment horizontal="right"/>
    </xf>
    <xf numFmtId="43" fontId="0" fillId="75" borderId="0" xfId="1" applyFont="1" applyFill="1" applyAlignment="1">
      <alignment horizontal="left"/>
    </xf>
    <xf numFmtId="0" fontId="0" fillId="75" borderId="0" xfId="0" applyFill="1" applyAlignment="1">
      <alignment horizontal="left"/>
    </xf>
    <xf numFmtId="43" fontId="0" fillId="77" borderId="0" xfId="0" applyNumberFormat="1" applyFill="1" applyAlignment="1">
      <alignment horizontal="right"/>
    </xf>
    <xf numFmtId="43" fontId="0" fillId="75" borderId="0" xfId="0" applyNumberFormat="1" applyFill="1" applyAlignment="1">
      <alignment horizontal="right"/>
    </xf>
    <xf numFmtId="166" fontId="0" fillId="77" borderId="0" xfId="1" applyNumberFormat="1" applyFont="1" applyFill="1" applyAlignment="1">
      <alignment horizontal="right"/>
    </xf>
    <xf numFmtId="166" fontId="0" fillId="75" borderId="0" xfId="1" applyNumberFormat="1" applyFont="1" applyFill="1" applyAlignment="1">
      <alignment horizontal="right"/>
    </xf>
    <xf numFmtId="43" fontId="3" fillId="2" borderId="366" xfId="1" applyFont="1" applyFill="1" applyBorder="1" applyAlignment="1">
      <alignment horizontal="left" vertical="center" wrapText="1"/>
    </xf>
    <xf numFmtId="43" fontId="0" fillId="0" borderId="0" xfId="1" applyFont="1" applyFill="1" applyAlignment="1">
      <alignment horizontal="left"/>
    </xf>
    <xf numFmtId="43" fontId="0" fillId="0" borderId="0" xfId="1" applyNumberFormat="1" applyFont="1" applyFill="1" applyAlignment="1">
      <alignment horizontal="right"/>
    </xf>
    <xf numFmtId="0" fontId="0" fillId="75" borderId="0" xfId="0" applyFont="1" applyFill="1" applyAlignment="1">
      <alignment horizontal="right"/>
    </xf>
    <xf numFmtId="0" fontId="0" fillId="6" borderId="367" xfId="0" applyFont="1" applyFill="1" applyBorder="1" applyAlignment="1">
      <alignment horizontal="center" vertical="center"/>
    </xf>
    <xf numFmtId="0" fontId="0" fillId="0" borderId="0" xfId="0" applyFont="1" applyFill="1" applyBorder="1" applyAlignment="1">
      <alignment horizontal="center"/>
    </xf>
    <xf numFmtId="0" fontId="3" fillId="80" borderId="0" xfId="0" applyFont="1" applyFill="1" applyAlignment="1">
      <alignment horizontal="center"/>
    </xf>
    <xf numFmtId="0" fontId="0" fillId="80" borderId="0" xfId="0" applyFill="1" applyAlignment="1">
      <alignment horizontal="right"/>
    </xf>
    <xf numFmtId="0" fontId="3" fillId="80" borderId="0" xfId="0" applyFont="1" applyFill="1" applyAlignment="1">
      <alignment horizontal="right"/>
    </xf>
    <xf numFmtId="166" fontId="0" fillId="80" borderId="0" xfId="1" applyNumberFormat="1" applyFont="1" applyFill="1" applyAlignment="1">
      <alignment horizontal="right"/>
    </xf>
    <xf numFmtId="43" fontId="0" fillId="80" borderId="0" xfId="0" applyNumberFormat="1" applyFill="1" applyAlignment="1">
      <alignment horizontal="right"/>
    </xf>
    <xf numFmtId="0" fontId="0" fillId="80" borderId="0" xfId="0" applyFill="1" applyAlignment="1">
      <alignment horizontal="left"/>
    </xf>
    <xf numFmtId="43" fontId="0" fillId="80" borderId="0" xfId="1" applyFont="1" applyFill="1" applyAlignment="1">
      <alignment horizontal="left"/>
    </xf>
    <xf numFmtId="0" fontId="0" fillId="80" borderId="0" xfId="0" applyFont="1" applyFill="1" applyAlignment="1">
      <alignment horizontal="left"/>
    </xf>
    <xf numFmtId="0" fontId="107" fillId="0" borderId="0" xfId="6088" applyFont="1" applyFill="1"/>
    <xf numFmtId="0" fontId="108" fillId="0" borderId="0" xfId="6088" applyFont="1" applyFill="1"/>
    <xf numFmtId="0" fontId="108" fillId="0" borderId="0" xfId="6088" applyFont="1"/>
    <xf numFmtId="44" fontId="108" fillId="0" borderId="0" xfId="6088" applyNumberFormat="1" applyFont="1" applyFill="1"/>
    <xf numFmtId="166" fontId="108" fillId="0" borderId="0" xfId="6088" applyNumberFormat="1" applyFont="1"/>
    <xf numFmtId="0" fontId="107" fillId="0" borderId="0" xfId="6088" applyFont="1" applyFill="1" applyAlignment="1">
      <alignment horizontal="center" wrapText="1"/>
    </xf>
    <xf numFmtId="0" fontId="108" fillId="0" borderId="0" xfId="6088" applyFont="1" applyFill="1" applyAlignment="1"/>
    <xf numFmtId="0" fontId="107" fillId="0" borderId="0" xfId="6088" applyFont="1" applyFill="1" applyAlignment="1">
      <alignment horizontal="center"/>
    </xf>
    <xf numFmtId="17" fontId="107" fillId="0" borderId="0" xfId="6088" applyNumberFormat="1" applyFont="1" applyFill="1" applyAlignment="1">
      <alignment horizontal="center" wrapText="1"/>
    </xf>
    <xf numFmtId="0" fontId="109" fillId="0" borderId="0" xfId="6088" applyFont="1" applyFill="1" applyAlignment="1">
      <alignment horizontal="left"/>
    </xf>
    <xf numFmtId="0" fontId="109" fillId="0" borderId="0" xfId="6088" applyFont="1" applyFill="1" applyAlignment="1">
      <alignment horizontal="center"/>
    </xf>
    <xf numFmtId="0" fontId="110" fillId="0" borderId="0" xfId="6088" applyFont="1" applyFill="1" applyAlignment="1">
      <alignment horizontal="center"/>
    </xf>
    <xf numFmtId="0" fontId="111" fillId="0" borderId="0" xfId="37551" applyFont="1"/>
    <xf numFmtId="0" fontId="107" fillId="0" borderId="0" xfId="6088" applyFont="1" applyFill="1" applyAlignment="1">
      <alignment horizontal="left"/>
    </xf>
    <xf numFmtId="0" fontId="108" fillId="0" borderId="0" xfId="6088" applyFont="1" applyFill="1" applyBorder="1"/>
    <xf numFmtId="43" fontId="108" fillId="0" borderId="0" xfId="1310" applyFont="1" applyFill="1"/>
    <xf numFmtId="166" fontId="108" fillId="0" borderId="0" xfId="1310" applyNumberFormat="1" applyFont="1"/>
    <xf numFmtId="166" fontId="108" fillId="0" borderId="0" xfId="1310" applyNumberFormat="1" applyFont="1" applyFill="1"/>
    <xf numFmtId="166" fontId="108" fillId="75" borderId="0" xfId="6088" applyNumberFormat="1" applyFont="1" applyFill="1"/>
    <xf numFmtId="0" fontId="107" fillId="0" borderId="0" xfId="6088" applyFont="1" applyFill="1" applyBorder="1" applyAlignment="1">
      <alignment horizontal="right"/>
    </xf>
    <xf numFmtId="44" fontId="112" fillId="0" borderId="0" xfId="3514" applyFont="1" applyFill="1" applyBorder="1"/>
    <xf numFmtId="43" fontId="108" fillId="0" borderId="367" xfId="1310" applyFont="1" applyFill="1" applyBorder="1"/>
    <xf numFmtId="164" fontId="107" fillId="0" borderId="367" xfId="3514" applyNumberFormat="1" applyFont="1" applyFill="1" applyBorder="1"/>
    <xf numFmtId="0" fontId="107" fillId="0" borderId="0" xfId="6088" applyFont="1" applyFill="1" applyBorder="1"/>
    <xf numFmtId="43" fontId="108" fillId="0" borderId="0" xfId="1310" applyFont="1" applyFill="1" applyBorder="1"/>
    <xf numFmtId="164" fontId="107" fillId="0" borderId="0" xfId="3514" applyNumberFormat="1" applyFont="1" applyFill="1" applyBorder="1"/>
    <xf numFmtId="0" fontId="107" fillId="0" borderId="0" xfId="6088" applyFont="1"/>
    <xf numFmtId="43" fontId="108" fillId="0" borderId="0" xfId="6088" applyNumberFormat="1" applyFont="1"/>
    <xf numFmtId="43" fontId="107" fillId="0" borderId="0" xfId="1310" applyFont="1" applyFill="1"/>
    <xf numFmtId="0" fontId="107" fillId="0" borderId="0" xfId="6088" applyFont="1" applyFill="1" applyAlignment="1">
      <alignment horizontal="right"/>
    </xf>
    <xf numFmtId="166" fontId="107" fillId="0" borderId="0" xfId="1310" applyNumberFormat="1" applyFont="1" applyFill="1" applyAlignment="1">
      <alignment horizontal="right"/>
    </xf>
    <xf numFmtId="44" fontId="108" fillId="0" borderId="0" xfId="6088" applyNumberFormat="1" applyFont="1" applyFill="1" applyAlignment="1">
      <alignment horizontal="center"/>
    </xf>
    <xf numFmtId="0" fontId="110" fillId="0" borderId="0" xfId="6088" applyFont="1" applyAlignment="1">
      <alignment horizontal="center"/>
    </xf>
    <xf numFmtId="0" fontId="86" fillId="0" borderId="0" xfId="6088" applyAlignment="1">
      <alignment horizontal="left" indent="1"/>
    </xf>
    <xf numFmtId="0" fontId="108" fillId="0" borderId="0" xfId="6088" applyFont="1" applyFill="1" applyBorder="1" applyAlignment="1">
      <alignment horizontal="center"/>
    </xf>
    <xf numFmtId="44" fontId="108" fillId="0" borderId="0" xfId="6088" applyNumberFormat="1" applyFont="1"/>
    <xf numFmtId="44" fontId="108" fillId="0" borderId="0" xfId="3514" applyFont="1" applyFill="1"/>
    <xf numFmtId="43" fontId="108" fillId="0" borderId="0" xfId="6088" applyNumberFormat="1" applyFont="1" applyFill="1" applyAlignment="1">
      <alignment horizontal="center"/>
    </xf>
    <xf numFmtId="166" fontId="107" fillId="0" borderId="0" xfId="1310" applyNumberFormat="1" applyFont="1" applyAlignment="1">
      <alignment horizontal="right"/>
    </xf>
    <xf numFmtId="43" fontId="107" fillId="0" borderId="367" xfId="6088" applyNumberFormat="1" applyFont="1" applyFill="1" applyBorder="1"/>
    <xf numFmtId="43" fontId="107" fillId="0" borderId="0" xfId="6088" applyNumberFormat="1" applyFont="1" applyFill="1" applyBorder="1"/>
    <xf numFmtId="43" fontId="107" fillId="0" borderId="369" xfId="6088" applyNumberFormat="1" applyFont="1" applyFill="1" applyBorder="1"/>
    <xf numFmtId="43" fontId="107" fillId="0" borderId="0" xfId="1310" applyFont="1" applyFill="1" applyAlignment="1">
      <alignment horizontal="right"/>
    </xf>
    <xf numFmtId="43" fontId="107" fillId="0" borderId="0" xfId="6088" applyNumberFormat="1" applyFont="1" applyFill="1" applyAlignment="1">
      <alignment horizontal="right"/>
    </xf>
    <xf numFmtId="166" fontId="108" fillId="0" borderId="0" xfId="6088" applyNumberFormat="1" applyFont="1" applyFill="1"/>
    <xf numFmtId="43" fontId="108" fillId="0" borderId="0" xfId="6088" applyNumberFormat="1" applyFont="1" applyFill="1"/>
    <xf numFmtId="43" fontId="108" fillId="81" borderId="0" xfId="1310" applyFont="1" applyFill="1"/>
    <xf numFmtId="166" fontId="107" fillId="0" borderId="0" xfId="1310" applyNumberFormat="1" applyFont="1" applyFill="1"/>
    <xf numFmtId="166" fontId="112" fillId="0" borderId="0" xfId="1310" applyNumberFormat="1" applyFont="1" applyFill="1" applyBorder="1"/>
    <xf numFmtId="166" fontId="107" fillId="0" borderId="0" xfId="1310" applyNumberFormat="1" applyFont="1"/>
    <xf numFmtId="0" fontId="11" fillId="0" borderId="0" xfId="296" applyFont="1" applyFill="1" applyBorder="1"/>
    <xf numFmtId="0" fontId="96" fillId="0" borderId="0" xfId="37543" applyFont="1" applyFill="1" applyBorder="1"/>
    <xf numFmtId="0" fontId="96" fillId="0" borderId="0" xfId="37475" applyFont="1" applyFill="1" applyBorder="1"/>
    <xf numFmtId="0" fontId="96" fillId="0" borderId="0" xfId="37542" applyFont="1" applyFill="1" applyBorder="1"/>
    <xf numFmtId="1" fontId="0" fillId="0" borderId="0" xfId="1" applyNumberFormat="1" applyFont="1" applyFill="1" applyAlignment="1">
      <alignment horizontal="center"/>
    </xf>
    <xf numFmtId="43" fontId="0" fillId="0" borderId="0" xfId="0" applyNumberFormat="1" applyFont="1"/>
    <xf numFmtId="0" fontId="0" fillId="0" borderId="0" xfId="0" applyFont="1" applyAlignment="1">
      <alignment horizontal="left"/>
    </xf>
    <xf numFmtId="0" fontId="9" fillId="77" borderId="0" xfId="0" applyFont="1" applyFill="1" applyAlignment="1">
      <alignment horizontal="left"/>
    </xf>
    <xf numFmtId="44" fontId="11" fillId="70" borderId="0" xfId="2" applyFont="1" applyFill="1" applyBorder="1"/>
    <xf numFmtId="44" fontId="0" fillId="70" borderId="1" xfId="2" applyFont="1" applyFill="1" applyBorder="1"/>
    <xf numFmtId="43" fontId="0" fillId="0" borderId="0" xfId="1" applyNumberFormat="1" applyFont="1" applyFill="1"/>
    <xf numFmtId="0" fontId="0" fillId="0" borderId="1" xfId="0" applyFont="1" applyBorder="1" applyAlignment="1">
      <alignment horizontal="center" wrapText="1"/>
    </xf>
    <xf numFmtId="0" fontId="2" fillId="0" borderId="0" xfId="156"/>
    <xf numFmtId="0" fontId="2" fillId="31" borderId="0" xfId="156" applyFill="1"/>
    <xf numFmtId="0" fontId="72" fillId="0" borderId="390" xfId="156" applyFont="1" applyBorder="1"/>
    <xf numFmtId="0" fontId="72" fillId="0" borderId="368" xfId="156" applyFont="1" applyBorder="1"/>
    <xf numFmtId="0" fontId="2" fillId="0" borderId="368" xfId="156" applyBorder="1"/>
    <xf numFmtId="0" fontId="2" fillId="0" borderId="391" xfId="156" applyBorder="1"/>
    <xf numFmtId="180" fontId="0" fillId="0" borderId="0" xfId="103" applyNumberFormat="1" applyFont="1"/>
    <xf numFmtId="0" fontId="2" fillId="0" borderId="334" xfId="156" applyBorder="1"/>
    <xf numFmtId="0" fontId="2" fillId="0" borderId="0" xfId="156" applyBorder="1"/>
    <xf numFmtId="0" fontId="2" fillId="0" borderId="392" xfId="156" applyBorder="1"/>
    <xf numFmtId="0" fontId="117" fillId="0" borderId="334" xfId="156" applyFont="1" applyBorder="1"/>
    <xf numFmtId="17" fontId="117" fillId="0" borderId="0" xfId="156" applyNumberFormat="1" applyFont="1" applyFill="1" applyAlignment="1">
      <alignment horizontal="center"/>
    </xf>
    <xf numFmtId="0" fontId="117" fillId="0" borderId="392" xfId="156" applyFont="1" applyBorder="1" applyAlignment="1">
      <alignment horizontal="center"/>
    </xf>
    <xf numFmtId="180" fontId="117" fillId="0" borderId="0" xfId="103" applyNumberFormat="1" applyFont="1"/>
    <xf numFmtId="0" fontId="117" fillId="0" borderId="0" xfId="156" applyFont="1"/>
    <xf numFmtId="43" fontId="2" fillId="0" borderId="0" xfId="156" applyNumberFormat="1" applyFill="1" applyBorder="1"/>
    <xf numFmtId="43" fontId="2" fillId="0" borderId="0" xfId="156" applyNumberFormat="1" applyBorder="1"/>
    <xf numFmtId="43" fontId="0" fillId="0" borderId="392" xfId="103" applyFont="1" applyBorder="1"/>
    <xf numFmtId="44" fontId="2" fillId="0" borderId="334" xfId="156" applyNumberFormat="1" applyBorder="1"/>
    <xf numFmtId="181" fontId="2" fillId="0" borderId="392" xfId="156" applyNumberFormat="1" applyBorder="1"/>
    <xf numFmtId="44" fontId="2" fillId="0" borderId="0" xfId="156" applyNumberFormat="1"/>
    <xf numFmtId="44" fontId="2" fillId="0" borderId="0" xfId="156" applyNumberFormat="1" applyFont="1" applyAlignment="1">
      <alignment horizontal="right"/>
    </xf>
    <xf numFmtId="166" fontId="0" fillId="0" borderId="0" xfId="103" applyNumberFormat="1" applyFont="1"/>
    <xf numFmtId="44" fontId="0" fillId="0" borderId="0" xfId="103" applyNumberFormat="1" applyFont="1" applyFill="1" applyBorder="1"/>
    <xf numFmtId="43" fontId="0" fillId="0" borderId="0" xfId="1131" applyFont="1" applyFill="1" applyBorder="1"/>
    <xf numFmtId="43" fontId="0" fillId="0" borderId="0" xfId="103" applyFont="1" applyFill="1" applyBorder="1"/>
    <xf numFmtId="43" fontId="0" fillId="0" borderId="0" xfId="103" applyFont="1" applyBorder="1"/>
    <xf numFmtId="166" fontId="2" fillId="0" borderId="392" xfId="156" applyNumberFormat="1" applyBorder="1"/>
    <xf numFmtId="0" fontId="2" fillId="0" borderId="0" xfId="156" applyFont="1" applyAlignment="1">
      <alignment horizontal="right"/>
    </xf>
    <xf numFmtId="0" fontId="2" fillId="0" borderId="0" xfId="156" applyFill="1" applyBorder="1"/>
    <xf numFmtId="44" fontId="2" fillId="0" borderId="0" xfId="156" applyNumberFormat="1" applyBorder="1"/>
    <xf numFmtId="43" fontId="2" fillId="0" borderId="0" xfId="156" applyNumberFormat="1"/>
    <xf numFmtId="2" fontId="2" fillId="0" borderId="0" xfId="156" applyNumberFormat="1"/>
    <xf numFmtId="0" fontId="119" fillId="82" borderId="393" xfId="156" applyNumberFormat="1" applyFont="1" applyFill="1" applyBorder="1" applyAlignment="1">
      <alignment horizontal="center"/>
    </xf>
    <xf numFmtId="0" fontId="119" fillId="82" borderId="394" xfId="156" applyNumberFormat="1" applyFont="1" applyFill="1" applyBorder="1" applyAlignment="1">
      <alignment horizontal="center"/>
    </xf>
    <xf numFmtId="0" fontId="119" fillId="82" borderId="395" xfId="156" applyNumberFormat="1" applyFont="1" applyFill="1" applyBorder="1" applyAlignment="1">
      <alignment horizontal="center"/>
    </xf>
    <xf numFmtId="0" fontId="119" fillId="82" borderId="396" xfId="156" applyFont="1" applyFill="1" applyBorder="1" applyAlignment="1">
      <alignment horizontal="center"/>
    </xf>
    <xf numFmtId="182" fontId="2" fillId="0" borderId="0" xfId="156" applyNumberFormat="1"/>
    <xf numFmtId="165" fontId="2" fillId="0" borderId="0" xfId="156" applyNumberFormat="1"/>
    <xf numFmtId="0" fontId="2" fillId="0" borderId="390" xfId="156" applyBorder="1"/>
    <xf numFmtId="44" fontId="2" fillId="0" borderId="0" xfId="37564" applyFont="1" applyFill="1" applyBorder="1"/>
    <xf numFmtId="0" fontId="2" fillId="0" borderId="397" xfId="156" applyBorder="1"/>
    <xf numFmtId="0" fontId="2" fillId="0" borderId="1" xfId="156" applyBorder="1"/>
    <xf numFmtId="0" fontId="2" fillId="0" borderId="370" xfId="156" applyBorder="1"/>
    <xf numFmtId="44" fontId="117" fillId="0" borderId="334" xfId="156" applyNumberFormat="1" applyFont="1" applyBorder="1"/>
    <xf numFmtId="44" fontId="117" fillId="0" borderId="0" xfId="156" applyNumberFormat="1" applyFont="1" applyBorder="1"/>
    <xf numFmtId="44" fontId="117" fillId="0" borderId="392" xfId="156" applyNumberFormat="1" applyFont="1" applyBorder="1"/>
    <xf numFmtId="10" fontId="0" fillId="0" borderId="0" xfId="12503" applyNumberFormat="1" applyFont="1"/>
    <xf numFmtId="43" fontId="0" fillId="0" borderId="0" xfId="1131" applyFont="1" applyBorder="1"/>
    <xf numFmtId="44" fontId="2" fillId="0" borderId="392" xfId="156" applyNumberFormat="1" applyBorder="1"/>
    <xf numFmtId="166" fontId="2" fillId="0" borderId="0" xfId="156" applyNumberFormat="1" applyBorder="1"/>
    <xf numFmtId="44" fontId="117" fillId="0" borderId="0" xfId="37564" applyFont="1" applyBorder="1"/>
    <xf numFmtId="44" fontId="117" fillId="0" borderId="0" xfId="3264" applyFont="1" applyBorder="1"/>
    <xf numFmtId="44" fontId="117" fillId="0" borderId="0" xfId="156" applyNumberFormat="1" applyFont="1"/>
    <xf numFmtId="43" fontId="0" fillId="0" borderId="0" xfId="103" applyNumberFormat="1" applyFont="1"/>
    <xf numFmtId="43" fontId="0" fillId="0" borderId="1" xfId="103" applyFont="1" applyBorder="1"/>
    <xf numFmtId="43" fontId="0" fillId="0" borderId="0" xfId="103" applyFont="1"/>
    <xf numFmtId="0" fontId="2" fillId="0" borderId="0" xfId="156" applyNumberFormat="1"/>
    <xf numFmtId="43" fontId="0" fillId="0" borderId="0" xfId="1131" applyFont="1"/>
    <xf numFmtId="183" fontId="0" fillId="0" borderId="0" xfId="103" applyNumberFormat="1" applyFont="1"/>
    <xf numFmtId="0" fontId="117" fillId="0" borderId="390" xfId="156" applyFont="1" applyBorder="1" applyAlignment="1">
      <alignment horizontal="left"/>
    </xf>
    <xf numFmtId="44" fontId="2" fillId="0" borderId="368" xfId="156" applyNumberFormat="1" applyBorder="1"/>
    <xf numFmtId="0" fontId="2" fillId="0" borderId="334" xfId="156" applyFont="1" applyBorder="1" applyAlignment="1">
      <alignment horizontal="right"/>
    </xf>
    <xf numFmtId="0" fontId="2" fillId="0" borderId="0" xfId="156" applyFont="1"/>
    <xf numFmtId="0" fontId="117" fillId="0" borderId="334" xfId="156" applyFont="1" applyBorder="1" applyAlignment="1">
      <alignment horizontal="left"/>
    </xf>
    <xf numFmtId="3" fontId="0" fillId="70" borderId="0" xfId="1" applyNumberFormat="1" applyFont="1" applyFill="1" applyBorder="1" applyAlignment="1">
      <alignment horizontal="right"/>
    </xf>
    <xf numFmtId="166" fontId="3" fillId="0" borderId="0" xfId="1" applyNumberFormat="1" applyFont="1" applyFill="1" applyBorder="1"/>
    <xf numFmtId="164" fontId="3" fillId="0" borderId="0" xfId="2" applyNumberFormat="1" applyFont="1" applyFill="1" applyBorder="1"/>
    <xf numFmtId="44" fontId="0" fillId="0" borderId="0" xfId="2" applyFont="1" applyFill="1" applyAlignment="1">
      <alignment horizontal="right"/>
    </xf>
    <xf numFmtId="0" fontId="11" fillId="77" borderId="0" xfId="0" applyFont="1" applyFill="1" applyAlignment="1">
      <alignment horizontal="left"/>
    </xf>
    <xf numFmtId="43" fontId="11" fillId="77" borderId="0" xfId="1" applyFont="1" applyFill="1" applyAlignment="1">
      <alignment horizontal="left"/>
    </xf>
    <xf numFmtId="0" fontId="11" fillId="77" borderId="0" xfId="0" applyFont="1" applyFill="1" applyAlignment="1">
      <alignment horizontal="right"/>
    </xf>
    <xf numFmtId="43" fontId="11" fillId="77" borderId="0" xfId="0" applyNumberFormat="1" applyFont="1" applyFill="1" applyAlignment="1">
      <alignment horizontal="right"/>
    </xf>
    <xf numFmtId="166" fontId="11" fillId="77" borderId="0" xfId="1" applyNumberFormat="1" applyFont="1" applyFill="1" applyAlignment="1">
      <alignment horizontal="right"/>
    </xf>
    <xf numFmtId="0" fontId="3" fillId="0" borderId="1" xfId="0" applyFont="1" applyFill="1" applyBorder="1" applyAlignment="1">
      <alignment horizontal="center" wrapText="1"/>
    </xf>
    <xf numFmtId="166" fontId="0" fillId="0" borderId="0" xfId="0" applyNumberFormat="1" applyFill="1"/>
    <xf numFmtId="166" fontId="0" fillId="38" borderId="0" xfId="1" applyNumberFormat="1" applyFont="1" applyFill="1"/>
    <xf numFmtId="0" fontId="114" fillId="0" borderId="0" xfId="296" applyFont="1" applyFill="1" applyBorder="1"/>
    <xf numFmtId="0" fontId="114" fillId="0" borderId="0" xfId="0" applyFont="1" applyFill="1" applyAlignment="1">
      <alignment horizontal="left"/>
    </xf>
    <xf numFmtId="166" fontId="3" fillId="0" borderId="0" xfId="0" applyNumberFormat="1" applyFont="1" applyFill="1" applyAlignment="1">
      <alignment horizontal="center" vertical="center" wrapText="1"/>
    </xf>
    <xf numFmtId="166" fontId="3" fillId="0" borderId="0" xfId="1" applyNumberFormat="1" applyFont="1" applyFill="1" applyAlignment="1">
      <alignment horizontal="center" vertical="center" wrapText="1"/>
    </xf>
    <xf numFmtId="179" fontId="3" fillId="0" borderId="0" xfId="3" applyNumberFormat="1" applyFont="1" applyFill="1" applyAlignment="1">
      <alignment horizontal="center" vertical="center" wrapText="1"/>
    </xf>
    <xf numFmtId="0" fontId="103" fillId="0" borderId="0" xfId="0" applyFont="1"/>
    <xf numFmtId="43" fontId="0" fillId="0" borderId="0" xfId="0" applyNumberFormat="1"/>
    <xf numFmtId="166" fontId="0" fillId="0" borderId="0" xfId="1" applyNumberFormat="1" applyFont="1" applyFill="1" applyAlignment="1">
      <alignment horizontal="left"/>
    </xf>
    <xf numFmtId="44" fontId="103" fillId="0" borderId="0" xfId="2" applyFont="1" applyFill="1" applyBorder="1"/>
    <xf numFmtId="164" fontId="2" fillId="0" borderId="0" xfId="2" applyNumberFormat="1" applyFont="1" applyFill="1" applyBorder="1"/>
    <xf numFmtId="164" fontId="2" fillId="0" borderId="0" xfId="2" applyNumberFormat="1" applyFont="1" applyBorder="1"/>
    <xf numFmtId="164" fontId="0" fillId="0" borderId="392" xfId="2" applyNumberFormat="1" applyFont="1" applyBorder="1"/>
    <xf numFmtId="164" fontId="2" fillId="0" borderId="392" xfId="2" applyNumberFormat="1" applyFont="1" applyBorder="1"/>
    <xf numFmtId="164" fontId="0" fillId="0" borderId="0" xfId="2" applyNumberFormat="1" applyFont="1" applyBorder="1"/>
    <xf numFmtId="164" fontId="117" fillId="0" borderId="0" xfId="2" applyNumberFormat="1" applyFont="1" applyFill="1" applyBorder="1"/>
    <xf numFmtId="164" fontId="117" fillId="0" borderId="392" xfId="2" applyNumberFormat="1" applyFont="1" applyBorder="1"/>
    <xf numFmtId="43" fontId="0" fillId="0" borderId="392" xfId="1" applyFont="1" applyBorder="1"/>
    <xf numFmtId="166" fontId="117" fillId="0" borderId="0" xfId="1" applyNumberFormat="1" applyFont="1" applyBorder="1"/>
    <xf numFmtId="166" fontId="117" fillId="0" borderId="392" xfId="1" applyNumberFormat="1" applyFont="1" applyBorder="1"/>
    <xf numFmtId="164" fontId="2" fillId="0" borderId="392" xfId="156" applyNumberFormat="1" applyBorder="1"/>
    <xf numFmtId="164" fontId="117" fillId="0" borderId="392" xfId="156" applyNumberFormat="1" applyFont="1" applyBorder="1"/>
    <xf numFmtId="164" fontId="0" fillId="0" borderId="0" xfId="1131" applyNumberFormat="1" applyFont="1" applyFill="1" applyBorder="1"/>
    <xf numFmtId="164" fontId="0" fillId="0" borderId="0" xfId="103" applyNumberFormat="1" applyFont="1" applyFill="1" applyBorder="1"/>
    <xf numFmtId="164" fontId="0" fillId="0" borderId="392" xfId="3264" applyNumberFormat="1" applyFont="1" applyBorder="1"/>
    <xf numFmtId="0" fontId="116" fillId="0" borderId="0" xfId="156" applyFont="1" applyAlignment="1"/>
    <xf numFmtId="0" fontId="108" fillId="0" borderId="0" xfId="6088" applyFont="1" applyFill="1" applyAlignment="1">
      <alignment horizontal="center"/>
    </xf>
    <xf numFmtId="0" fontId="108" fillId="0" borderId="0" xfId="6088" applyFont="1" applyBorder="1"/>
    <xf numFmtId="44" fontId="108" fillId="0" borderId="0" xfId="6088" applyNumberFormat="1" applyFont="1" applyFill="1" applyBorder="1"/>
    <xf numFmtId="17" fontId="107" fillId="75" borderId="0" xfId="6088" applyNumberFormat="1" applyFont="1" applyFill="1" applyAlignment="1">
      <alignment horizontal="center" wrapText="1"/>
    </xf>
    <xf numFmtId="0" fontId="107" fillId="0" borderId="0" xfId="6088" applyFont="1" applyFill="1" applyBorder="1" applyAlignment="1">
      <alignment horizontal="center" wrapText="1"/>
    </xf>
    <xf numFmtId="0" fontId="108" fillId="75" borderId="0" xfId="6088" applyFont="1" applyFill="1"/>
    <xf numFmtId="0" fontId="110" fillId="75" borderId="0" xfId="6088" applyFont="1" applyFill="1" applyAlignment="1">
      <alignment horizontal="center"/>
    </xf>
    <xf numFmtId="0" fontId="110" fillId="0" borderId="0" xfId="6088" applyFont="1" applyFill="1" applyBorder="1" applyAlignment="1">
      <alignment horizontal="center"/>
    </xf>
    <xf numFmtId="43" fontId="108" fillId="75" borderId="0" xfId="1310" applyFont="1" applyFill="1"/>
    <xf numFmtId="166" fontId="108" fillId="0" borderId="0" xfId="1310" applyNumberFormat="1" applyFont="1" applyBorder="1"/>
    <xf numFmtId="166" fontId="108" fillId="0" borderId="367" xfId="1310" applyNumberFormat="1" applyFont="1" applyFill="1" applyBorder="1"/>
    <xf numFmtId="166" fontId="108" fillId="0" borderId="368" xfId="1310" applyNumberFormat="1" applyFont="1" applyFill="1" applyBorder="1"/>
    <xf numFmtId="166" fontId="108" fillId="0" borderId="0" xfId="1310" applyNumberFormat="1" applyFont="1" applyFill="1" applyBorder="1"/>
    <xf numFmtId="166" fontId="108" fillId="0" borderId="367" xfId="6088" applyNumberFormat="1" applyFont="1" applyBorder="1"/>
    <xf numFmtId="166" fontId="108" fillId="0" borderId="367" xfId="6088" applyNumberFormat="1" applyFont="1" applyFill="1" applyBorder="1"/>
    <xf numFmtId="43" fontId="108" fillId="75" borderId="0" xfId="1310" applyFont="1" applyFill="1" applyBorder="1"/>
    <xf numFmtId="43" fontId="108" fillId="0" borderId="0" xfId="6088" applyNumberFormat="1" applyFont="1" applyBorder="1"/>
    <xf numFmtId="166" fontId="107" fillId="0" borderId="0" xfId="6088" applyNumberFormat="1" applyFont="1" applyBorder="1"/>
    <xf numFmtId="43" fontId="108" fillId="0" borderId="1" xfId="1310" applyFont="1" applyFill="1" applyBorder="1"/>
    <xf numFmtId="0" fontId="107" fillId="75" borderId="0" xfId="6088" applyFont="1" applyFill="1"/>
    <xf numFmtId="0" fontId="107" fillId="0" borderId="398" xfId="6088" applyFont="1" applyFill="1" applyBorder="1"/>
    <xf numFmtId="0" fontId="107" fillId="0" borderId="398" xfId="6088" applyFont="1" applyFill="1" applyBorder="1" applyAlignment="1">
      <alignment horizontal="center"/>
    </xf>
    <xf numFmtId="43" fontId="108" fillId="0" borderId="398" xfId="1310" applyFont="1" applyFill="1" applyBorder="1"/>
    <xf numFmtId="43" fontId="107" fillId="0" borderId="398" xfId="1310" applyFont="1" applyFill="1" applyBorder="1"/>
    <xf numFmtId="43" fontId="107" fillId="0" borderId="71" xfId="1310" applyFont="1" applyFill="1" applyBorder="1"/>
    <xf numFmtId="43" fontId="107" fillId="75" borderId="398" xfId="1310" applyFont="1" applyFill="1" applyBorder="1"/>
    <xf numFmtId="166" fontId="107" fillId="0" borderId="398" xfId="1310" applyNumberFormat="1" applyFont="1" applyFill="1" applyBorder="1"/>
    <xf numFmtId="166" fontId="108" fillId="0" borderId="398" xfId="1310" applyNumberFormat="1" applyFont="1" applyFill="1" applyBorder="1"/>
    <xf numFmtId="166" fontId="108" fillId="0" borderId="398" xfId="1310" applyNumberFormat="1" applyFont="1" applyBorder="1"/>
    <xf numFmtId="0" fontId="107" fillId="75" borderId="398" xfId="6088" applyFont="1" applyFill="1" applyBorder="1"/>
    <xf numFmtId="184" fontId="107" fillId="0" borderId="0" xfId="6088" applyNumberFormat="1" applyFont="1"/>
    <xf numFmtId="43" fontId="107" fillId="75" borderId="0" xfId="1310" applyFont="1" applyFill="1"/>
    <xf numFmtId="166" fontId="107" fillId="0" borderId="0" xfId="1310" applyNumberFormat="1" applyFont="1" applyFill="1" applyBorder="1"/>
    <xf numFmtId="166" fontId="107" fillId="0" borderId="0" xfId="1310" applyNumberFormat="1" applyFont="1" applyFill="1" applyBorder="1" applyAlignment="1">
      <alignment horizontal="right"/>
    </xf>
    <xf numFmtId="0" fontId="110" fillId="0" borderId="0" xfId="6088" applyFont="1" applyBorder="1" applyAlignment="1">
      <alignment horizontal="center"/>
    </xf>
    <xf numFmtId="0" fontId="107" fillId="0" borderId="398" xfId="6088" applyFont="1" applyBorder="1"/>
    <xf numFmtId="164" fontId="107" fillId="0" borderId="0" xfId="6088" applyNumberFormat="1" applyFont="1" applyFill="1" applyBorder="1"/>
    <xf numFmtId="164" fontId="107" fillId="0" borderId="0" xfId="6088" applyNumberFormat="1" applyFont="1" applyFill="1" applyBorder="1" applyAlignment="1">
      <alignment horizontal="right"/>
    </xf>
    <xf numFmtId="44" fontId="108" fillId="0" borderId="0" xfId="3514" applyFont="1" applyFill="1" applyBorder="1"/>
    <xf numFmtId="0" fontId="108" fillId="76" borderId="0" xfId="6088" applyFont="1" applyFill="1"/>
    <xf numFmtId="0" fontId="108" fillId="76" borderId="0" xfId="6088" applyFont="1" applyFill="1" applyBorder="1"/>
    <xf numFmtId="0" fontId="108" fillId="76" borderId="0" xfId="6088" applyFont="1" applyFill="1" applyAlignment="1">
      <alignment horizontal="center"/>
    </xf>
    <xf numFmtId="43" fontId="108" fillId="76" borderId="0" xfId="1310" applyFont="1" applyFill="1"/>
    <xf numFmtId="43" fontId="108" fillId="76" borderId="0" xfId="6088" applyNumberFormat="1" applyFont="1" applyFill="1" applyAlignment="1">
      <alignment horizontal="center"/>
    </xf>
    <xf numFmtId="43" fontId="108" fillId="0" borderId="0" xfId="1310" applyNumberFormat="1" applyFont="1" applyFill="1"/>
    <xf numFmtId="166" fontId="107" fillId="75" borderId="0" xfId="1310" applyNumberFormat="1" applyFont="1" applyFill="1" applyAlignment="1">
      <alignment horizontal="right"/>
    </xf>
    <xf numFmtId="166" fontId="108" fillId="75" borderId="0" xfId="1310" applyNumberFormat="1" applyFont="1" applyFill="1"/>
    <xf numFmtId="0" fontId="107" fillId="0" borderId="369" xfId="6088" applyFont="1" applyBorder="1"/>
    <xf numFmtId="0" fontId="107" fillId="0" borderId="369" xfId="6088" applyFont="1" applyFill="1" applyBorder="1"/>
    <xf numFmtId="0" fontId="107" fillId="0" borderId="369" xfId="6088" applyFont="1" applyFill="1" applyBorder="1" applyAlignment="1">
      <alignment horizontal="center"/>
    </xf>
    <xf numFmtId="43" fontId="108" fillId="0" borderId="369" xfId="1310" applyFont="1" applyFill="1" applyBorder="1"/>
    <xf numFmtId="43" fontId="107" fillId="0" borderId="0" xfId="6088" applyNumberFormat="1" applyFont="1"/>
    <xf numFmtId="166" fontId="107" fillId="0" borderId="0" xfId="1310" applyNumberFormat="1" applyFont="1" applyBorder="1" applyAlignment="1">
      <alignment horizontal="right"/>
    </xf>
    <xf numFmtId="0" fontId="86" fillId="0" borderId="0" xfId="6088"/>
    <xf numFmtId="9" fontId="108" fillId="5" borderId="0" xfId="12862" applyFont="1" applyFill="1"/>
    <xf numFmtId="44" fontId="108" fillId="75" borderId="0" xfId="3514" applyFont="1" applyFill="1"/>
    <xf numFmtId="164" fontId="107" fillId="75" borderId="0" xfId="3514" applyNumberFormat="1" applyFont="1" applyFill="1" applyBorder="1"/>
    <xf numFmtId="43" fontId="107" fillId="0" borderId="367" xfId="1310" applyFont="1" applyFill="1" applyBorder="1"/>
    <xf numFmtId="166" fontId="107" fillId="75" borderId="0" xfId="1310" applyNumberFormat="1" applyFont="1" applyFill="1"/>
    <xf numFmtId="166" fontId="112" fillId="75" borderId="0" xfId="1310" applyNumberFormat="1" applyFont="1" applyFill="1" applyBorder="1"/>
    <xf numFmtId="44" fontId="108" fillId="75" borderId="0" xfId="6088" applyNumberFormat="1" applyFont="1" applyFill="1"/>
    <xf numFmtId="44" fontId="0" fillId="5" borderId="0" xfId="0" applyNumberFormat="1" applyFont="1" applyFill="1" applyBorder="1"/>
    <xf numFmtId="0" fontId="0" fillId="5" borderId="0" xfId="0" applyFont="1" applyFill="1" applyBorder="1"/>
    <xf numFmtId="0" fontId="0" fillId="2" borderId="0" xfId="0" applyFill="1" applyAlignment="1">
      <alignment horizontal="left"/>
    </xf>
    <xf numFmtId="43" fontId="0" fillId="2" borderId="0" xfId="1" applyFont="1" applyFill="1" applyAlignment="1">
      <alignment horizontal="left"/>
    </xf>
    <xf numFmtId="0" fontId="0" fillId="2" borderId="0" xfId="0" applyFill="1" applyAlignment="1">
      <alignment horizontal="right"/>
    </xf>
    <xf numFmtId="43" fontId="0" fillId="2" borderId="0" xfId="0" applyNumberFormat="1" applyFill="1" applyAlignment="1">
      <alignment horizontal="right"/>
    </xf>
    <xf numFmtId="166" fontId="0" fillId="2" borderId="0" xfId="1" applyNumberFormat="1" applyFont="1" applyFill="1" applyAlignment="1">
      <alignment horizontal="right"/>
    </xf>
    <xf numFmtId="166" fontId="9" fillId="0" borderId="0" xfId="1" applyNumberFormat="1" applyFont="1" applyFill="1" applyAlignment="1">
      <alignment horizontal="left"/>
    </xf>
    <xf numFmtId="43" fontId="0" fillId="0" borderId="0" xfId="0" applyNumberFormat="1" applyFill="1"/>
    <xf numFmtId="0" fontId="107" fillId="70" borderId="0" xfId="6088" applyFont="1" applyFill="1" applyAlignment="1"/>
    <xf numFmtId="0" fontId="108" fillId="70" borderId="0" xfId="6088" applyFont="1" applyFill="1" applyAlignment="1"/>
    <xf numFmtId="0" fontId="108" fillId="70" borderId="0" xfId="6088" applyFont="1" applyFill="1"/>
    <xf numFmtId="43" fontId="9" fillId="0" borderId="0" xfId="1" applyNumberFormat="1" applyFont="1" applyFill="1" applyAlignment="1">
      <alignment horizontal="left"/>
    </xf>
    <xf numFmtId="0" fontId="9" fillId="80" borderId="0" xfId="0" applyFont="1" applyFill="1" applyAlignment="1">
      <alignment horizontal="left"/>
    </xf>
    <xf numFmtId="43" fontId="9" fillId="80" borderId="0" xfId="1" applyFont="1" applyFill="1" applyAlignment="1">
      <alignment horizontal="left"/>
    </xf>
    <xf numFmtId="0" fontId="9" fillId="80" borderId="0" xfId="0" applyFont="1" applyFill="1" applyAlignment="1">
      <alignment horizontal="right"/>
    </xf>
    <xf numFmtId="43" fontId="9" fillId="80" borderId="0" xfId="0" applyNumberFormat="1" applyFont="1" applyFill="1" applyAlignment="1">
      <alignment horizontal="right"/>
    </xf>
    <xf numFmtId="166" fontId="9" fillId="80" borderId="0" xfId="1" applyNumberFormat="1" applyFont="1" applyFill="1" applyAlignment="1">
      <alignment horizontal="right"/>
    </xf>
    <xf numFmtId="43" fontId="9" fillId="77" borderId="0" xfId="1" applyFont="1" applyFill="1" applyAlignment="1">
      <alignment horizontal="left"/>
    </xf>
    <xf numFmtId="0" fontId="9" fillId="77" borderId="0" xfId="0" applyFont="1" applyFill="1" applyAlignment="1">
      <alignment horizontal="right"/>
    </xf>
    <xf numFmtId="43" fontId="9" fillId="77" borderId="0" xfId="0" applyNumberFormat="1" applyFont="1" applyFill="1" applyAlignment="1">
      <alignment horizontal="right"/>
    </xf>
    <xf numFmtId="166" fontId="9" fillId="77" borderId="0" xfId="1" applyNumberFormat="1" applyFont="1" applyFill="1" applyAlignment="1">
      <alignment horizontal="right"/>
    </xf>
    <xf numFmtId="166" fontId="9" fillId="0" borderId="0" xfId="1" applyNumberFormat="1" applyFont="1" applyFill="1" applyAlignment="1">
      <alignment horizontal="right"/>
    </xf>
    <xf numFmtId="43" fontId="9" fillId="0" borderId="0" xfId="1" applyNumberFormat="1" applyFont="1" applyFill="1" applyAlignment="1">
      <alignment horizontal="right"/>
    </xf>
    <xf numFmtId="43" fontId="0" fillId="76" borderId="0" xfId="1" applyNumberFormat="1" applyFont="1" applyFill="1"/>
    <xf numFmtId="0" fontId="0" fillId="76" borderId="0" xfId="0" applyFill="1"/>
    <xf numFmtId="0" fontId="2" fillId="0" borderId="334" xfId="156" applyFill="1" applyBorder="1"/>
    <xf numFmtId="43" fontId="2" fillId="78" borderId="0" xfId="1" applyFont="1" applyFill="1" applyBorder="1"/>
    <xf numFmtId="44" fontId="2" fillId="0" borderId="334" xfId="156" applyNumberFormat="1" applyFill="1" applyBorder="1"/>
    <xf numFmtId="44" fontId="2" fillId="78" borderId="0" xfId="2" applyNumberFormat="1" applyFont="1" applyFill="1" applyBorder="1"/>
    <xf numFmtId="44" fontId="2" fillId="0" borderId="0" xfId="2" applyNumberFormat="1" applyFont="1" applyFill="1" applyBorder="1"/>
    <xf numFmtId="43" fontId="2" fillId="78" borderId="0" xfId="156" applyNumberFormat="1" applyFill="1" applyBorder="1"/>
    <xf numFmtId="44" fontId="2" fillId="78" borderId="0" xfId="156" applyNumberFormat="1" applyFill="1" applyBorder="1"/>
    <xf numFmtId="44" fontId="2" fillId="0" borderId="0" xfId="156" applyNumberFormat="1" applyFill="1" applyBorder="1"/>
    <xf numFmtId="43" fontId="2" fillId="78" borderId="0" xfId="156" applyNumberFormat="1" applyFont="1" applyFill="1" applyBorder="1"/>
    <xf numFmtId="0" fontId="2" fillId="78" borderId="0" xfId="156" applyFill="1" applyBorder="1"/>
    <xf numFmtId="0" fontId="108" fillId="77" borderId="0" xfId="6088" applyFont="1" applyFill="1"/>
    <xf numFmtId="0" fontId="108" fillId="77" borderId="0" xfId="6088" applyFont="1" applyFill="1" applyBorder="1"/>
    <xf numFmtId="0" fontId="108" fillId="77" borderId="0" xfId="6088" applyFont="1" applyFill="1" applyAlignment="1">
      <alignment horizontal="center"/>
    </xf>
    <xf numFmtId="43" fontId="108" fillId="77" borderId="0" xfId="1310" applyFont="1" applyFill="1"/>
    <xf numFmtId="166" fontId="108" fillId="77" borderId="0" xfId="1310" applyNumberFormat="1" applyFont="1" applyFill="1"/>
    <xf numFmtId="43" fontId="0" fillId="0" borderId="0" xfId="1" applyFont="1" applyFill="1" applyAlignment="1">
      <alignment horizontal="right"/>
    </xf>
    <xf numFmtId="44" fontId="124" fillId="0" borderId="0" xfId="2" applyFont="1" applyFill="1" applyBorder="1"/>
    <xf numFmtId="43" fontId="103" fillId="0" borderId="0" xfId="1" applyFont="1" applyFill="1" applyBorder="1"/>
    <xf numFmtId="166" fontId="11" fillId="0" borderId="0" xfId="1" applyNumberFormat="1" applyFont="1" applyFill="1" applyAlignment="1">
      <alignment horizontal="right"/>
    </xf>
    <xf numFmtId="166" fontId="9" fillId="0" borderId="0" xfId="1" applyNumberFormat="1" applyFont="1" applyFill="1" applyBorder="1"/>
    <xf numFmtId="10" fontId="124" fillId="0" borderId="0" xfId="3" applyNumberFormat="1" applyFont="1" applyFill="1" applyBorder="1"/>
    <xf numFmtId="0" fontId="3" fillId="75" borderId="338" xfId="0" applyFont="1" applyFill="1" applyBorder="1" applyAlignment="1">
      <alignment vertical="center" textRotation="90"/>
    </xf>
    <xf numFmtId="0" fontId="0" fillId="76" borderId="0" xfId="0" applyFont="1" applyFill="1" applyBorder="1" applyAlignment="1">
      <alignment horizontal="center" vertical="center"/>
    </xf>
    <xf numFmtId="0" fontId="0" fillId="76" borderId="0" xfId="0" applyFill="1" applyAlignment="1">
      <alignment horizontal="left"/>
    </xf>
    <xf numFmtId="0" fontId="0" fillId="76" borderId="0" xfId="0" applyFont="1" applyFill="1" applyBorder="1" applyAlignment="1">
      <alignment horizontal="left" vertical="center"/>
    </xf>
    <xf numFmtId="0" fontId="9" fillId="0" borderId="0" xfId="0" applyFont="1" applyFill="1" applyAlignment="1">
      <alignment horizontal="left"/>
    </xf>
    <xf numFmtId="166" fontId="0" fillId="0" borderId="0" xfId="0" applyNumberFormat="1" applyFont="1" applyBorder="1"/>
    <xf numFmtId="0" fontId="97" fillId="0" borderId="0" xfId="0" applyFont="1" applyFill="1" applyAlignment="1">
      <alignment horizontal="center" vertical="center" wrapText="1"/>
    </xf>
    <xf numFmtId="10" fontId="0" fillId="0" borderId="0" xfId="3" applyNumberFormat="1" applyFont="1"/>
    <xf numFmtId="0" fontId="3" fillId="79" borderId="399" xfId="0" applyFont="1" applyFill="1" applyBorder="1" applyAlignment="1">
      <alignment horizontal="center" vertical="center" wrapText="1"/>
    </xf>
    <xf numFmtId="0" fontId="3" fillId="6" borderId="0" xfId="0" applyFont="1" applyFill="1" applyBorder="1" applyAlignment="1">
      <alignment horizontal="center"/>
    </xf>
    <xf numFmtId="0" fontId="98" fillId="2" borderId="0" xfId="0" applyFont="1" applyFill="1" applyBorder="1" applyAlignment="1">
      <alignment horizontal="center" vertical="center" wrapText="1"/>
    </xf>
    <xf numFmtId="0" fontId="3" fillId="78" borderId="399" xfId="0" applyFont="1" applyFill="1" applyBorder="1" applyAlignment="1">
      <alignment horizontal="center" vertical="center" wrapText="1"/>
    </xf>
    <xf numFmtId="44" fontId="11" fillId="5" borderId="0" xfId="2" applyFont="1" applyFill="1" applyBorder="1"/>
    <xf numFmtId="166" fontId="3" fillId="6" borderId="0" xfId="1" applyNumberFormat="1" applyFont="1" applyFill="1" applyBorder="1" applyAlignment="1">
      <alignment horizontal="center" vertical="center" wrapText="1"/>
    </xf>
    <xf numFmtId="43" fontId="0" fillId="83" borderId="0" xfId="1" applyNumberFormat="1" applyFont="1" applyFill="1"/>
    <xf numFmtId="43" fontId="0" fillId="84" borderId="0" xfId="1" applyNumberFormat="1" applyFont="1" applyFill="1"/>
    <xf numFmtId="43" fontId="0" fillId="70" borderId="0" xfId="1" applyNumberFormat="1" applyFont="1" applyFill="1"/>
    <xf numFmtId="0" fontId="115" fillId="31" borderId="0" xfId="156" applyFont="1" applyFill="1" applyAlignment="1">
      <alignment horizontal="center"/>
    </xf>
    <xf numFmtId="0" fontId="116" fillId="0" borderId="0" xfId="156" applyFont="1" applyAlignment="1">
      <alignment horizontal="center"/>
    </xf>
    <xf numFmtId="0" fontId="0" fillId="6" borderId="0" xfId="0" applyFont="1" applyFill="1" applyAlignment="1">
      <alignment horizontal="center"/>
    </xf>
    <xf numFmtId="0" fontId="3" fillId="6" borderId="1" xfId="0" applyFont="1" applyFill="1" applyBorder="1" applyAlignment="1">
      <alignment horizontal="center"/>
    </xf>
    <xf numFmtId="0" fontId="0" fillId="0" borderId="0" xfId="0" applyFont="1" applyAlignment="1">
      <alignment horizontal="left"/>
    </xf>
    <xf numFmtId="0" fontId="3" fillId="6" borderId="350" xfId="0" applyFont="1" applyFill="1" applyBorder="1" applyAlignment="1">
      <alignment horizontal="center"/>
    </xf>
    <xf numFmtId="0" fontId="3" fillId="6" borderId="367" xfId="0" applyFont="1" applyFill="1" applyBorder="1" applyAlignment="1">
      <alignment horizontal="center"/>
    </xf>
    <xf numFmtId="0" fontId="3" fillId="6" borderId="33" xfId="0" applyFont="1" applyFill="1" applyBorder="1" applyAlignment="1">
      <alignment horizontal="center"/>
    </xf>
    <xf numFmtId="0" fontId="113" fillId="80" borderId="0" xfId="0" applyFont="1" applyFill="1" applyBorder="1" applyAlignment="1">
      <alignment horizontal="center" vertical="center" textRotation="90"/>
    </xf>
    <xf numFmtId="0" fontId="3" fillId="77" borderId="337" xfId="0" applyFont="1" applyFill="1" applyBorder="1" applyAlignment="1">
      <alignment horizontal="center" vertical="center" textRotation="90"/>
    </xf>
    <xf numFmtId="0" fontId="3" fillId="77" borderId="338" xfId="0" applyFont="1" applyFill="1" applyBorder="1" applyAlignment="1">
      <alignment horizontal="center" vertical="center" textRotation="90"/>
    </xf>
    <xf numFmtId="0" fontId="2" fillId="0" borderId="0" xfId="156" applyFill="1" applyAlignment="1">
      <alignment horizontal="center" vertical="center"/>
    </xf>
    <xf numFmtId="43" fontId="118" fillId="0" borderId="1" xfId="156" applyNumberFormat="1" applyFont="1" applyBorder="1" applyAlignment="1">
      <alignment horizontal="center"/>
    </xf>
    <xf numFmtId="0" fontId="115" fillId="31" borderId="0" xfId="156" applyFont="1" applyFill="1" applyAlignment="1">
      <alignment horizontal="center"/>
    </xf>
    <xf numFmtId="0" fontId="116" fillId="0" borderId="0" xfId="156" applyFont="1" applyAlignment="1">
      <alignment horizontal="center"/>
    </xf>
    <xf numFmtId="0" fontId="115" fillId="0" borderId="0" xfId="156" applyFont="1" applyFill="1" applyAlignment="1">
      <alignment horizontal="center" vertical="center"/>
    </xf>
    <xf numFmtId="0" fontId="108" fillId="70" borderId="0" xfId="6088" applyFont="1" applyFill="1" applyAlignment="1">
      <alignment horizontal="center"/>
    </xf>
    <xf numFmtId="0" fontId="108" fillId="70" borderId="0" xfId="6088" applyFont="1" applyFill="1" applyBorder="1" applyAlignment="1">
      <alignment horizontal="center"/>
    </xf>
    <xf numFmtId="0" fontId="122" fillId="0" borderId="0" xfId="6088" applyFont="1" applyAlignment="1">
      <alignment horizontal="left" wrapText="1"/>
    </xf>
    <xf numFmtId="0" fontId="107" fillId="70" borderId="0" xfId="6088" applyFont="1" applyFill="1" applyAlignment="1">
      <alignment horizontal="center" wrapText="1"/>
    </xf>
    <xf numFmtId="0" fontId="125" fillId="0" borderId="0" xfId="0" applyFont="1" applyBorder="1"/>
    <xf numFmtId="43" fontId="114" fillId="70" borderId="0" xfId="1" applyNumberFormat="1" applyFont="1" applyFill="1"/>
    <xf numFmtId="166" fontId="3" fillId="6" borderId="399" xfId="1" applyNumberFormat="1" applyFont="1" applyFill="1" applyBorder="1" applyAlignment="1">
      <alignment horizontal="center" vertical="center" wrapText="1"/>
    </xf>
    <xf numFmtId="0" fontId="103" fillId="0" borderId="0" xfId="0" applyFont="1" applyFill="1"/>
    <xf numFmtId="43" fontId="103" fillId="0" borderId="0" xfId="0" applyNumberFormat="1" applyFont="1" applyFill="1"/>
    <xf numFmtId="43" fontId="124" fillId="0" borderId="0" xfId="0" applyNumberFormat="1" applyFont="1" applyFill="1"/>
    <xf numFmtId="43" fontId="0" fillId="0" borderId="0" xfId="1" applyFont="1" applyFill="1"/>
    <xf numFmtId="0" fontId="126" fillId="31" borderId="0" xfId="156" applyFont="1" applyFill="1"/>
    <xf numFmtId="0" fontId="3" fillId="0" borderId="0" xfId="0" applyFont="1" applyAlignment="1">
      <alignment horizontal="center"/>
    </xf>
    <xf numFmtId="0" fontId="0" fillId="80" borderId="0" xfId="0" applyFill="1" applyAlignment="1">
      <alignment horizontal="center"/>
    </xf>
    <xf numFmtId="0" fontId="3" fillId="0" borderId="0" xfId="0" applyFont="1" applyFill="1" applyAlignment="1">
      <alignment horizontal="center"/>
    </xf>
  </cellXfs>
  <cellStyles count="37565">
    <cellStyle name="20% - Accent1" xfId="13365" builtinId="30" customBuiltin="1"/>
    <cellStyle name="20% - Accent1 2" xfId="40"/>
    <cellStyle name="20% - Accent1 2 2" xfId="297"/>
    <cellStyle name="20% - Accent1 2 2 2" xfId="370"/>
    <cellStyle name="20% - Accent1 2 3" xfId="371"/>
    <cellStyle name="20% - Accent1 2 4" xfId="372"/>
    <cellStyle name="20% - Accent1 2 5" xfId="373"/>
    <cellStyle name="20% - Accent1 2_Rate Sheet" xfId="37406"/>
    <cellStyle name="20% - Accent1 3" xfId="39"/>
    <cellStyle name="20% - Accent1 3 2" xfId="298"/>
    <cellStyle name="20% - Accent1 3 2 2" xfId="374"/>
    <cellStyle name="20% - Accent1 3 3" xfId="375"/>
    <cellStyle name="20% - Accent1 4" xfId="376"/>
    <cellStyle name="20% - Accent1 4 2" xfId="377"/>
    <cellStyle name="20% - Accent1 4 3" xfId="378"/>
    <cellStyle name="20% - Accent1 5" xfId="379"/>
    <cellStyle name="20% - Accent1 6" xfId="380"/>
    <cellStyle name="20% - Accent2" xfId="13369" builtinId="34" customBuiltin="1"/>
    <cellStyle name="20% - Accent2 2" xfId="42"/>
    <cellStyle name="20% - Accent2 2 2" xfId="381"/>
    <cellStyle name="20% - Accent2 2 3" xfId="382"/>
    <cellStyle name="20% - Accent2 3" xfId="41"/>
    <cellStyle name="20% - Accent2 3 2" xfId="384"/>
    <cellStyle name="20% - Accent2 3 3" xfId="385"/>
    <cellStyle name="20% - Accent2 3 4" xfId="383"/>
    <cellStyle name="20% - Accent2 4" xfId="386"/>
    <cellStyle name="20% - Accent2 4 2" xfId="387"/>
    <cellStyle name="20% - Accent2 5" xfId="388"/>
    <cellStyle name="20% - Accent2 6" xfId="389"/>
    <cellStyle name="20% - Accent3" xfId="13373" builtinId="38" customBuiltin="1"/>
    <cellStyle name="20% - Accent3 2" xfId="44"/>
    <cellStyle name="20% - Accent3 2 2" xfId="390"/>
    <cellStyle name="20% - Accent3 3" xfId="43"/>
    <cellStyle name="20% - Accent3 3 2" xfId="392"/>
    <cellStyle name="20% - Accent3 3 3" xfId="393"/>
    <cellStyle name="20% - Accent3 3 4" xfId="391"/>
    <cellStyle name="20% - Accent3 4" xfId="394"/>
    <cellStyle name="20% - Accent3 4 2" xfId="395"/>
    <cellStyle name="20% - Accent3 5" xfId="396"/>
    <cellStyle name="20% - Accent3 6" xfId="397"/>
    <cellStyle name="20% - Accent4" xfId="13377" builtinId="42" customBuiltin="1"/>
    <cellStyle name="20% - Accent4 2" xfId="46"/>
    <cellStyle name="20% - Accent4 2 2" xfId="299"/>
    <cellStyle name="20% - Accent4 2 2 2" xfId="398"/>
    <cellStyle name="20% - Accent4 2 3" xfId="399"/>
    <cellStyle name="20% - Accent4 2_Rate Sheet" xfId="37408"/>
    <cellStyle name="20% - Accent4 3" xfId="45"/>
    <cellStyle name="20% - Accent4 3 2" xfId="300"/>
    <cellStyle name="20% - Accent4 3 2 2" xfId="400"/>
    <cellStyle name="20% - Accent4 3 3" xfId="401"/>
    <cellStyle name="20% - Accent4 4" xfId="402"/>
    <cellStyle name="20% - Accent4 4 2" xfId="403"/>
    <cellStyle name="20% - Accent4 4 3" xfId="404"/>
    <cellStyle name="20% - Accent4 5" xfId="405"/>
    <cellStyle name="20% - Accent4 6" xfId="406"/>
    <cellStyle name="20% - Accent5" xfId="13381" builtinId="46" customBuiltin="1"/>
    <cellStyle name="20% - Accent5 2" xfId="48"/>
    <cellStyle name="20% - Accent5 2 2" xfId="407"/>
    <cellStyle name="20% - Accent5 3" xfId="47"/>
    <cellStyle name="20% - Accent5 3 2" xfId="408"/>
    <cellStyle name="20% - Accent5 3 3" xfId="409"/>
    <cellStyle name="20% - Accent5 4" xfId="410"/>
    <cellStyle name="20% - Accent5 4 2" xfId="411"/>
    <cellStyle name="20% - Accent5 5" xfId="412"/>
    <cellStyle name="20% - Accent6" xfId="13385" builtinId="50" customBuiltin="1"/>
    <cellStyle name="20% - Accent6 2" xfId="50"/>
    <cellStyle name="20% - Accent6 2 2" xfId="413"/>
    <cellStyle name="20% - Accent6 2 3" xfId="414"/>
    <cellStyle name="20% - Accent6 3" xfId="49"/>
    <cellStyle name="20% - Accent6 3 2" xfId="416"/>
    <cellStyle name="20% - Accent6 3 3" xfId="417"/>
    <cellStyle name="20% - Accent6 3 4" xfId="415"/>
    <cellStyle name="20% - Accent6 4" xfId="418"/>
    <cellStyle name="20% - Accent6 4 2" xfId="419"/>
    <cellStyle name="20% - Accent6 5" xfId="420"/>
    <cellStyle name="40% - Accent1" xfId="13366" builtinId="31" customBuiltin="1"/>
    <cellStyle name="40% - Accent1 2" xfId="52"/>
    <cellStyle name="40% - Accent1 2 2" xfId="421"/>
    <cellStyle name="40% - Accent1 2 3" xfId="422"/>
    <cellStyle name="40% - Accent1 3" xfId="51"/>
    <cellStyle name="40% - Accent1 3 2" xfId="301"/>
    <cellStyle name="40% - Accent1 3 2 2" xfId="423"/>
    <cellStyle name="40% - Accent1 3 3" xfId="424"/>
    <cellStyle name="40% - Accent1 4" xfId="425"/>
    <cellStyle name="40% - Accent1 4 2" xfId="426"/>
    <cellStyle name="40% - Accent1 5" xfId="427"/>
    <cellStyle name="40% - Accent1 6" xfId="428"/>
    <cellStyle name="40% - Accent2" xfId="13370" builtinId="35" customBuiltin="1"/>
    <cellStyle name="40% - Accent2 2" xfId="54"/>
    <cellStyle name="40% - Accent2 2 2" xfId="429"/>
    <cellStyle name="40% - Accent2 3" xfId="53"/>
    <cellStyle name="40% - Accent2 3 2" xfId="430"/>
    <cellStyle name="40% - Accent2 3 3" xfId="431"/>
    <cellStyle name="40% - Accent2 4" xfId="432"/>
    <cellStyle name="40% - Accent2 4 2" xfId="433"/>
    <cellStyle name="40% - Accent2 5" xfId="434"/>
    <cellStyle name="40% - Accent3" xfId="13374" builtinId="39" customBuiltin="1"/>
    <cellStyle name="40% - Accent3 2" xfId="56"/>
    <cellStyle name="40% - Accent3 2 2" xfId="435"/>
    <cellStyle name="40% - Accent3 2 3" xfId="436"/>
    <cellStyle name="40% - Accent3 3" xfId="55"/>
    <cellStyle name="40% - Accent3 3 2" xfId="438"/>
    <cellStyle name="40% - Accent3 3 3" xfId="439"/>
    <cellStyle name="40% - Accent3 3 4" xfId="437"/>
    <cellStyle name="40% - Accent3 4" xfId="440"/>
    <cellStyle name="40% - Accent3 4 2" xfId="441"/>
    <cellStyle name="40% - Accent3 5" xfId="442"/>
    <cellStyle name="40% - Accent3 6" xfId="443"/>
    <cellStyle name="40% - Accent4" xfId="13378" builtinId="43" customBuiltin="1"/>
    <cellStyle name="40% - Accent4 2" xfId="58"/>
    <cellStyle name="40% - Accent4 2 2" xfId="444"/>
    <cellStyle name="40% - Accent4 2 3" xfId="445"/>
    <cellStyle name="40% - Accent4 3" xfId="57"/>
    <cellStyle name="40% - Accent4 3 2" xfId="302"/>
    <cellStyle name="40% - Accent4 3 2 2" xfId="446"/>
    <cellStyle name="40% - Accent4 3 3" xfId="447"/>
    <cellStyle name="40% - Accent4 4" xfId="448"/>
    <cellStyle name="40% - Accent4 4 2" xfId="449"/>
    <cellStyle name="40% - Accent4 5" xfId="450"/>
    <cellStyle name="40% - Accent4 6" xfId="451"/>
    <cellStyle name="40% - Accent5" xfId="13382" builtinId="47" customBuiltin="1"/>
    <cellStyle name="40% - Accent5 2" xfId="60"/>
    <cellStyle name="40% - Accent5 2 2" xfId="452"/>
    <cellStyle name="40% - Accent5 2 3" xfId="453"/>
    <cellStyle name="40% - Accent5 3" xfId="59"/>
    <cellStyle name="40% - Accent5 3 2" xfId="455"/>
    <cellStyle name="40% - Accent5 3 3" xfId="456"/>
    <cellStyle name="40% - Accent5 3 4" xfId="454"/>
    <cellStyle name="40% - Accent5 4" xfId="457"/>
    <cellStyle name="40% - Accent5 4 2" xfId="458"/>
    <cellStyle name="40% - Accent5 5" xfId="459"/>
    <cellStyle name="40% - Accent6" xfId="13386" builtinId="51" customBuiltin="1"/>
    <cellStyle name="40% - Accent6 2" xfId="62"/>
    <cellStyle name="40% - Accent6 2 2" xfId="460"/>
    <cellStyle name="40% - Accent6 2 2 2" xfId="461"/>
    <cellStyle name="40% - Accent6 2 3" xfId="462"/>
    <cellStyle name="40% - Accent6 3" xfId="61"/>
    <cellStyle name="40% - Accent6 3 2" xfId="303"/>
    <cellStyle name="40% - Accent6 3 2 2" xfId="463"/>
    <cellStyle name="40% - Accent6 3 3" xfId="464"/>
    <cellStyle name="40% - Accent6 4" xfId="465"/>
    <cellStyle name="40% - Accent6 4 2" xfId="466"/>
    <cellStyle name="40% - Accent6 5" xfId="467"/>
    <cellStyle name="40% - Accent6 6" xfId="468"/>
    <cellStyle name="60% - Accent1" xfId="13367" builtinId="32" customBuiltin="1"/>
    <cellStyle name="60% - Accent1 2" xfId="64"/>
    <cellStyle name="60% - Accent1 2 2" xfId="304"/>
    <cellStyle name="60% - Accent1 2 2 2" xfId="469"/>
    <cellStyle name="60% - Accent1 2 3" xfId="470"/>
    <cellStyle name="60% - Accent1 2 4" xfId="471"/>
    <cellStyle name="60% - Accent1 2_Rate Sheet" xfId="37410"/>
    <cellStyle name="60% - Accent1 3" xfId="63"/>
    <cellStyle name="60% - Accent1 3 2" xfId="305"/>
    <cellStyle name="60% - Accent1 3 3" xfId="472"/>
    <cellStyle name="60% - Accent1 4" xfId="473"/>
    <cellStyle name="60% - Accent1 4 2" xfId="474"/>
    <cellStyle name="60% - Accent2" xfId="13371" builtinId="36" customBuiltin="1"/>
    <cellStyle name="60% - Accent2 2" xfId="66"/>
    <cellStyle name="60% - Accent2 2 2" xfId="475"/>
    <cellStyle name="60% - Accent2 2 3" xfId="476"/>
    <cellStyle name="60% - Accent2 3" xfId="65"/>
    <cellStyle name="60% - Accent2 3 2" xfId="478"/>
    <cellStyle name="60% - Accent2 3 3" xfId="477"/>
    <cellStyle name="60% - Accent2 4" xfId="479"/>
    <cellStyle name="60% - Accent3" xfId="13375" builtinId="40" customBuiltin="1"/>
    <cellStyle name="60% - Accent3 2" xfId="68"/>
    <cellStyle name="60% - Accent3 2 2" xfId="480"/>
    <cellStyle name="60% - Accent3 2 3" xfId="481"/>
    <cellStyle name="60% - Accent3 3" xfId="67"/>
    <cellStyle name="60% - Accent3 3 2" xfId="306"/>
    <cellStyle name="60% - Accent3 3 3" xfId="482"/>
    <cellStyle name="60% - Accent3 4" xfId="483"/>
    <cellStyle name="60% - Accent3 4 2" xfId="484"/>
    <cellStyle name="60% - Accent3 4 3" xfId="485"/>
    <cellStyle name="60% - Accent4" xfId="13379" builtinId="44" customBuiltin="1"/>
    <cellStyle name="60% - Accent4 2" xfId="70"/>
    <cellStyle name="60% - Accent4 2 2" xfId="486"/>
    <cellStyle name="60% - Accent4 2 3" xfId="487"/>
    <cellStyle name="60% - Accent4 3" xfId="69"/>
    <cellStyle name="60% - Accent4 3 2" xfId="307"/>
    <cellStyle name="60% - Accent4 3 3" xfId="488"/>
    <cellStyle name="60% - Accent4 4" xfId="489"/>
    <cellStyle name="60% - Accent4 4 2" xfId="490"/>
    <cellStyle name="60% - Accent4 4 3" xfId="491"/>
    <cellStyle name="60% - Accent5" xfId="13383" builtinId="48" customBuiltin="1"/>
    <cellStyle name="60% - Accent5 2" xfId="72"/>
    <cellStyle name="60% - Accent5 2 2" xfId="308"/>
    <cellStyle name="60% - Accent5 2 2 2" xfId="492"/>
    <cellStyle name="60% - Accent5 2 3" xfId="493"/>
    <cellStyle name="60% - Accent5 2 4" xfId="494"/>
    <cellStyle name="60% - Accent5 2_Rate Sheet" xfId="37411"/>
    <cellStyle name="60% - Accent5 3" xfId="71"/>
    <cellStyle name="60% - Accent5 3 2" xfId="496"/>
    <cellStyle name="60% - Accent5 3 3" xfId="495"/>
    <cellStyle name="60% - Accent5 4" xfId="497"/>
    <cellStyle name="60% - Accent6" xfId="13387" builtinId="52" customBuiltin="1"/>
    <cellStyle name="60% - Accent6 2" xfId="74"/>
    <cellStyle name="60% - Accent6 2 2" xfId="498"/>
    <cellStyle name="60% - Accent6 2 3" xfId="499"/>
    <cellStyle name="60% - Accent6 3" xfId="73"/>
    <cellStyle name="60% - Accent6 3 2" xfId="501"/>
    <cellStyle name="60% - Accent6 3 3" xfId="500"/>
    <cellStyle name="60% - Accent6 4" xfId="502"/>
    <cellStyle name="Accent1" xfId="13364" builtinId="29" customBuiltin="1"/>
    <cellStyle name="Accent1 2" xfId="76"/>
    <cellStyle name="Accent1 2 2" xfId="309"/>
    <cellStyle name="Accent1 2 2 2" xfId="503"/>
    <cellStyle name="Accent1 2 3" xfId="504"/>
    <cellStyle name="Accent1 2 4" xfId="505"/>
    <cellStyle name="Accent1 2_Rate Sheet" xfId="37412"/>
    <cellStyle name="Accent1 3" xfId="75"/>
    <cellStyle name="Accent1 3 2" xfId="310"/>
    <cellStyle name="Accent1 3 3" xfId="506"/>
    <cellStyle name="Accent1 4" xfId="507"/>
    <cellStyle name="Accent1 4 2" xfId="508"/>
    <cellStyle name="Accent2" xfId="13368" builtinId="33" customBuiltin="1"/>
    <cellStyle name="Accent2 2" xfId="78"/>
    <cellStyle name="Accent2 2 2" xfId="509"/>
    <cellStyle name="Accent2 2 3" xfId="510"/>
    <cellStyle name="Accent2 3" xfId="77"/>
    <cellStyle name="Accent2 3 2" xfId="512"/>
    <cellStyle name="Accent2 3 3" xfId="511"/>
    <cellStyle name="Accent2 4" xfId="513"/>
    <cellStyle name="Accent3" xfId="13372" builtinId="37" customBuiltin="1"/>
    <cellStyle name="Accent3 2" xfId="80"/>
    <cellStyle name="Accent3 2 2" xfId="311"/>
    <cellStyle name="Accent3 2 3" xfId="514"/>
    <cellStyle name="Accent3 2 4" xfId="515"/>
    <cellStyle name="Accent3 2_Rate Sheet" xfId="37413"/>
    <cellStyle name="Accent3 3" xfId="79"/>
    <cellStyle name="Accent3 3 2" xfId="517"/>
    <cellStyle name="Accent3 3 3" xfId="516"/>
    <cellStyle name="Accent3 4" xfId="518"/>
    <cellStyle name="Accent4" xfId="13376" builtinId="41" customBuiltin="1"/>
    <cellStyle name="Accent4 2" xfId="82"/>
    <cellStyle name="Accent4 2 2" xfId="519"/>
    <cellStyle name="Accent4 2 2 2" xfId="520"/>
    <cellStyle name="Accent4 2 3" xfId="521"/>
    <cellStyle name="Accent4 3" xfId="81"/>
    <cellStyle name="Accent4 3 2" xfId="523"/>
    <cellStyle name="Accent4 3 3" xfId="522"/>
    <cellStyle name="Accent4 4" xfId="524"/>
    <cellStyle name="Accent5" xfId="13380" builtinId="45" customBuiltin="1"/>
    <cellStyle name="Accent5 2" xfId="84"/>
    <cellStyle name="Accent5 2 2" xfId="525"/>
    <cellStyle name="Accent5 2 2 2" xfId="526"/>
    <cellStyle name="Accent5 2 2 3" xfId="37414"/>
    <cellStyle name="Accent5 2 3" xfId="527"/>
    <cellStyle name="Accent5 2 3 2" xfId="528"/>
    <cellStyle name="Accent5 2 4" xfId="529"/>
    <cellStyle name="Accent5 3" xfId="83"/>
    <cellStyle name="Accent5 4" xfId="530"/>
    <cellStyle name="Accent6" xfId="13384" builtinId="49" customBuiltin="1"/>
    <cellStyle name="Accent6 2" xfId="86"/>
    <cellStyle name="Accent6 2 2" xfId="312"/>
    <cellStyle name="Accent6 2 3" xfId="531"/>
    <cellStyle name="Accent6 2 4" xfId="532"/>
    <cellStyle name="Accent6 2_Rate Sheet" xfId="37415"/>
    <cellStyle name="Accent6 3" xfId="85"/>
    <cellStyle name="Accent6 3 2" xfId="534"/>
    <cellStyle name="Accent6 3 3" xfId="533"/>
    <cellStyle name="Accent6 4" xfId="535"/>
    <cellStyle name="Accounting" xfId="87"/>
    <cellStyle name="Accounting 2" xfId="88"/>
    <cellStyle name="Accounting 2 2" xfId="536"/>
    <cellStyle name="Accounting 3" xfId="89"/>
    <cellStyle name="Accounting 3 2" xfId="537"/>
    <cellStyle name="Accounting 4" xfId="538"/>
    <cellStyle name="Accounting_2011-11" xfId="90"/>
    <cellStyle name="APS" xfId="539"/>
    <cellStyle name="APSLabels" xfId="540"/>
    <cellStyle name="APSLabels 10" xfId="13447"/>
    <cellStyle name="APSLabels 11" xfId="15297"/>
    <cellStyle name="APSLabels 12" xfId="15475"/>
    <cellStyle name="APSLabels 13" xfId="17824"/>
    <cellStyle name="APSLabels 14" xfId="14954"/>
    <cellStyle name="APSLabels 15" xfId="15720"/>
    <cellStyle name="APSLabels 16" xfId="27813"/>
    <cellStyle name="APSLabels 17" xfId="26671"/>
    <cellStyle name="APSLabels 18" xfId="26687"/>
    <cellStyle name="APSLabels 19" xfId="26894"/>
    <cellStyle name="APSLabels 2" xfId="541"/>
    <cellStyle name="APSLabels 2 10" xfId="15233"/>
    <cellStyle name="APSLabels 2 11" xfId="21856"/>
    <cellStyle name="APSLabels 2 12" xfId="21867"/>
    <cellStyle name="APSLabels 2 13" xfId="27778"/>
    <cellStyle name="APSLabels 2 14" xfId="28751"/>
    <cellStyle name="APSLabels 2 15" xfId="26729"/>
    <cellStyle name="APSLabels 2 16" xfId="25983"/>
    <cellStyle name="APSLabels 2 17" xfId="30833"/>
    <cellStyle name="APSLabels 2 18" xfId="35365"/>
    <cellStyle name="APSLabels 2 2" xfId="542"/>
    <cellStyle name="APSLabels 2 2 10" xfId="13575"/>
    <cellStyle name="APSLabels 2 2 11" xfId="14279"/>
    <cellStyle name="APSLabels 2 2 12" xfId="27089"/>
    <cellStyle name="APSLabels 2 2 13" xfId="26160"/>
    <cellStyle name="APSLabels 2 2 14" xfId="27837"/>
    <cellStyle name="APSLabels 2 2 15" xfId="27311"/>
    <cellStyle name="APSLabels 2 2 16" xfId="26877"/>
    <cellStyle name="APSLabels 2 2 17" xfId="35244"/>
    <cellStyle name="APSLabels 2 2 2" xfId="543"/>
    <cellStyle name="APSLabels 2 2 2 10" xfId="29830"/>
    <cellStyle name="APSLabels 2 2 2 11" xfId="31832"/>
    <cellStyle name="APSLabels 2 2 2 12" xfId="32835"/>
    <cellStyle name="APSLabels 2 2 2 13" xfId="33834"/>
    <cellStyle name="APSLabels 2 2 2 14" xfId="36394"/>
    <cellStyle name="APSLabels 2 2 2 2" xfId="544"/>
    <cellStyle name="APSLabels 2 2 2 2 10" xfId="31833"/>
    <cellStyle name="APSLabels 2 2 2 2 11" xfId="32836"/>
    <cellStyle name="APSLabels 2 2 2 2 12" xfId="33835"/>
    <cellStyle name="APSLabels 2 2 2 2 13" xfId="36395"/>
    <cellStyle name="APSLabels 2 2 2 2 2" xfId="15859"/>
    <cellStyle name="APSLabels 2 2 2 2 3" xfId="17865"/>
    <cellStyle name="APSLabels 2 2 2 2 4" xfId="19919"/>
    <cellStyle name="APSLabels 2 2 2 2 5" xfId="21902"/>
    <cellStyle name="APSLabels 2 2 2 2 6" xfId="22907"/>
    <cellStyle name="APSLabels 2 2 2 2 7" xfId="24878"/>
    <cellStyle name="APSLabels 2 2 2 2 8" xfId="28792"/>
    <cellStyle name="APSLabels 2 2 2 2 9" xfId="29831"/>
    <cellStyle name="APSLabels 2 2 2 3" xfId="15858"/>
    <cellStyle name="APSLabels 2 2 2 4" xfId="17864"/>
    <cellStyle name="APSLabels 2 2 2 5" xfId="19918"/>
    <cellStyle name="APSLabels 2 2 2 6" xfId="21901"/>
    <cellStyle name="APSLabels 2 2 2 7" xfId="22906"/>
    <cellStyle name="APSLabels 2 2 2 8" xfId="24877"/>
    <cellStyle name="APSLabels 2 2 2 9" xfId="28791"/>
    <cellStyle name="APSLabels 2 2 3" xfId="545"/>
    <cellStyle name="APSLabels 2 2 3 10" xfId="29832"/>
    <cellStyle name="APSLabels 2 2 3 11" xfId="31834"/>
    <cellStyle name="APSLabels 2 2 3 12" xfId="32837"/>
    <cellStyle name="APSLabels 2 2 3 13" xfId="33836"/>
    <cellStyle name="APSLabels 2 2 3 14" xfId="36396"/>
    <cellStyle name="APSLabels 2 2 3 2" xfId="546"/>
    <cellStyle name="APSLabels 2 2 3 2 10" xfId="31835"/>
    <cellStyle name="APSLabels 2 2 3 2 11" xfId="32838"/>
    <cellStyle name="APSLabels 2 2 3 2 12" xfId="33837"/>
    <cellStyle name="APSLabels 2 2 3 2 13" xfId="36397"/>
    <cellStyle name="APSLabels 2 2 3 2 2" xfId="15861"/>
    <cellStyle name="APSLabels 2 2 3 2 3" xfId="17867"/>
    <cellStyle name="APSLabels 2 2 3 2 4" xfId="19921"/>
    <cellStyle name="APSLabels 2 2 3 2 5" xfId="21904"/>
    <cellStyle name="APSLabels 2 2 3 2 6" xfId="22909"/>
    <cellStyle name="APSLabels 2 2 3 2 7" xfId="24880"/>
    <cellStyle name="APSLabels 2 2 3 2 8" xfId="28794"/>
    <cellStyle name="APSLabels 2 2 3 2 9" xfId="29833"/>
    <cellStyle name="APSLabels 2 2 3 3" xfId="15860"/>
    <cellStyle name="APSLabels 2 2 3 4" xfId="17866"/>
    <cellStyle name="APSLabels 2 2 3 5" xfId="19920"/>
    <cellStyle name="APSLabels 2 2 3 6" xfId="21903"/>
    <cellStyle name="APSLabels 2 2 3 7" xfId="22908"/>
    <cellStyle name="APSLabels 2 2 3 8" xfId="24879"/>
    <cellStyle name="APSLabels 2 2 3 9" xfId="28793"/>
    <cellStyle name="APSLabels 2 2 4" xfId="547"/>
    <cellStyle name="APSLabels 2 2 4 10" xfId="31836"/>
    <cellStyle name="APSLabels 2 2 4 11" xfId="32839"/>
    <cellStyle name="APSLabels 2 2 4 12" xfId="33838"/>
    <cellStyle name="APSLabels 2 2 4 13" xfId="36398"/>
    <cellStyle name="APSLabels 2 2 4 2" xfId="15862"/>
    <cellStyle name="APSLabels 2 2 4 3" xfId="17868"/>
    <cellStyle name="APSLabels 2 2 4 4" xfId="19922"/>
    <cellStyle name="APSLabels 2 2 4 5" xfId="21905"/>
    <cellStyle name="APSLabels 2 2 4 6" xfId="22910"/>
    <cellStyle name="APSLabels 2 2 4 7" xfId="24881"/>
    <cellStyle name="APSLabels 2 2 4 8" xfId="28795"/>
    <cellStyle name="APSLabels 2 2 4 9" xfId="29834"/>
    <cellStyle name="APSLabels 2 2 5" xfId="548"/>
    <cellStyle name="APSLabels 2 2 5 10" xfId="31837"/>
    <cellStyle name="APSLabels 2 2 5 11" xfId="32840"/>
    <cellStyle name="APSLabels 2 2 5 12" xfId="33839"/>
    <cellStyle name="APSLabels 2 2 5 13" xfId="36399"/>
    <cellStyle name="APSLabels 2 2 5 2" xfId="15863"/>
    <cellStyle name="APSLabels 2 2 5 3" xfId="17869"/>
    <cellStyle name="APSLabels 2 2 5 4" xfId="19923"/>
    <cellStyle name="APSLabels 2 2 5 5" xfId="21906"/>
    <cellStyle name="APSLabels 2 2 5 6" xfId="22911"/>
    <cellStyle name="APSLabels 2 2 5 7" xfId="24882"/>
    <cellStyle name="APSLabels 2 2 5 8" xfId="28796"/>
    <cellStyle name="APSLabels 2 2 5 9" xfId="29835"/>
    <cellStyle name="APSLabels 2 2 6" xfId="13927"/>
    <cellStyle name="APSLabels 2 2 7" xfId="13552"/>
    <cellStyle name="APSLabels 2 2 8" xfId="15386"/>
    <cellStyle name="APSLabels 2 2 9" xfId="14288"/>
    <cellStyle name="APSLabels 2 3" xfId="549"/>
    <cellStyle name="APSLabels 2 3 10" xfId="29836"/>
    <cellStyle name="APSLabels 2 3 11" xfId="31838"/>
    <cellStyle name="APSLabels 2 3 12" xfId="32841"/>
    <cellStyle name="APSLabels 2 3 13" xfId="33840"/>
    <cellStyle name="APSLabels 2 3 14" xfId="36400"/>
    <cellStyle name="APSLabels 2 3 2" xfId="550"/>
    <cellStyle name="APSLabels 2 3 2 10" xfId="31839"/>
    <cellStyle name="APSLabels 2 3 2 11" xfId="32842"/>
    <cellStyle name="APSLabels 2 3 2 12" xfId="33841"/>
    <cellStyle name="APSLabels 2 3 2 13" xfId="36401"/>
    <cellStyle name="APSLabels 2 3 2 2" xfId="15865"/>
    <cellStyle name="APSLabels 2 3 2 3" xfId="17871"/>
    <cellStyle name="APSLabels 2 3 2 4" xfId="19925"/>
    <cellStyle name="APSLabels 2 3 2 5" xfId="21908"/>
    <cellStyle name="APSLabels 2 3 2 6" xfId="22913"/>
    <cellStyle name="APSLabels 2 3 2 7" xfId="24884"/>
    <cellStyle name="APSLabels 2 3 2 8" xfId="28798"/>
    <cellStyle name="APSLabels 2 3 2 9" xfId="29837"/>
    <cellStyle name="APSLabels 2 3 3" xfId="15864"/>
    <cellStyle name="APSLabels 2 3 4" xfId="17870"/>
    <cellStyle name="APSLabels 2 3 5" xfId="19924"/>
    <cellStyle name="APSLabels 2 3 6" xfId="21907"/>
    <cellStyle name="APSLabels 2 3 7" xfId="22912"/>
    <cellStyle name="APSLabels 2 3 8" xfId="24883"/>
    <cellStyle name="APSLabels 2 3 9" xfId="28797"/>
    <cellStyle name="APSLabels 2 4" xfId="551"/>
    <cellStyle name="APSLabels 2 4 10" xfId="29838"/>
    <cellStyle name="APSLabels 2 4 11" xfId="31840"/>
    <cellStyle name="APSLabels 2 4 12" xfId="32843"/>
    <cellStyle name="APSLabels 2 4 13" xfId="33842"/>
    <cellStyle name="APSLabels 2 4 14" xfId="36402"/>
    <cellStyle name="APSLabels 2 4 2" xfId="552"/>
    <cellStyle name="APSLabels 2 4 2 10" xfId="31841"/>
    <cellStyle name="APSLabels 2 4 2 11" xfId="32844"/>
    <cellStyle name="APSLabels 2 4 2 12" xfId="33843"/>
    <cellStyle name="APSLabels 2 4 2 13" xfId="36403"/>
    <cellStyle name="APSLabels 2 4 2 2" xfId="15867"/>
    <cellStyle name="APSLabels 2 4 2 3" xfId="17873"/>
    <cellStyle name="APSLabels 2 4 2 4" xfId="19927"/>
    <cellStyle name="APSLabels 2 4 2 5" xfId="21910"/>
    <cellStyle name="APSLabels 2 4 2 6" xfId="22915"/>
    <cellStyle name="APSLabels 2 4 2 7" xfId="24886"/>
    <cellStyle name="APSLabels 2 4 2 8" xfId="28800"/>
    <cellStyle name="APSLabels 2 4 2 9" xfId="29839"/>
    <cellStyle name="APSLabels 2 4 3" xfId="15866"/>
    <cellStyle name="APSLabels 2 4 4" xfId="17872"/>
    <cellStyle name="APSLabels 2 4 5" xfId="19926"/>
    <cellStyle name="APSLabels 2 4 6" xfId="21909"/>
    <cellStyle name="APSLabels 2 4 7" xfId="22914"/>
    <cellStyle name="APSLabels 2 4 8" xfId="24885"/>
    <cellStyle name="APSLabels 2 4 9" xfId="28799"/>
    <cellStyle name="APSLabels 2 5" xfId="553"/>
    <cellStyle name="APSLabels 2 5 10" xfId="31842"/>
    <cellStyle name="APSLabels 2 5 11" xfId="32845"/>
    <cellStyle name="APSLabels 2 5 12" xfId="33844"/>
    <cellStyle name="APSLabels 2 5 13" xfId="36404"/>
    <cellStyle name="APSLabels 2 5 2" xfId="15868"/>
    <cellStyle name="APSLabels 2 5 3" xfId="17874"/>
    <cellStyle name="APSLabels 2 5 4" xfId="19928"/>
    <cellStyle name="APSLabels 2 5 5" xfId="21911"/>
    <cellStyle name="APSLabels 2 5 6" xfId="22916"/>
    <cellStyle name="APSLabels 2 5 7" xfId="24887"/>
    <cellStyle name="APSLabels 2 5 8" xfId="28801"/>
    <cellStyle name="APSLabels 2 5 9" xfId="29840"/>
    <cellStyle name="APSLabels 2 6" xfId="554"/>
    <cellStyle name="APSLabels 2 6 10" xfId="31843"/>
    <cellStyle name="APSLabels 2 6 11" xfId="32846"/>
    <cellStyle name="APSLabels 2 6 12" xfId="33845"/>
    <cellStyle name="APSLabels 2 6 13" xfId="36405"/>
    <cellStyle name="APSLabels 2 6 2" xfId="15869"/>
    <cellStyle name="APSLabels 2 6 3" xfId="17875"/>
    <cellStyle name="APSLabels 2 6 4" xfId="19929"/>
    <cellStyle name="APSLabels 2 6 5" xfId="21912"/>
    <cellStyle name="APSLabels 2 6 6" xfId="22917"/>
    <cellStyle name="APSLabels 2 6 7" xfId="24888"/>
    <cellStyle name="APSLabels 2 6 8" xfId="28802"/>
    <cellStyle name="APSLabels 2 6 9" xfId="29841"/>
    <cellStyle name="APSLabels 2 7" xfId="13644"/>
    <cellStyle name="APSLabels 2 8" xfId="13989"/>
    <cellStyle name="APSLabels 2 9" xfId="14936"/>
    <cellStyle name="APSLabels 20" xfId="32833"/>
    <cellStyle name="APSLabels 21" xfId="35484"/>
    <cellStyle name="APSLabels 22" xfId="37407"/>
    <cellStyle name="APSLabels 3" xfId="555"/>
    <cellStyle name="APSLabels 3 10" xfId="14572"/>
    <cellStyle name="APSLabels 3 11" xfId="14096"/>
    <cellStyle name="APSLabels 3 12" xfId="15270"/>
    <cellStyle name="APSLabels 3 13" xfId="13433"/>
    <cellStyle name="APSLabels 3 14" xfId="26030"/>
    <cellStyle name="APSLabels 3 15" xfId="27236"/>
    <cellStyle name="APSLabels 3 16" xfId="25965"/>
    <cellStyle name="APSLabels 3 17" xfId="25916"/>
    <cellStyle name="APSLabels 3 18" xfId="27535"/>
    <cellStyle name="APSLabels 3 19" xfId="34840"/>
    <cellStyle name="APSLabels 3 2" xfId="556"/>
    <cellStyle name="APSLabels 3 2 10" xfId="29842"/>
    <cellStyle name="APSLabels 3 2 11" xfId="31844"/>
    <cellStyle name="APSLabels 3 2 12" xfId="32847"/>
    <cellStyle name="APSLabels 3 2 13" xfId="33846"/>
    <cellStyle name="APSLabels 3 2 14" xfId="36406"/>
    <cellStyle name="APSLabels 3 2 2" xfId="557"/>
    <cellStyle name="APSLabels 3 2 2 10" xfId="31845"/>
    <cellStyle name="APSLabels 3 2 2 11" xfId="32848"/>
    <cellStyle name="APSLabels 3 2 2 12" xfId="33847"/>
    <cellStyle name="APSLabels 3 2 2 13" xfId="36407"/>
    <cellStyle name="APSLabels 3 2 2 2" xfId="15871"/>
    <cellStyle name="APSLabels 3 2 2 3" xfId="17877"/>
    <cellStyle name="APSLabels 3 2 2 4" xfId="19931"/>
    <cellStyle name="APSLabels 3 2 2 5" xfId="21914"/>
    <cellStyle name="APSLabels 3 2 2 6" xfId="22919"/>
    <cellStyle name="APSLabels 3 2 2 7" xfId="24890"/>
    <cellStyle name="APSLabels 3 2 2 8" xfId="28804"/>
    <cellStyle name="APSLabels 3 2 2 9" xfId="29843"/>
    <cellStyle name="APSLabels 3 2 3" xfId="15870"/>
    <cellStyle name="APSLabels 3 2 4" xfId="17876"/>
    <cellStyle name="APSLabels 3 2 5" xfId="19930"/>
    <cellStyle name="APSLabels 3 2 6" xfId="21913"/>
    <cellStyle name="APSLabels 3 2 7" xfId="22918"/>
    <cellStyle name="APSLabels 3 2 8" xfId="24889"/>
    <cellStyle name="APSLabels 3 2 9" xfId="28803"/>
    <cellStyle name="APSLabels 3 3" xfId="558"/>
    <cellStyle name="APSLabels 3 3 10" xfId="29844"/>
    <cellStyle name="APSLabels 3 3 11" xfId="31846"/>
    <cellStyle name="APSLabels 3 3 12" xfId="32849"/>
    <cellStyle name="APSLabels 3 3 13" xfId="33848"/>
    <cellStyle name="APSLabels 3 3 14" xfId="36408"/>
    <cellStyle name="APSLabels 3 3 2" xfId="559"/>
    <cellStyle name="APSLabels 3 3 2 10" xfId="31847"/>
    <cellStyle name="APSLabels 3 3 2 11" xfId="32850"/>
    <cellStyle name="APSLabels 3 3 2 12" xfId="33849"/>
    <cellStyle name="APSLabels 3 3 2 13" xfId="36409"/>
    <cellStyle name="APSLabels 3 3 2 2" xfId="15873"/>
    <cellStyle name="APSLabels 3 3 2 3" xfId="17879"/>
    <cellStyle name="APSLabels 3 3 2 4" xfId="19933"/>
    <cellStyle name="APSLabels 3 3 2 5" xfId="21916"/>
    <cellStyle name="APSLabels 3 3 2 6" xfId="22921"/>
    <cellStyle name="APSLabels 3 3 2 7" xfId="24892"/>
    <cellStyle name="APSLabels 3 3 2 8" xfId="28806"/>
    <cellStyle name="APSLabels 3 3 2 9" xfId="29845"/>
    <cellStyle name="APSLabels 3 3 3" xfId="15872"/>
    <cellStyle name="APSLabels 3 3 4" xfId="17878"/>
    <cellStyle name="APSLabels 3 3 5" xfId="19932"/>
    <cellStyle name="APSLabels 3 3 6" xfId="21915"/>
    <cellStyle name="APSLabels 3 3 7" xfId="22920"/>
    <cellStyle name="APSLabels 3 3 8" xfId="24891"/>
    <cellStyle name="APSLabels 3 3 9" xfId="28805"/>
    <cellStyle name="APSLabels 3 4" xfId="560"/>
    <cellStyle name="APSLabels 3 4 10" xfId="31848"/>
    <cellStyle name="APSLabels 3 4 11" xfId="32851"/>
    <cellStyle name="APSLabels 3 4 12" xfId="33850"/>
    <cellStyle name="APSLabels 3 4 13" xfId="36410"/>
    <cellStyle name="APSLabels 3 4 2" xfId="15874"/>
    <cellStyle name="APSLabels 3 4 3" xfId="17880"/>
    <cellStyle name="APSLabels 3 4 4" xfId="19934"/>
    <cellStyle name="APSLabels 3 4 5" xfId="21917"/>
    <cellStyle name="APSLabels 3 4 6" xfId="22922"/>
    <cellStyle name="APSLabels 3 4 7" xfId="24893"/>
    <cellStyle name="APSLabels 3 4 8" xfId="28807"/>
    <cellStyle name="APSLabels 3 4 9" xfId="29846"/>
    <cellStyle name="APSLabels 3 5" xfId="561"/>
    <cellStyle name="APSLabels 3 5 10" xfId="31849"/>
    <cellStyle name="APSLabels 3 5 11" xfId="32852"/>
    <cellStyle name="APSLabels 3 5 12" xfId="33851"/>
    <cellStyle name="APSLabels 3 5 13" xfId="36411"/>
    <cellStyle name="APSLabels 3 5 2" xfId="15875"/>
    <cellStyle name="APSLabels 3 5 3" xfId="17881"/>
    <cellStyle name="APSLabels 3 5 4" xfId="19935"/>
    <cellStyle name="APSLabels 3 5 5" xfId="21918"/>
    <cellStyle name="APSLabels 3 5 6" xfId="22923"/>
    <cellStyle name="APSLabels 3 5 7" xfId="24894"/>
    <cellStyle name="APSLabels 3 5 8" xfId="28808"/>
    <cellStyle name="APSLabels 3 5 9" xfId="29847"/>
    <cellStyle name="APSLabels 3 6" xfId="15684"/>
    <cellStyle name="APSLabels 3 7" xfId="13758"/>
    <cellStyle name="APSLabels 3 8" xfId="13620"/>
    <cellStyle name="APSLabels 3 9" xfId="14380"/>
    <cellStyle name="APSLabels 4" xfId="562"/>
    <cellStyle name="APSLabels 4 10" xfId="14275"/>
    <cellStyle name="APSLabels 4 11" xfId="14951"/>
    <cellStyle name="APSLabels 4 12" xfId="13688"/>
    <cellStyle name="APSLabels 4 13" xfId="13854"/>
    <cellStyle name="APSLabels 4 14" xfId="26026"/>
    <cellStyle name="APSLabels 4 15" xfId="27204"/>
    <cellStyle name="APSLabels 4 16" xfId="26780"/>
    <cellStyle name="APSLabels 4 17" xfId="27561"/>
    <cellStyle name="APSLabels 4 18" xfId="26991"/>
    <cellStyle name="APSLabels 4 19" xfId="35250"/>
    <cellStyle name="APSLabels 4 2" xfId="563"/>
    <cellStyle name="APSLabels 4 2 10" xfId="29848"/>
    <cellStyle name="APSLabels 4 2 11" xfId="31850"/>
    <cellStyle name="APSLabels 4 2 12" xfId="32853"/>
    <cellStyle name="APSLabels 4 2 13" xfId="33852"/>
    <cellStyle name="APSLabels 4 2 14" xfId="36412"/>
    <cellStyle name="APSLabels 4 2 2" xfId="564"/>
    <cellStyle name="APSLabels 4 2 2 10" xfId="31851"/>
    <cellStyle name="APSLabels 4 2 2 11" xfId="32854"/>
    <cellStyle name="APSLabels 4 2 2 12" xfId="33853"/>
    <cellStyle name="APSLabels 4 2 2 13" xfId="36413"/>
    <cellStyle name="APSLabels 4 2 2 2" xfId="15877"/>
    <cellStyle name="APSLabels 4 2 2 3" xfId="17883"/>
    <cellStyle name="APSLabels 4 2 2 4" xfId="19937"/>
    <cellStyle name="APSLabels 4 2 2 5" xfId="21920"/>
    <cellStyle name="APSLabels 4 2 2 6" xfId="22925"/>
    <cellStyle name="APSLabels 4 2 2 7" xfId="24896"/>
    <cellStyle name="APSLabels 4 2 2 8" xfId="28810"/>
    <cellStyle name="APSLabels 4 2 2 9" xfId="29849"/>
    <cellStyle name="APSLabels 4 2 3" xfId="15876"/>
    <cellStyle name="APSLabels 4 2 4" xfId="17882"/>
    <cellStyle name="APSLabels 4 2 5" xfId="19936"/>
    <cellStyle name="APSLabels 4 2 6" xfId="21919"/>
    <cellStyle name="APSLabels 4 2 7" xfId="22924"/>
    <cellStyle name="APSLabels 4 2 8" xfId="24895"/>
    <cellStyle name="APSLabels 4 2 9" xfId="28809"/>
    <cellStyle name="APSLabels 4 3" xfId="565"/>
    <cellStyle name="APSLabels 4 3 10" xfId="29850"/>
    <cellStyle name="APSLabels 4 3 11" xfId="31852"/>
    <cellStyle name="APSLabels 4 3 12" xfId="32855"/>
    <cellStyle name="APSLabels 4 3 13" xfId="33854"/>
    <cellStyle name="APSLabels 4 3 14" xfId="36414"/>
    <cellStyle name="APSLabels 4 3 2" xfId="566"/>
    <cellStyle name="APSLabels 4 3 2 10" xfId="31853"/>
    <cellStyle name="APSLabels 4 3 2 11" xfId="32856"/>
    <cellStyle name="APSLabels 4 3 2 12" xfId="33855"/>
    <cellStyle name="APSLabels 4 3 2 13" xfId="36415"/>
    <cellStyle name="APSLabels 4 3 2 2" xfId="15879"/>
    <cellStyle name="APSLabels 4 3 2 3" xfId="17885"/>
    <cellStyle name="APSLabels 4 3 2 4" xfId="19939"/>
    <cellStyle name="APSLabels 4 3 2 5" xfId="21922"/>
    <cellStyle name="APSLabels 4 3 2 6" xfId="22927"/>
    <cellStyle name="APSLabels 4 3 2 7" xfId="24898"/>
    <cellStyle name="APSLabels 4 3 2 8" xfId="28812"/>
    <cellStyle name="APSLabels 4 3 2 9" xfId="29851"/>
    <cellStyle name="APSLabels 4 3 3" xfId="15878"/>
    <cellStyle name="APSLabels 4 3 4" xfId="17884"/>
    <cellStyle name="APSLabels 4 3 5" xfId="19938"/>
    <cellStyle name="APSLabels 4 3 6" xfId="21921"/>
    <cellStyle name="APSLabels 4 3 7" xfId="22926"/>
    <cellStyle name="APSLabels 4 3 8" xfId="24897"/>
    <cellStyle name="APSLabels 4 3 9" xfId="28811"/>
    <cellStyle name="APSLabels 4 4" xfId="567"/>
    <cellStyle name="APSLabels 4 4 10" xfId="31854"/>
    <cellStyle name="APSLabels 4 4 11" xfId="32857"/>
    <cellStyle name="APSLabels 4 4 12" xfId="33856"/>
    <cellStyle name="APSLabels 4 4 13" xfId="36416"/>
    <cellStyle name="APSLabels 4 4 2" xfId="15880"/>
    <cellStyle name="APSLabels 4 4 3" xfId="17886"/>
    <cellStyle name="APSLabels 4 4 4" xfId="19940"/>
    <cellStyle name="APSLabels 4 4 5" xfId="21923"/>
    <cellStyle name="APSLabels 4 4 6" xfId="22928"/>
    <cellStyle name="APSLabels 4 4 7" xfId="24899"/>
    <cellStyle name="APSLabels 4 4 8" xfId="28813"/>
    <cellStyle name="APSLabels 4 4 9" xfId="29852"/>
    <cellStyle name="APSLabels 4 5" xfId="568"/>
    <cellStyle name="APSLabels 4 5 10" xfId="31855"/>
    <cellStyle name="APSLabels 4 5 11" xfId="32858"/>
    <cellStyle name="APSLabels 4 5 12" xfId="33857"/>
    <cellStyle name="APSLabels 4 5 13" xfId="36417"/>
    <cellStyle name="APSLabels 4 5 2" xfId="15881"/>
    <cellStyle name="APSLabels 4 5 3" xfId="17887"/>
    <cellStyle name="APSLabels 4 5 4" xfId="19941"/>
    <cellStyle name="APSLabels 4 5 5" xfId="21924"/>
    <cellStyle name="APSLabels 4 5 6" xfId="22929"/>
    <cellStyle name="APSLabels 4 5 7" xfId="24900"/>
    <cellStyle name="APSLabels 4 5 8" xfId="28814"/>
    <cellStyle name="APSLabels 4 5 9" xfId="29853"/>
    <cellStyle name="APSLabels 4 6" xfId="14854"/>
    <cellStyle name="APSLabels 4 7" xfId="13545"/>
    <cellStyle name="APSLabels 4 8" xfId="15765"/>
    <cellStyle name="APSLabels 4 9" xfId="14383"/>
    <cellStyle name="APSLabels 5" xfId="569"/>
    <cellStyle name="APSLabels 5 10" xfId="29854"/>
    <cellStyle name="APSLabels 5 11" xfId="31856"/>
    <cellStyle name="APSLabels 5 12" xfId="32859"/>
    <cellStyle name="APSLabels 5 13" xfId="33858"/>
    <cellStyle name="APSLabels 5 14" xfId="36418"/>
    <cellStyle name="APSLabels 5 2" xfId="570"/>
    <cellStyle name="APSLabels 5 2 10" xfId="31857"/>
    <cellStyle name="APSLabels 5 2 11" xfId="32860"/>
    <cellStyle name="APSLabels 5 2 12" xfId="33859"/>
    <cellStyle name="APSLabels 5 2 13" xfId="36419"/>
    <cellStyle name="APSLabels 5 2 2" xfId="15883"/>
    <cellStyle name="APSLabels 5 2 3" xfId="17889"/>
    <cellStyle name="APSLabels 5 2 4" xfId="19943"/>
    <cellStyle name="APSLabels 5 2 5" xfId="21926"/>
    <cellStyle name="APSLabels 5 2 6" xfId="22931"/>
    <cellStyle name="APSLabels 5 2 7" xfId="24902"/>
    <cellStyle name="APSLabels 5 2 8" xfId="28816"/>
    <cellStyle name="APSLabels 5 2 9" xfId="29855"/>
    <cellStyle name="APSLabels 5 3" xfId="15882"/>
    <cellStyle name="APSLabels 5 4" xfId="17888"/>
    <cellStyle name="APSLabels 5 5" xfId="19942"/>
    <cellStyle name="APSLabels 5 6" xfId="21925"/>
    <cellStyle name="APSLabels 5 7" xfId="22930"/>
    <cellStyle name="APSLabels 5 8" xfId="24901"/>
    <cellStyle name="APSLabels 5 9" xfId="28815"/>
    <cellStyle name="APSLabels 6" xfId="571"/>
    <cellStyle name="APSLabels 6 10" xfId="29856"/>
    <cellStyle name="APSLabels 6 11" xfId="31858"/>
    <cellStyle name="APSLabels 6 12" xfId="32861"/>
    <cellStyle name="APSLabels 6 13" xfId="33860"/>
    <cellStyle name="APSLabels 6 14" xfId="36420"/>
    <cellStyle name="APSLabels 6 2" xfId="572"/>
    <cellStyle name="APSLabels 6 2 10" xfId="31859"/>
    <cellStyle name="APSLabels 6 2 11" xfId="32862"/>
    <cellStyle name="APSLabels 6 2 12" xfId="33861"/>
    <cellStyle name="APSLabels 6 2 13" xfId="36421"/>
    <cellStyle name="APSLabels 6 2 2" xfId="15885"/>
    <cellStyle name="APSLabels 6 2 3" xfId="17891"/>
    <cellStyle name="APSLabels 6 2 4" xfId="19945"/>
    <cellStyle name="APSLabels 6 2 5" xfId="21928"/>
    <cellStyle name="APSLabels 6 2 6" xfId="22933"/>
    <cellStyle name="APSLabels 6 2 7" xfId="24904"/>
    <cellStyle name="APSLabels 6 2 8" xfId="28818"/>
    <cellStyle name="APSLabels 6 2 9" xfId="29857"/>
    <cellStyle name="APSLabels 6 3" xfId="15884"/>
    <cellStyle name="APSLabels 6 4" xfId="17890"/>
    <cellStyle name="APSLabels 6 5" xfId="19944"/>
    <cellStyle name="APSLabels 6 6" xfId="21927"/>
    <cellStyle name="APSLabels 6 7" xfId="22932"/>
    <cellStyle name="APSLabels 6 8" xfId="24903"/>
    <cellStyle name="APSLabels 6 9" xfId="28817"/>
    <cellStyle name="APSLabels 7" xfId="573"/>
    <cellStyle name="APSLabels 7 10" xfId="31860"/>
    <cellStyle name="APSLabels 7 11" xfId="32863"/>
    <cellStyle name="APSLabels 7 12" xfId="33862"/>
    <cellStyle name="APSLabels 7 13" xfId="36422"/>
    <cellStyle name="APSLabels 7 2" xfId="15886"/>
    <cellStyle name="APSLabels 7 3" xfId="17892"/>
    <cellStyle name="APSLabels 7 4" xfId="19946"/>
    <cellStyle name="APSLabels 7 5" xfId="21929"/>
    <cellStyle name="APSLabels 7 6" xfId="22934"/>
    <cellStyle name="APSLabels 7 7" xfId="24905"/>
    <cellStyle name="APSLabels 7 8" xfId="28819"/>
    <cellStyle name="APSLabels 7 9" xfId="29858"/>
    <cellStyle name="APSLabels 8" xfId="574"/>
    <cellStyle name="APSLabels 8 10" xfId="31861"/>
    <cellStyle name="APSLabels 8 11" xfId="32864"/>
    <cellStyle name="APSLabels 8 12" xfId="33863"/>
    <cellStyle name="APSLabels 8 13" xfId="36423"/>
    <cellStyle name="APSLabels 8 2" xfId="15887"/>
    <cellStyle name="APSLabels 8 3" xfId="17893"/>
    <cellStyle name="APSLabels 8 4" xfId="19947"/>
    <cellStyle name="APSLabels 8 5" xfId="21930"/>
    <cellStyle name="APSLabels 8 6" xfId="22935"/>
    <cellStyle name="APSLabels 8 7" xfId="24906"/>
    <cellStyle name="APSLabels 8 8" xfId="28820"/>
    <cellStyle name="APSLabels 8 9" xfId="29859"/>
    <cellStyle name="APSLabels 9" xfId="15116"/>
    <cellStyle name="Bad" xfId="13353" builtinId="27" customBuiltin="1"/>
    <cellStyle name="Bad 2" xfId="92"/>
    <cellStyle name="Bad 2 2" xfId="575"/>
    <cellStyle name="Bad 2 3" xfId="576"/>
    <cellStyle name="Bad 3" xfId="91"/>
    <cellStyle name="Bad 3 2" xfId="578"/>
    <cellStyle name="Bad 3 3" xfId="577"/>
    <cellStyle name="Bad 4" xfId="579"/>
    <cellStyle name="Budget" xfId="93"/>
    <cellStyle name="Budget 2" xfId="94"/>
    <cellStyle name="Budget 3" xfId="95"/>
    <cellStyle name="Budget_2011-11" xfId="96"/>
    <cellStyle name="Calculation" xfId="13357" builtinId="22" customBuiltin="1"/>
    <cellStyle name="Calculation 2" xfId="98"/>
    <cellStyle name="Calculation 2 10" xfId="580"/>
    <cellStyle name="Calculation 2 10 10" xfId="23908"/>
    <cellStyle name="Calculation 2 10 11" xfId="24907"/>
    <cellStyle name="Calculation 2 10 12" xfId="27852"/>
    <cellStyle name="Calculation 2 10 13" xfId="28821"/>
    <cellStyle name="Calculation 2 10 14" xfId="29860"/>
    <cellStyle name="Calculation 2 10 15" xfId="30853"/>
    <cellStyle name="Calculation 2 10 16" xfId="31862"/>
    <cellStyle name="Calculation 2 10 17" xfId="32865"/>
    <cellStyle name="Calculation 2 10 18" xfId="33864"/>
    <cellStyle name="Calculation 2 10 19" xfId="35485"/>
    <cellStyle name="Calculation 2 10 2" xfId="15888"/>
    <cellStyle name="Calculation 2 10 20" xfId="36424"/>
    <cellStyle name="Calculation 2 10 3" xfId="13448"/>
    <cellStyle name="Calculation 2 10 4" xfId="17894"/>
    <cellStyle name="Calculation 2 10 5" xfId="18926"/>
    <cellStyle name="Calculation 2 10 6" xfId="19948"/>
    <cellStyle name="Calculation 2 10 7" xfId="20957"/>
    <cellStyle name="Calculation 2 10 8" xfId="21931"/>
    <cellStyle name="Calculation 2 10 9" xfId="22936"/>
    <cellStyle name="Calculation 2 11" xfId="581"/>
    <cellStyle name="Calculation 2 11 10" xfId="24865"/>
    <cellStyle name="Calculation 2 11 11" xfId="25864"/>
    <cellStyle name="Calculation 2 11 12" xfId="28770"/>
    <cellStyle name="Calculation 2 11 13" xfId="29787"/>
    <cellStyle name="Calculation 2 11 14" xfId="30820"/>
    <cellStyle name="Calculation 2 11 15" xfId="31815"/>
    <cellStyle name="Calculation 2 11 16" xfId="32819"/>
    <cellStyle name="Calculation 2 11 17" xfId="33822"/>
    <cellStyle name="Calculation 2 11 18" xfId="34821"/>
    <cellStyle name="Calculation 2 11 19" xfId="36382"/>
    <cellStyle name="Calculation 2 11 2" xfId="16854"/>
    <cellStyle name="Calculation 2 11 20" xfId="37381"/>
    <cellStyle name="Calculation 2 11 3" xfId="17834"/>
    <cellStyle name="Calculation 2 11 4" xfId="18859"/>
    <cellStyle name="Calculation 2 11 5" xfId="19893"/>
    <cellStyle name="Calculation 2 11 6" xfId="20918"/>
    <cellStyle name="Calculation 2 11 7" xfId="21878"/>
    <cellStyle name="Calculation 2 11 8" xfId="22890"/>
    <cellStyle name="Calculation 2 11 9" xfId="23893"/>
    <cellStyle name="Calculation 2 12" xfId="34905"/>
    <cellStyle name="Calculation 2 13" xfId="37395"/>
    <cellStyle name="Calculation 2 14" xfId="37400"/>
    <cellStyle name="Calculation 2 15" xfId="37552"/>
    <cellStyle name="Calculation 2 2" xfId="313"/>
    <cellStyle name="Calculation 2 2 10" xfId="37417"/>
    <cellStyle name="Calculation 2 2 11" xfId="37553"/>
    <cellStyle name="Calculation 2 2 2" xfId="582"/>
    <cellStyle name="Calculation 2 2 2 10" xfId="14363"/>
    <cellStyle name="Calculation 2 2 2 11" xfId="15058"/>
    <cellStyle name="Calculation 2 2 2 12" xfId="14203"/>
    <cellStyle name="Calculation 2 2 2 13" xfId="14332"/>
    <cellStyle name="Calculation 2 2 2 14" xfId="14148"/>
    <cellStyle name="Calculation 2 2 2 15" xfId="15342"/>
    <cellStyle name="Calculation 2 2 2 16" xfId="26112"/>
    <cellStyle name="Calculation 2 2 2 17" xfId="27245"/>
    <cellStyle name="Calculation 2 2 2 18" xfId="26244"/>
    <cellStyle name="Calculation 2 2 2 19" xfId="26010"/>
    <cellStyle name="Calculation 2 2 2 2" xfId="583"/>
    <cellStyle name="Calculation 2 2 2 2 10" xfId="13905"/>
    <cellStyle name="Calculation 2 2 2 2 11" xfId="15719"/>
    <cellStyle name="Calculation 2 2 2 2 12" xfId="26327"/>
    <cellStyle name="Calculation 2 2 2 2 13" xfId="27723"/>
    <cellStyle name="Calculation 2 2 2 2 14" xfId="26251"/>
    <cellStyle name="Calculation 2 2 2 2 15" xfId="26758"/>
    <cellStyle name="Calculation 2 2 2 2 16" xfId="27304"/>
    <cellStyle name="Calculation 2 2 2 2 17" xfId="27226"/>
    <cellStyle name="Calculation 2 2 2 2 18" xfId="35022"/>
    <cellStyle name="Calculation 2 2 2 2 19" xfId="35314"/>
    <cellStyle name="Calculation 2 2 2 2 2" xfId="584"/>
    <cellStyle name="Calculation 2 2 2 2 2 10" xfId="22937"/>
    <cellStyle name="Calculation 2 2 2 2 2 11" xfId="23909"/>
    <cellStyle name="Calculation 2 2 2 2 2 12" xfId="24908"/>
    <cellStyle name="Calculation 2 2 2 2 2 13" xfId="27853"/>
    <cellStyle name="Calculation 2 2 2 2 2 14" xfId="28822"/>
    <cellStyle name="Calculation 2 2 2 2 2 15" xfId="29861"/>
    <cellStyle name="Calculation 2 2 2 2 2 16" xfId="30854"/>
    <cellStyle name="Calculation 2 2 2 2 2 17" xfId="31863"/>
    <cellStyle name="Calculation 2 2 2 2 2 18" xfId="32866"/>
    <cellStyle name="Calculation 2 2 2 2 2 19" xfId="33865"/>
    <cellStyle name="Calculation 2 2 2 2 2 2" xfId="585"/>
    <cellStyle name="Calculation 2 2 2 2 2 2 10" xfId="23910"/>
    <cellStyle name="Calculation 2 2 2 2 2 2 11" xfId="24909"/>
    <cellStyle name="Calculation 2 2 2 2 2 2 12" xfId="27854"/>
    <cellStyle name="Calculation 2 2 2 2 2 2 13" xfId="28823"/>
    <cellStyle name="Calculation 2 2 2 2 2 2 14" xfId="29862"/>
    <cellStyle name="Calculation 2 2 2 2 2 2 15" xfId="30855"/>
    <cellStyle name="Calculation 2 2 2 2 2 2 16" xfId="31864"/>
    <cellStyle name="Calculation 2 2 2 2 2 2 17" xfId="32867"/>
    <cellStyle name="Calculation 2 2 2 2 2 2 18" xfId="33866"/>
    <cellStyle name="Calculation 2 2 2 2 2 2 19" xfId="35487"/>
    <cellStyle name="Calculation 2 2 2 2 2 2 2" xfId="15890"/>
    <cellStyle name="Calculation 2 2 2 2 2 2 20" xfId="36426"/>
    <cellStyle name="Calculation 2 2 2 2 2 2 3" xfId="16868"/>
    <cellStyle name="Calculation 2 2 2 2 2 2 4" xfId="17896"/>
    <cellStyle name="Calculation 2 2 2 2 2 2 5" xfId="18928"/>
    <cellStyle name="Calculation 2 2 2 2 2 2 6" xfId="19950"/>
    <cellStyle name="Calculation 2 2 2 2 2 2 7" xfId="20959"/>
    <cellStyle name="Calculation 2 2 2 2 2 2 8" xfId="21933"/>
    <cellStyle name="Calculation 2 2 2 2 2 2 9" xfId="22938"/>
    <cellStyle name="Calculation 2 2 2 2 2 20" xfId="35486"/>
    <cellStyle name="Calculation 2 2 2 2 2 21" xfId="36425"/>
    <cellStyle name="Calculation 2 2 2 2 2 3" xfId="15889"/>
    <cellStyle name="Calculation 2 2 2 2 2 4" xfId="16867"/>
    <cellStyle name="Calculation 2 2 2 2 2 5" xfId="17895"/>
    <cellStyle name="Calculation 2 2 2 2 2 6" xfId="18927"/>
    <cellStyle name="Calculation 2 2 2 2 2 7" xfId="19949"/>
    <cellStyle name="Calculation 2 2 2 2 2 8" xfId="20958"/>
    <cellStyle name="Calculation 2 2 2 2 2 9" xfId="21932"/>
    <cellStyle name="Calculation 2 2 2 2 3" xfId="586"/>
    <cellStyle name="Calculation 2 2 2 2 3 10" xfId="22939"/>
    <cellStyle name="Calculation 2 2 2 2 3 11" xfId="23911"/>
    <cellStyle name="Calculation 2 2 2 2 3 12" xfId="24910"/>
    <cellStyle name="Calculation 2 2 2 2 3 13" xfId="27855"/>
    <cellStyle name="Calculation 2 2 2 2 3 14" xfId="28824"/>
    <cellStyle name="Calculation 2 2 2 2 3 15" xfId="29863"/>
    <cellStyle name="Calculation 2 2 2 2 3 16" xfId="30856"/>
    <cellStyle name="Calculation 2 2 2 2 3 17" xfId="31865"/>
    <cellStyle name="Calculation 2 2 2 2 3 18" xfId="32868"/>
    <cellStyle name="Calculation 2 2 2 2 3 19" xfId="33867"/>
    <cellStyle name="Calculation 2 2 2 2 3 2" xfId="587"/>
    <cellStyle name="Calculation 2 2 2 2 3 2 10" xfId="23912"/>
    <cellStyle name="Calculation 2 2 2 2 3 2 11" xfId="24911"/>
    <cellStyle name="Calculation 2 2 2 2 3 2 12" xfId="27856"/>
    <cellStyle name="Calculation 2 2 2 2 3 2 13" xfId="28825"/>
    <cellStyle name="Calculation 2 2 2 2 3 2 14" xfId="29864"/>
    <cellStyle name="Calculation 2 2 2 2 3 2 15" xfId="30857"/>
    <cellStyle name="Calculation 2 2 2 2 3 2 16" xfId="31866"/>
    <cellStyle name="Calculation 2 2 2 2 3 2 17" xfId="32869"/>
    <cellStyle name="Calculation 2 2 2 2 3 2 18" xfId="33868"/>
    <cellStyle name="Calculation 2 2 2 2 3 2 19" xfId="35489"/>
    <cellStyle name="Calculation 2 2 2 2 3 2 2" xfId="15892"/>
    <cellStyle name="Calculation 2 2 2 2 3 2 20" xfId="36428"/>
    <cellStyle name="Calculation 2 2 2 2 3 2 3" xfId="16870"/>
    <cellStyle name="Calculation 2 2 2 2 3 2 4" xfId="17898"/>
    <cellStyle name="Calculation 2 2 2 2 3 2 5" xfId="18930"/>
    <cellStyle name="Calculation 2 2 2 2 3 2 6" xfId="19952"/>
    <cellStyle name="Calculation 2 2 2 2 3 2 7" xfId="20961"/>
    <cellStyle name="Calculation 2 2 2 2 3 2 8" xfId="21935"/>
    <cellStyle name="Calculation 2 2 2 2 3 2 9" xfId="22940"/>
    <cellStyle name="Calculation 2 2 2 2 3 20" xfId="35488"/>
    <cellStyle name="Calculation 2 2 2 2 3 21" xfId="36427"/>
    <cellStyle name="Calculation 2 2 2 2 3 3" xfId="15891"/>
    <cellStyle name="Calculation 2 2 2 2 3 4" xfId="16869"/>
    <cellStyle name="Calculation 2 2 2 2 3 5" xfId="17897"/>
    <cellStyle name="Calculation 2 2 2 2 3 6" xfId="18929"/>
    <cellStyle name="Calculation 2 2 2 2 3 7" xfId="19951"/>
    <cellStyle name="Calculation 2 2 2 2 3 8" xfId="20960"/>
    <cellStyle name="Calculation 2 2 2 2 3 9" xfId="21934"/>
    <cellStyle name="Calculation 2 2 2 2 4" xfId="588"/>
    <cellStyle name="Calculation 2 2 2 2 4 10" xfId="22941"/>
    <cellStyle name="Calculation 2 2 2 2 4 11" xfId="23913"/>
    <cellStyle name="Calculation 2 2 2 2 4 12" xfId="24912"/>
    <cellStyle name="Calculation 2 2 2 2 4 13" xfId="27857"/>
    <cellStyle name="Calculation 2 2 2 2 4 14" xfId="28826"/>
    <cellStyle name="Calculation 2 2 2 2 4 15" xfId="29865"/>
    <cellStyle name="Calculation 2 2 2 2 4 16" xfId="30858"/>
    <cellStyle name="Calculation 2 2 2 2 4 17" xfId="31867"/>
    <cellStyle name="Calculation 2 2 2 2 4 18" xfId="32870"/>
    <cellStyle name="Calculation 2 2 2 2 4 19" xfId="33869"/>
    <cellStyle name="Calculation 2 2 2 2 4 2" xfId="589"/>
    <cellStyle name="Calculation 2 2 2 2 4 2 10" xfId="23914"/>
    <cellStyle name="Calculation 2 2 2 2 4 2 11" xfId="24913"/>
    <cellStyle name="Calculation 2 2 2 2 4 2 12" xfId="27858"/>
    <cellStyle name="Calculation 2 2 2 2 4 2 13" xfId="28827"/>
    <cellStyle name="Calculation 2 2 2 2 4 2 14" xfId="29866"/>
    <cellStyle name="Calculation 2 2 2 2 4 2 15" xfId="30859"/>
    <cellStyle name="Calculation 2 2 2 2 4 2 16" xfId="31868"/>
    <cellStyle name="Calculation 2 2 2 2 4 2 17" xfId="32871"/>
    <cellStyle name="Calculation 2 2 2 2 4 2 18" xfId="33870"/>
    <cellStyle name="Calculation 2 2 2 2 4 2 19" xfId="35491"/>
    <cellStyle name="Calculation 2 2 2 2 4 2 2" xfId="15894"/>
    <cellStyle name="Calculation 2 2 2 2 4 2 20" xfId="36430"/>
    <cellStyle name="Calculation 2 2 2 2 4 2 3" xfId="16872"/>
    <cellStyle name="Calculation 2 2 2 2 4 2 4" xfId="17900"/>
    <cellStyle name="Calculation 2 2 2 2 4 2 5" xfId="18932"/>
    <cellStyle name="Calculation 2 2 2 2 4 2 6" xfId="19954"/>
    <cellStyle name="Calculation 2 2 2 2 4 2 7" xfId="20963"/>
    <cellStyle name="Calculation 2 2 2 2 4 2 8" xfId="21937"/>
    <cellStyle name="Calculation 2 2 2 2 4 2 9" xfId="22942"/>
    <cellStyle name="Calculation 2 2 2 2 4 20" xfId="35490"/>
    <cellStyle name="Calculation 2 2 2 2 4 21" xfId="36429"/>
    <cellStyle name="Calculation 2 2 2 2 4 3" xfId="15893"/>
    <cellStyle name="Calculation 2 2 2 2 4 4" xfId="16871"/>
    <cellStyle name="Calculation 2 2 2 2 4 5" xfId="17899"/>
    <cellStyle name="Calculation 2 2 2 2 4 6" xfId="18931"/>
    <cellStyle name="Calculation 2 2 2 2 4 7" xfId="19953"/>
    <cellStyle name="Calculation 2 2 2 2 4 8" xfId="20962"/>
    <cellStyle name="Calculation 2 2 2 2 4 9" xfId="21936"/>
    <cellStyle name="Calculation 2 2 2 2 5" xfId="590"/>
    <cellStyle name="Calculation 2 2 2 2 5 10" xfId="23915"/>
    <cellStyle name="Calculation 2 2 2 2 5 11" xfId="24914"/>
    <cellStyle name="Calculation 2 2 2 2 5 12" xfId="27859"/>
    <cellStyle name="Calculation 2 2 2 2 5 13" xfId="28828"/>
    <cellStyle name="Calculation 2 2 2 2 5 14" xfId="29867"/>
    <cellStyle name="Calculation 2 2 2 2 5 15" xfId="30860"/>
    <cellStyle name="Calculation 2 2 2 2 5 16" xfId="31869"/>
    <cellStyle name="Calculation 2 2 2 2 5 17" xfId="32872"/>
    <cellStyle name="Calculation 2 2 2 2 5 18" xfId="33871"/>
    <cellStyle name="Calculation 2 2 2 2 5 19" xfId="35492"/>
    <cellStyle name="Calculation 2 2 2 2 5 2" xfId="15895"/>
    <cellStyle name="Calculation 2 2 2 2 5 20" xfId="36431"/>
    <cellStyle name="Calculation 2 2 2 2 5 3" xfId="16873"/>
    <cellStyle name="Calculation 2 2 2 2 5 4" xfId="17901"/>
    <cellStyle name="Calculation 2 2 2 2 5 5" xfId="18933"/>
    <cellStyle name="Calculation 2 2 2 2 5 6" xfId="19955"/>
    <cellStyle name="Calculation 2 2 2 2 5 7" xfId="20964"/>
    <cellStyle name="Calculation 2 2 2 2 5 8" xfId="21938"/>
    <cellStyle name="Calculation 2 2 2 2 5 9" xfId="22943"/>
    <cellStyle name="Calculation 2 2 2 2 6" xfId="13736"/>
    <cellStyle name="Calculation 2 2 2 2 7" xfId="14260"/>
    <cellStyle name="Calculation 2 2 2 2 8" xfId="14202"/>
    <cellStyle name="Calculation 2 2 2 2 9" xfId="14676"/>
    <cellStyle name="Calculation 2 2 2 20" xfId="26924"/>
    <cellStyle name="Calculation 2 2 2 21" xfId="26741"/>
    <cellStyle name="Calculation 2 2 2 22" xfId="34965"/>
    <cellStyle name="Calculation 2 2 2 23" xfId="35353"/>
    <cellStyle name="Calculation 2 2 2 24" xfId="37468"/>
    <cellStyle name="Calculation 2 2 2 3" xfId="591"/>
    <cellStyle name="Calculation 2 2 2 3 10" xfId="14696"/>
    <cellStyle name="Calculation 2 2 2 3 11" xfId="15088"/>
    <cellStyle name="Calculation 2 2 2 3 12" xfId="26407"/>
    <cellStyle name="Calculation 2 2 2 3 13" xfId="27695"/>
    <cellStyle name="Calculation 2 2 2 3 14" xfId="27844"/>
    <cellStyle name="Calculation 2 2 2 3 15" xfId="27613"/>
    <cellStyle name="Calculation 2 2 2 3 16" xfId="29808"/>
    <cellStyle name="Calculation 2 2 2 3 17" xfId="26208"/>
    <cellStyle name="Calculation 2 2 2 3 18" xfId="35097"/>
    <cellStyle name="Calculation 2 2 2 3 19" xfId="35419"/>
    <cellStyle name="Calculation 2 2 2 3 2" xfId="592"/>
    <cellStyle name="Calculation 2 2 2 3 2 10" xfId="22944"/>
    <cellStyle name="Calculation 2 2 2 3 2 11" xfId="23916"/>
    <cellStyle name="Calculation 2 2 2 3 2 12" xfId="24915"/>
    <cellStyle name="Calculation 2 2 2 3 2 13" xfId="27860"/>
    <cellStyle name="Calculation 2 2 2 3 2 14" xfId="28829"/>
    <cellStyle name="Calculation 2 2 2 3 2 15" xfId="29868"/>
    <cellStyle name="Calculation 2 2 2 3 2 16" xfId="30861"/>
    <cellStyle name="Calculation 2 2 2 3 2 17" xfId="31870"/>
    <cellStyle name="Calculation 2 2 2 3 2 18" xfId="32873"/>
    <cellStyle name="Calculation 2 2 2 3 2 19" xfId="33872"/>
    <cellStyle name="Calculation 2 2 2 3 2 2" xfId="593"/>
    <cellStyle name="Calculation 2 2 2 3 2 2 10" xfId="23917"/>
    <cellStyle name="Calculation 2 2 2 3 2 2 11" xfId="24916"/>
    <cellStyle name="Calculation 2 2 2 3 2 2 12" xfId="27861"/>
    <cellStyle name="Calculation 2 2 2 3 2 2 13" xfId="28830"/>
    <cellStyle name="Calculation 2 2 2 3 2 2 14" xfId="29869"/>
    <cellStyle name="Calculation 2 2 2 3 2 2 15" xfId="30862"/>
    <cellStyle name="Calculation 2 2 2 3 2 2 16" xfId="31871"/>
    <cellStyle name="Calculation 2 2 2 3 2 2 17" xfId="32874"/>
    <cellStyle name="Calculation 2 2 2 3 2 2 18" xfId="33873"/>
    <cellStyle name="Calculation 2 2 2 3 2 2 19" xfId="35494"/>
    <cellStyle name="Calculation 2 2 2 3 2 2 2" xfId="15897"/>
    <cellStyle name="Calculation 2 2 2 3 2 2 20" xfId="36433"/>
    <cellStyle name="Calculation 2 2 2 3 2 2 3" xfId="16875"/>
    <cellStyle name="Calculation 2 2 2 3 2 2 4" xfId="17903"/>
    <cellStyle name="Calculation 2 2 2 3 2 2 5" xfId="18935"/>
    <cellStyle name="Calculation 2 2 2 3 2 2 6" xfId="19957"/>
    <cellStyle name="Calculation 2 2 2 3 2 2 7" xfId="20966"/>
    <cellStyle name="Calculation 2 2 2 3 2 2 8" xfId="21940"/>
    <cellStyle name="Calculation 2 2 2 3 2 2 9" xfId="22945"/>
    <cellStyle name="Calculation 2 2 2 3 2 20" xfId="35493"/>
    <cellStyle name="Calculation 2 2 2 3 2 21" xfId="36432"/>
    <cellStyle name="Calculation 2 2 2 3 2 3" xfId="15896"/>
    <cellStyle name="Calculation 2 2 2 3 2 4" xfId="16874"/>
    <cellStyle name="Calculation 2 2 2 3 2 5" xfId="17902"/>
    <cellStyle name="Calculation 2 2 2 3 2 6" xfId="18934"/>
    <cellStyle name="Calculation 2 2 2 3 2 7" xfId="19956"/>
    <cellStyle name="Calculation 2 2 2 3 2 8" xfId="20965"/>
    <cellStyle name="Calculation 2 2 2 3 2 9" xfId="21939"/>
    <cellStyle name="Calculation 2 2 2 3 3" xfId="594"/>
    <cellStyle name="Calculation 2 2 2 3 3 10" xfId="22946"/>
    <cellStyle name="Calculation 2 2 2 3 3 11" xfId="23918"/>
    <cellStyle name="Calculation 2 2 2 3 3 12" xfId="24917"/>
    <cellStyle name="Calculation 2 2 2 3 3 13" xfId="27862"/>
    <cellStyle name="Calculation 2 2 2 3 3 14" xfId="28831"/>
    <cellStyle name="Calculation 2 2 2 3 3 15" xfId="29870"/>
    <cellStyle name="Calculation 2 2 2 3 3 16" xfId="30863"/>
    <cellStyle name="Calculation 2 2 2 3 3 17" xfId="31872"/>
    <cellStyle name="Calculation 2 2 2 3 3 18" xfId="32875"/>
    <cellStyle name="Calculation 2 2 2 3 3 19" xfId="33874"/>
    <cellStyle name="Calculation 2 2 2 3 3 2" xfId="595"/>
    <cellStyle name="Calculation 2 2 2 3 3 2 10" xfId="23919"/>
    <cellStyle name="Calculation 2 2 2 3 3 2 11" xfId="24918"/>
    <cellStyle name="Calculation 2 2 2 3 3 2 12" xfId="27863"/>
    <cellStyle name="Calculation 2 2 2 3 3 2 13" xfId="28832"/>
    <cellStyle name="Calculation 2 2 2 3 3 2 14" xfId="29871"/>
    <cellStyle name="Calculation 2 2 2 3 3 2 15" xfId="30864"/>
    <cellStyle name="Calculation 2 2 2 3 3 2 16" xfId="31873"/>
    <cellStyle name="Calculation 2 2 2 3 3 2 17" xfId="32876"/>
    <cellStyle name="Calculation 2 2 2 3 3 2 18" xfId="33875"/>
    <cellStyle name="Calculation 2 2 2 3 3 2 19" xfId="35496"/>
    <cellStyle name="Calculation 2 2 2 3 3 2 2" xfId="15899"/>
    <cellStyle name="Calculation 2 2 2 3 3 2 20" xfId="36435"/>
    <cellStyle name="Calculation 2 2 2 3 3 2 3" xfId="16877"/>
    <cellStyle name="Calculation 2 2 2 3 3 2 4" xfId="17905"/>
    <cellStyle name="Calculation 2 2 2 3 3 2 5" xfId="18937"/>
    <cellStyle name="Calculation 2 2 2 3 3 2 6" xfId="19959"/>
    <cellStyle name="Calculation 2 2 2 3 3 2 7" xfId="20968"/>
    <cellStyle name="Calculation 2 2 2 3 3 2 8" xfId="21942"/>
    <cellStyle name="Calculation 2 2 2 3 3 2 9" xfId="22947"/>
    <cellStyle name="Calculation 2 2 2 3 3 20" xfId="35495"/>
    <cellStyle name="Calculation 2 2 2 3 3 21" xfId="36434"/>
    <cellStyle name="Calculation 2 2 2 3 3 3" xfId="15898"/>
    <cellStyle name="Calculation 2 2 2 3 3 4" xfId="16876"/>
    <cellStyle name="Calculation 2 2 2 3 3 5" xfId="17904"/>
    <cellStyle name="Calculation 2 2 2 3 3 6" xfId="18936"/>
    <cellStyle name="Calculation 2 2 2 3 3 7" xfId="19958"/>
    <cellStyle name="Calculation 2 2 2 3 3 8" xfId="20967"/>
    <cellStyle name="Calculation 2 2 2 3 3 9" xfId="21941"/>
    <cellStyle name="Calculation 2 2 2 3 4" xfId="596"/>
    <cellStyle name="Calculation 2 2 2 3 4 10" xfId="22948"/>
    <cellStyle name="Calculation 2 2 2 3 4 11" xfId="23920"/>
    <cellStyle name="Calculation 2 2 2 3 4 12" xfId="24919"/>
    <cellStyle name="Calculation 2 2 2 3 4 13" xfId="27864"/>
    <cellStyle name="Calculation 2 2 2 3 4 14" xfId="28833"/>
    <cellStyle name="Calculation 2 2 2 3 4 15" xfId="29872"/>
    <cellStyle name="Calculation 2 2 2 3 4 16" xfId="30865"/>
    <cellStyle name="Calculation 2 2 2 3 4 17" xfId="31874"/>
    <cellStyle name="Calculation 2 2 2 3 4 18" xfId="32877"/>
    <cellStyle name="Calculation 2 2 2 3 4 19" xfId="33876"/>
    <cellStyle name="Calculation 2 2 2 3 4 2" xfId="597"/>
    <cellStyle name="Calculation 2 2 2 3 4 2 10" xfId="23921"/>
    <cellStyle name="Calculation 2 2 2 3 4 2 11" xfId="24920"/>
    <cellStyle name="Calculation 2 2 2 3 4 2 12" xfId="27865"/>
    <cellStyle name="Calculation 2 2 2 3 4 2 13" xfId="28834"/>
    <cellStyle name="Calculation 2 2 2 3 4 2 14" xfId="29873"/>
    <cellStyle name="Calculation 2 2 2 3 4 2 15" xfId="30866"/>
    <cellStyle name="Calculation 2 2 2 3 4 2 16" xfId="31875"/>
    <cellStyle name="Calculation 2 2 2 3 4 2 17" xfId="32878"/>
    <cellStyle name="Calculation 2 2 2 3 4 2 18" xfId="33877"/>
    <cellStyle name="Calculation 2 2 2 3 4 2 19" xfId="35498"/>
    <cellStyle name="Calculation 2 2 2 3 4 2 2" xfId="15901"/>
    <cellStyle name="Calculation 2 2 2 3 4 2 20" xfId="36437"/>
    <cellStyle name="Calculation 2 2 2 3 4 2 3" xfId="16879"/>
    <cellStyle name="Calculation 2 2 2 3 4 2 4" xfId="17907"/>
    <cellStyle name="Calculation 2 2 2 3 4 2 5" xfId="18939"/>
    <cellStyle name="Calculation 2 2 2 3 4 2 6" xfId="19961"/>
    <cellStyle name="Calculation 2 2 2 3 4 2 7" xfId="20970"/>
    <cellStyle name="Calculation 2 2 2 3 4 2 8" xfId="21944"/>
    <cellStyle name="Calculation 2 2 2 3 4 2 9" xfId="22949"/>
    <cellStyle name="Calculation 2 2 2 3 4 20" xfId="35497"/>
    <cellStyle name="Calculation 2 2 2 3 4 21" xfId="36436"/>
    <cellStyle name="Calculation 2 2 2 3 4 3" xfId="15900"/>
    <cellStyle name="Calculation 2 2 2 3 4 4" xfId="16878"/>
    <cellStyle name="Calculation 2 2 2 3 4 5" xfId="17906"/>
    <cellStyle name="Calculation 2 2 2 3 4 6" xfId="18938"/>
    <cellStyle name="Calculation 2 2 2 3 4 7" xfId="19960"/>
    <cellStyle name="Calculation 2 2 2 3 4 8" xfId="20969"/>
    <cellStyle name="Calculation 2 2 2 3 4 9" xfId="21943"/>
    <cellStyle name="Calculation 2 2 2 3 5" xfId="598"/>
    <cellStyle name="Calculation 2 2 2 3 5 10" xfId="23922"/>
    <cellStyle name="Calculation 2 2 2 3 5 11" xfId="24921"/>
    <cellStyle name="Calculation 2 2 2 3 5 12" xfId="27866"/>
    <cellStyle name="Calculation 2 2 2 3 5 13" xfId="28835"/>
    <cellStyle name="Calculation 2 2 2 3 5 14" xfId="29874"/>
    <cellStyle name="Calculation 2 2 2 3 5 15" xfId="30867"/>
    <cellStyle name="Calculation 2 2 2 3 5 16" xfId="31876"/>
    <cellStyle name="Calculation 2 2 2 3 5 17" xfId="32879"/>
    <cellStyle name="Calculation 2 2 2 3 5 18" xfId="33878"/>
    <cellStyle name="Calculation 2 2 2 3 5 19" xfId="35499"/>
    <cellStyle name="Calculation 2 2 2 3 5 2" xfId="15902"/>
    <cellStyle name="Calculation 2 2 2 3 5 20" xfId="36438"/>
    <cellStyle name="Calculation 2 2 2 3 5 3" xfId="16880"/>
    <cellStyle name="Calculation 2 2 2 3 5 4" xfId="17908"/>
    <cellStyle name="Calculation 2 2 2 3 5 5" xfId="18940"/>
    <cellStyle name="Calculation 2 2 2 3 5 6" xfId="19962"/>
    <cellStyle name="Calculation 2 2 2 3 5 7" xfId="20971"/>
    <cellStyle name="Calculation 2 2 2 3 5 8" xfId="21945"/>
    <cellStyle name="Calculation 2 2 2 3 5 9" xfId="22950"/>
    <cellStyle name="Calculation 2 2 2 3 6" xfId="13895"/>
    <cellStyle name="Calculation 2 2 2 3 7" xfId="13796"/>
    <cellStyle name="Calculation 2 2 2 3 8" xfId="14674"/>
    <cellStyle name="Calculation 2 2 2 3 9" xfId="14590"/>
    <cellStyle name="Calculation 2 2 2 4" xfId="599"/>
    <cellStyle name="Calculation 2 2 2 4 10" xfId="14236"/>
    <cellStyle name="Calculation 2 2 2 4 11" xfId="14967"/>
    <cellStyle name="Calculation 2 2 2 4 12" xfId="26342"/>
    <cellStyle name="Calculation 2 2 2 4 13" xfId="27150"/>
    <cellStyle name="Calculation 2 2 2 4 14" xfId="26254"/>
    <cellStyle name="Calculation 2 2 2 4 15" xfId="26274"/>
    <cellStyle name="Calculation 2 2 2 4 16" xfId="27657"/>
    <cellStyle name="Calculation 2 2 2 4 17" xfId="26868"/>
    <cellStyle name="Calculation 2 2 2 4 18" xfId="35036"/>
    <cellStyle name="Calculation 2 2 2 4 19" xfId="35305"/>
    <cellStyle name="Calculation 2 2 2 4 2" xfId="600"/>
    <cellStyle name="Calculation 2 2 2 4 2 10" xfId="22951"/>
    <cellStyle name="Calculation 2 2 2 4 2 11" xfId="23923"/>
    <cellStyle name="Calculation 2 2 2 4 2 12" xfId="24922"/>
    <cellStyle name="Calculation 2 2 2 4 2 13" xfId="27867"/>
    <cellStyle name="Calculation 2 2 2 4 2 14" xfId="28836"/>
    <cellStyle name="Calculation 2 2 2 4 2 15" xfId="29875"/>
    <cellStyle name="Calculation 2 2 2 4 2 16" xfId="30868"/>
    <cellStyle name="Calculation 2 2 2 4 2 17" xfId="31877"/>
    <cellStyle name="Calculation 2 2 2 4 2 18" xfId="32880"/>
    <cellStyle name="Calculation 2 2 2 4 2 19" xfId="33879"/>
    <cellStyle name="Calculation 2 2 2 4 2 2" xfId="601"/>
    <cellStyle name="Calculation 2 2 2 4 2 2 10" xfId="23924"/>
    <cellStyle name="Calculation 2 2 2 4 2 2 11" xfId="24923"/>
    <cellStyle name="Calculation 2 2 2 4 2 2 12" xfId="27868"/>
    <cellStyle name="Calculation 2 2 2 4 2 2 13" xfId="28837"/>
    <cellStyle name="Calculation 2 2 2 4 2 2 14" xfId="29876"/>
    <cellStyle name="Calculation 2 2 2 4 2 2 15" xfId="30869"/>
    <cellStyle name="Calculation 2 2 2 4 2 2 16" xfId="31878"/>
    <cellStyle name="Calculation 2 2 2 4 2 2 17" xfId="32881"/>
    <cellStyle name="Calculation 2 2 2 4 2 2 18" xfId="33880"/>
    <cellStyle name="Calculation 2 2 2 4 2 2 19" xfId="35501"/>
    <cellStyle name="Calculation 2 2 2 4 2 2 2" xfId="15904"/>
    <cellStyle name="Calculation 2 2 2 4 2 2 20" xfId="36440"/>
    <cellStyle name="Calculation 2 2 2 4 2 2 3" xfId="16882"/>
    <cellStyle name="Calculation 2 2 2 4 2 2 4" xfId="17910"/>
    <cellStyle name="Calculation 2 2 2 4 2 2 5" xfId="18942"/>
    <cellStyle name="Calculation 2 2 2 4 2 2 6" xfId="19964"/>
    <cellStyle name="Calculation 2 2 2 4 2 2 7" xfId="20973"/>
    <cellStyle name="Calculation 2 2 2 4 2 2 8" xfId="21947"/>
    <cellStyle name="Calculation 2 2 2 4 2 2 9" xfId="22952"/>
    <cellStyle name="Calculation 2 2 2 4 2 20" xfId="35500"/>
    <cellStyle name="Calculation 2 2 2 4 2 21" xfId="36439"/>
    <cellStyle name="Calculation 2 2 2 4 2 3" xfId="15903"/>
    <cellStyle name="Calculation 2 2 2 4 2 4" xfId="16881"/>
    <cellStyle name="Calculation 2 2 2 4 2 5" xfId="17909"/>
    <cellStyle name="Calculation 2 2 2 4 2 6" xfId="18941"/>
    <cellStyle name="Calculation 2 2 2 4 2 7" xfId="19963"/>
    <cellStyle name="Calculation 2 2 2 4 2 8" xfId="20972"/>
    <cellStyle name="Calculation 2 2 2 4 2 9" xfId="21946"/>
    <cellStyle name="Calculation 2 2 2 4 3" xfId="602"/>
    <cellStyle name="Calculation 2 2 2 4 3 10" xfId="22953"/>
    <cellStyle name="Calculation 2 2 2 4 3 11" xfId="23925"/>
    <cellStyle name="Calculation 2 2 2 4 3 12" xfId="24924"/>
    <cellStyle name="Calculation 2 2 2 4 3 13" xfId="27869"/>
    <cellStyle name="Calculation 2 2 2 4 3 14" xfId="28838"/>
    <cellStyle name="Calculation 2 2 2 4 3 15" xfId="29877"/>
    <cellStyle name="Calculation 2 2 2 4 3 16" xfId="30870"/>
    <cellStyle name="Calculation 2 2 2 4 3 17" xfId="31879"/>
    <cellStyle name="Calculation 2 2 2 4 3 18" xfId="32882"/>
    <cellStyle name="Calculation 2 2 2 4 3 19" xfId="33881"/>
    <cellStyle name="Calculation 2 2 2 4 3 2" xfId="603"/>
    <cellStyle name="Calculation 2 2 2 4 3 2 10" xfId="23926"/>
    <cellStyle name="Calculation 2 2 2 4 3 2 11" xfId="24925"/>
    <cellStyle name="Calculation 2 2 2 4 3 2 12" xfId="27870"/>
    <cellStyle name="Calculation 2 2 2 4 3 2 13" xfId="28839"/>
    <cellStyle name="Calculation 2 2 2 4 3 2 14" xfId="29878"/>
    <cellStyle name="Calculation 2 2 2 4 3 2 15" xfId="30871"/>
    <cellStyle name="Calculation 2 2 2 4 3 2 16" xfId="31880"/>
    <cellStyle name="Calculation 2 2 2 4 3 2 17" xfId="32883"/>
    <cellStyle name="Calculation 2 2 2 4 3 2 18" xfId="33882"/>
    <cellStyle name="Calculation 2 2 2 4 3 2 19" xfId="35503"/>
    <cellStyle name="Calculation 2 2 2 4 3 2 2" xfId="15906"/>
    <cellStyle name="Calculation 2 2 2 4 3 2 20" xfId="36442"/>
    <cellStyle name="Calculation 2 2 2 4 3 2 3" xfId="16884"/>
    <cellStyle name="Calculation 2 2 2 4 3 2 4" xfId="17912"/>
    <cellStyle name="Calculation 2 2 2 4 3 2 5" xfId="18944"/>
    <cellStyle name="Calculation 2 2 2 4 3 2 6" xfId="19966"/>
    <cellStyle name="Calculation 2 2 2 4 3 2 7" xfId="20975"/>
    <cellStyle name="Calculation 2 2 2 4 3 2 8" xfId="21949"/>
    <cellStyle name="Calculation 2 2 2 4 3 2 9" xfId="22954"/>
    <cellStyle name="Calculation 2 2 2 4 3 20" xfId="35502"/>
    <cellStyle name="Calculation 2 2 2 4 3 21" xfId="36441"/>
    <cellStyle name="Calculation 2 2 2 4 3 3" xfId="15905"/>
    <cellStyle name="Calculation 2 2 2 4 3 4" xfId="16883"/>
    <cellStyle name="Calculation 2 2 2 4 3 5" xfId="17911"/>
    <cellStyle name="Calculation 2 2 2 4 3 6" xfId="18943"/>
    <cellStyle name="Calculation 2 2 2 4 3 7" xfId="19965"/>
    <cellStyle name="Calculation 2 2 2 4 3 8" xfId="20974"/>
    <cellStyle name="Calculation 2 2 2 4 3 9" xfId="21948"/>
    <cellStyle name="Calculation 2 2 2 4 4" xfId="604"/>
    <cellStyle name="Calculation 2 2 2 4 4 10" xfId="22955"/>
    <cellStyle name="Calculation 2 2 2 4 4 11" xfId="23927"/>
    <cellStyle name="Calculation 2 2 2 4 4 12" xfId="24926"/>
    <cellStyle name="Calculation 2 2 2 4 4 13" xfId="27871"/>
    <cellStyle name="Calculation 2 2 2 4 4 14" xfId="28840"/>
    <cellStyle name="Calculation 2 2 2 4 4 15" xfId="29879"/>
    <cellStyle name="Calculation 2 2 2 4 4 16" xfId="30872"/>
    <cellStyle name="Calculation 2 2 2 4 4 17" xfId="31881"/>
    <cellStyle name="Calculation 2 2 2 4 4 18" xfId="32884"/>
    <cellStyle name="Calculation 2 2 2 4 4 19" xfId="33883"/>
    <cellStyle name="Calculation 2 2 2 4 4 2" xfId="605"/>
    <cellStyle name="Calculation 2 2 2 4 4 2 10" xfId="23928"/>
    <cellStyle name="Calculation 2 2 2 4 4 2 11" xfId="24927"/>
    <cellStyle name="Calculation 2 2 2 4 4 2 12" xfId="27872"/>
    <cellStyle name="Calculation 2 2 2 4 4 2 13" xfId="28841"/>
    <cellStyle name="Calculation 2 2 2 4 4 2 14" xfId="29880"/>
    <cellStyle name="Calculation 2 2 2 4 4 2 15" xfId="30873"/>
    <cellStyle name="Calculation 2 2 2 4 4 2 16" xfId="31882"/>
    <cellStyle name="Calculation 2 2 2 4 4 2 17" xfId="32885"/>
    <cellStyle name="Calculation 2 2 2 4 4 2 18" xfId="33884"/>
    <cellStyle name="Calculation 2 2 2 4 4 2 19" xfId="35505"/>
    <cellStyle name="Calculation 2 2 2 4 4 2 2" xfId="15908"/>
    <cellStyle name="Calculation 2 2 2 4 4 2 20" xfId="36444"/>
    <cellStyle name="Calculation 2 2 2 4 4 2 3" xfId="16886"/>
    <cellStyle name="Calculation 2 2 2 4 4 2 4" xfId="17914"/>
    <cellStyle name="Calculation 2 2 2 4 4 2 5" xfId="18946"/>
    <cellStyle name="Calculation 2 2 2 4 4 2 6" xfId="19968"/>
    <cellStyle name="Calculation 2 2 2 4 4 2 7" xfId="20977"/>
    <cellStyle name="Calculation 2 2 2 4 4 2 8" xfId="21951"/>
    <cellStyle name="Calculation 2 2 2 4 4 2 9" xfId="22956"/>
    <cellStyle name="Calculation 2 2 2 4 4 20" xfId="35504"/>
    <cellStyle name="Calculation 2 2 2 4 4 21" xfId="36443"/>
    <cellStyle name="Calculation 2 2 2 4 4 3" xfId="15907"/>
    <cellStyle name="Calculation 2 2 2 4 4 4" xfId="16885"/>
    <cellStyle name="Calculation 2 2 2 4 4 5" xfId="17913"/>
    <cellStyle name="Calculation 2 2 2 4 4 6" xfId="18945"/>
    <cellStyle name="Calculation 2 2 2 4 4 7" xfId="19967"/>
    <cellStyle name="Calculation 2 2 2 4 4 8" xfId="20976"/>
    <cellStyle name="Calculation 2 2 2 4 4 9" xfId="21950"/>
    <cellStyle name="Calculation 2 2 2 4 5" xfId="606"/>
    <cellStyle name="Calculation 2 2 2 4 5 10" xfId="23929"/>
    <cellStyle name="Calculation 2 2 2 4 5 11" xfId="24928"/>
    <cellStyle name="Calculation 2 2 2 4 5 12" xfId="27873"/>
    <cellStyle name="Calculation 2 2 2 4 5 13" xfId="28842"/>
    <cellStyle name="Calculation 2 2 2 4 5 14" xfId="29881"/>
    <cellStyle name="Calculation 2 2 2 4 5 15" xfId="30874"/>
    <cellStyle name="Calculation 2 2 2 4 5 16" xfId="31883"/>
    <cellStyle name="Calculation 2 2 2 4 5 17" xfId="32886"/>
    <cellStyle name="Calculation 2 2 2 4 5 18" xfId="33885"/>
    <cellStyle name="Calculation 2 2 2 4 5 19" xfId="35506"/>
    <cellStyle name="Calculation 2 2 2 4 5 2" xfId="15909"/>
    <cellStyle name="Calculation 2 2 2 4 5 20" xfId="36445"/>
    <cellStyle name="Calculation 2 2 2 4 5 3" xfId="16887"/>
    <cellStyle name="Calculation 2 2 2 4 5 4" xfId="17915"/>
    <cellStyle name="Calculation 2 2 2 4 5 5" xfId="18947"/>
    <cellStyle name="Calculation 2 2 2 4 5 6" xfId="19969"/>
    <cellStyle name="Calculation 2 2 2 4 5 7" xfId="20978"/>
    <cellStyle name="Calculation 2 2 2 4 5 8" xfId="21952"/>
    <cellStyle name="Calculation 2 2 2 4 5 9" xfId="22957"/>
    <cellStyle name="Calculation 2 2 2 4 6" xfId="15802"/>
    <cellStyle name="Calculation 2 2 2 4 7" xfId="13480"/>
    <cellStyle name="Calculation 2 2 2 4 8" xfId="13504"/>
    <cellStyle name="Calculation 2 2 2 4 9" xfId="15240"/>
    <cellStyle name="Calculation 2 2 2 5" xfId="607"/>
    <cellStyle name="Calculation 2 2 2 5 10" xfId="17816"/>
    <cellStyle name="Calculation 2 2 2 5 11" xfId="14342"/>
    <cellStyle name="Calculation 2 2 2 5 12" xfId="26366"/>
    <cellStyle name="Calculation 2 2 2 5 13" xfId="27712"/>
    <cellStyle name="Calculation 2 2 2 5 14" xfId="27523"/>
    <cellStyle name="Calculation 2 2 2 5 15" xfId="27484"/>
    <cellStyle name="Calculation 2 2 2 5 16" xfId="27386"/>
    <cellStyle name="Calculation 2 2 2 5 17" xfId="27799"/>
    <cellStyle name="Calculation 2 2 2 5 18" xfId="35058"/>
    <cellStyle name="Calculation 2 2 2 5 19" xfId="34842"/>
    <cellStyle name="Calculation 2 2 2 5 2" xfId="608"/>
    <cellStyle name="Calculation 2 2 2 5 2 10" xfId="22958"/>
    <cellStyle name="Calculation 2 2 2 5 2 11" xfId="23930"/>
    <cellStyle name="Calculation 2 2 2 5 2 12" xfId="24929"/>
    <cellStyle name="Calculation 2 2 2 5 2 13" xfId="27874"/>
    <cellStyle name="Calculation 2 2 2 5 2 14" xfId="28843"/>
    <cellStyle name="Calculation 2 2 2 5 2 15" xfId="29882"/>
    <cellStyle name="Calculation 2 2 2 5 2 16" xfId="30875"/>
    <cellStyle name="Calculation 2 2 2 5 2 17" xfId="31884"/>
    <cellStyle name="Calculation 2 2 2 5 2 18" xfId="32887"/>
    <cellStyle name="Calculation 2 2 2 5 2 19" xfId="33886"/>
    <cellStyle name="Calculation 2 2 2 5 2 2" xfId="609"/>
    <cellStyle name="Calculation 2 2 2 5 2 2 10" xfId="23931"/>
    <cellStyle name="Calculation 2 2 2 5 2 2 11" xfId="24930"/>
    <cellStyle name="Calculation 2 2 2 5 2 2 12" xfId="27875"/>
    <cellStyle name="Calculation 2 2 2 5 2 2 13" xfId="28844"/>
    <cellStyle name="Calculation 2 2 2 5 2 2 14" xfId="29883"/>
    <cellStyle name="Calculation 2 2 2 5 2 2 15" xfId="30876"/>
    <cellStyle name="Calculation 2 2 2 5 2 2 16" xfId="31885"/>
    <cellStyle name="Calculation 2 2 2 5 2 2 17" xfId="32888"/>
    <cellStyle name="Calculation 2 2 2 5 2 2 18" xfId="33887"/>
    <cellStyle name="Calculation 2 2 2 5 2 2 19" xfId="35508"/>
    <cellStyle name="Calculation 2 2 2 5 2 2 2" xfId="15911"/>
    <cellStyle name="Calculation 2 2 2 5 2 2 20" xfId="36447"/>
    <cellStyle name="Calculation 2 2 2 5 2 2 3" xfId="16889"/>
    <cellStyle name="Calculation 2 2 2 5 2 2 4" xfId="17917"/>
    <cellStyle name="Calculation 2 2 2 5 2 2 5" xfId="18949"/>
    <cellStyle name="Calculation 2 2 2 5 2 2 6" xfId="19971"/>
    <cellStyle name="Calculation 2 2 2 5 2 2 7" xfId="20980"/>
    <cellStyle name="Calculation 2 2 2 5 2 2 8" xfId="21954"/>
    <cellStyle name="Calculation 2 2 2 5 2 2 9" xfId="22959"/>
    <cellStyle name="Calculation 2 2 2 5 2 20" xfId="35507"/>
    <cellStyle name="Calculation 2 2 2 5 2 21" xfId="36446"/>
    <cellStyle name="Calculation 2 2 2 5 2 3" xfId="15910"/>
    <cellStyle name="Calculation 2 2 2 5 2 4" xfId="16888"/>
    <cellStyle name="Calculation 2 2 2 5 2 5" xfId="17916"/>
    <cellStyle name="Calculation 2 2 2 5 2 6" xfId="18948"/>
    <cellStyle name="Calculation 2 2 2 5 2 7" xfId="19970"/>
    <cellStyle name="Calculation 2 2 2 5 2 8" xfId="20979"/>
    <cellStyle name="Calculation 2 2 2 5 2 9" xfId="21953"/>
    <cellStyle name="Calculation 2 2 2 5 3" xfId="610"/>
    <cellStyle name="Calculation 2 2 2 5 3 10" xfId="22960"/>
    <cellStyle name="Calculation 2 2 2 5 3 11" xfId="23932"/>
    <cellStyle name="Calculation 2 2 2 5 3 12" xfId="24931"/>
    <cellStyle name="Calculation 2 2 2 5 3 13" xfId="27876"/>
    <cellStyle name="Calculation 2 2 2 5 3 14" xfId="28845"/>
    <cellStyle name="Calculation 2 2 2 5 3 15" xfId="29884"/>
    <cellStyle name="Calculation 2 2 2 5 3 16" xfId="30877"/>
    <cellStyle name="Calculation 2 2 2 5 3 17" xfId="31886"/>
    <cellStyle name="Calculation 2 2 2 5 3 18" xfId="32889"/>
    <cellStyle name="Calculation 2 2 2 5 3 19" xfId="33888"/>
    <cellStyle name="Calculation 2 2 2 5 3 2" xfId="611"/>
    <cellStyle name="Calculation 2 2 2 5 3 2 10" xfId="23933"/>
    <cellStyle name="Calculation 2 2 2 5 3 2 11" xfId="24932"/>
    <cellStyle name="Calculation 2 2 2 5 3 2 12" xfId="27877"/>
    <cellStyle name="Calculation 2 2 2 5 3 2 13" xfId="28846"/>
    <cellStyle name="Calculation 2 2 2 5 3 2 14" xfId="29885"/>
    <cellStyle name="Calculation 2 2 2 5 3 2 15" xfId="30878"/>
    <cellStyle name="Calculation 2 2 2 5 3 2 16" xfId="31887"/>
    <cellStyle name="Calculation 2 2 2 5 3 2 17" xfId="32890"/>
    <cellStyle name="Calculation 2 2 2 5 3 2 18" xfId="33889"/>
    <cellStyle name="Calculation 2 2 2 5 3 2 19" xfId="35510"/>
    <cellStyle name="Calculation 2 2 2 5 3 2 2" xfId="15913"/>
    <cellStyle name="Calculation 2 2 2 5 3 2 20" xfId="36449"/>
    <cellStyle name="Calculation 2 2 2 5 3 2 3" xfId="16891"/>
    <cellStyle name="Calculation 2 2 2 5 3 2 4" xfId="17919"/>
    <cellStyle name="Calculation 2 2 2 5 3 2 5" xfId="18951"/>
    <cellStyle name="Calculation 2 2 2 5 3 2 6" xfId="19973"/>
    <cellStyle name="Calculation 2 2 2 5 3 2 7" xfId="20982"/>
    <cellStyle name="Calculation 2 2 2 5 3 2 8" xfId="21956"/>
    <cellStyle name="Calculation 2 2 2 5 3 2 9" xfId="22961"/>
    <cellStyle name="Calculation 2 2 2 5 3 20" xfId="35509"/>
    <cellStyle name="Calculation 2 2 2 5 3 21" xfId="36448"/>
    <cellStyle name="Calculation 2 2 2 5 3 3" xfId="15912"/>
    <cellStyle name="Calculation 2 2 2 5 3 4" xfId="16890"/>
    <cellStyle name="Calculation 2 2 2 5 3 5" xfId="17918"/>
    <cellStyle name="Calculation 2 2 2 5 3 6" xfId="18950"/>
    <cellStyle name="Calculation 2 2 2 5 3 7" xfId="19972"/>
    <cellStyle name="Calculation 2 2 2 5 3 8" xfId="20981"/>
    <cellStyle name="Calculation 2 2 2 5 3 9" xfId="21955"/>
    <cellStyle name="Calculation 2 2 2 5 4" xfId="612"/>
    <cellStyle name="Calculation 2 2 2 5 4 10" xfId="22962"/>
    <cellStyle name="Calculation 2 2 2 5 4 11" xfId="23934"/>
    <cellStyle name="Calculation 2 2 2 5 4 12" xfId="24933"/>
    <cellStyle name="Calculation 2 2 2 5 4 13" xfId="27878"/>
    <cellStyle name="Calculation 2 2 2 5 4 14" xfId="28847"/>
    <cellStyle name="Calculation 2 2 2 5 4 15" xfId="29886"/>
    <cellStyle name="Calculation 2 2 2 5 4 16" xfId="30879"/>
    <cellStyle name="Calculation 2 2 2 5 4 17" xfId="31888"/>
    <cellStyle name="Calculation 2 2 2 5 4 18" xfId="32891"/>
    <cellStyle name="Calculation 2 2 2 5 4 19" xfId="33890"/>
    <cellStyle name="Calculation 2 2 2 5 4 2" xfId="613"/>
    <cellStyle name="Calculation 2 2 2 5 4 2 10" xfId="23935"/>
    <cellStyle name="Calculation 2 2 2 5 4 2 11" xfId="24934"/>
    <cellStyle name="Calculation 2 2 2 5 4 2 12" xfId="27879"/>
    <cellStyle name="Calculation 2 2 2 5 4 2 13" xfId="28848"/>
    <cellStyle name="Calculation 2 2 2 5 4 2 14" xfId="29887"/>
    <cellStyle name="Calculation 2 2 2 5 4 2 15" xfId="30880"/>
    <cellStyle name="Calculation 2 2 2 5 4 2 16" xfId="31889"/>
    <cellStyle name="Calculation 2 2 2 5 4 2 17" xfId="32892"/>
    <cellStyle name="Calculation 2 2 2 5 4 2 18" xfId="33891"/>
    <cellStyle name="Calculation 2 2 2 5 4 2 19" xfId="35512"/>
    <cellStyle name="Calculation 2 2 2 5 4 2 2" xfId="15915"/>
    <cellStyle name="Calculation 2 2 2 5 4 2 20" xfId="36451"/>
    <cellStyle name="Calculation 2 2 2 5 4 2 3" xfId="16893"/>
    <cellStyle name="Calculation 2 2 2 5 4 2 4" xfId="17921"/>
    <cellStyle name="Calculation 2 2 2 5 4 2 5" xfId="18953"/>
    <cellStyle name="Calculation 2 2 2 5 4 2 6" xfId="19975"/>
    <cellStyle name="Calculation 2 2 2 5 4 2 7" xfId="20984"/>
    <cellStyle name="Calculation 2 2 2 5 4 2 8" xfId="21958"/>
    <cellStyle name="Calculation 2 2 2 5 4 2 9" xfId="22963"/>
    <cellStyle name="Calculation 2 2 2 5 4 20" xfId="35511"/>
    <cellStyle name="Calculation 2 2 2 5 4 21" xfId="36450"/>
    <cellStyle name="Calculation 2 2 2 5 4 3" xfId="15914"/>
    <cellStyle name="Calculation 2 2 2 5 4 4" xfId="16892"/>
    <cellStyle name="Calculation 2 2 2 5 4 5" xfId="17920"/>
    <cellStyle name="Calculation 2 2 2 5 4 6" xfId="18952"/>
    <cellStyle name="Calculation 2 2 2 5 4 7" xfId="19974"/>
    <cellStyle name="Calculation 2 2 2 5 4 8" xfId="20983"/>
    <cellStyle name="Calculation 2 2 2 5 4 9" xfId="21957"/>
    <cellStyle name="Calculation 2 2 2 5 5" xfId="614"/>
    <cellStyle name="Calculation 2 2 2 5 5 10" xfId="23936"/>
    <cellStyle name="Calculation 2 2 2 5 5 11" xfId="24935"/>
    <cellStyle name="Calculation 2 2 2 5 5 12" xfId="27880"/>
    <cellStyle name="Calculation 2 2 2 5 5 13" xfId="28849"/>
    <cellStyle name="Calculation 2 2 2 5 5 14" xfId="29888"/>
    <cellStyle name="Calculation 2 2 2 5 5 15" xfId="30881"/>
    <cellStyle name="Calculation 2 2 2 5 5 16" xfId="31890"/>
    <cellStyle name="Calculation 2 2 2 5 5 17" xfId="32893"/>
    <cellStyle name="Calculation 2 2 2 5 5 18" xfId="33892"/>
    <cellStyle name="Calculation 2 2 2 5 5 19" xfId="35513"/>
    <cellStyle name="Calculation 2 2 2 5 5 2" xfId="15916"/>
    <cellStyle name="Calculation 2 2 2 5 5 20" xfId="36452"/>
    <cellStyle name="Calculation 2 2 2 5 5 3" xfId="16894"/>
    <cellStyle name="Calculation 2 2 2 5 5 4" xfId="17922"/>
    <cellStyle name="Calculation 2 2 2 5 5 5" xfId="18954"/>
    <cellStyle name="Calculation 2 2 2 5 5 6" xfId="19976"/>
    <cellStyle name="Calculation 2 2 2 5 5 7" xfId="20985"/>
    <cellStyle name="Calculation 2 2 2 5 5 8" xfId="21959"/>
    <cellStyle name="Calculation 2 2 2 5 5 9" xfId="22964"/>
    <cellStyle name="Calculation 2 2 2 5 6" xfId="13760"/>
    <cellStyle name="Calculation 2 2 2 5 7" xfId="14550"/>
    <cellStyle name="Calculation 2 2 2 5 8" xfId="14102"/>
    <cellStyle name="Calculation 2 2 2 5 9" xfId="14525"/>
    <cellStyle name="Calculation 2 2 2 6" xfId="615"/>
    <cellStyle name="Calculation 2 2 2 6 10" xfId="22965"/>
    <cellStyle name="Calculation 2 2 2 6 11" xfId="23937"/>
    <cellStyle name="Calculation 2 2 2 6 12" xfId="24936"/>
    <cellStyle name="Calculation 2 2 2 6 13" xfId="27881"/>
    <cellStyle name="Calculation 2 2 2 6 14" xfId="28850"/>
    <cellStyle name="Calculation 2 2 2 6 15" xfId="29889"/>
    <cellStyle name="Calculation 2 2 2 6 16" xfId="30882"/>
    <cellStyle name="Calculation 2 2 2 6 17" xfId="31891"/>
    <cellStyle name="Calculation 2 2 2 6 18" xfId="32894"/>
    <cellStyle name="Calculation 2 2 2 6 19" xfId="33893"/>
    <cellStyle name="Calculation 2 2 2 6 2" xfId="616"/>
    <cellStyle name="Calculation 2 2 2 6 2 10" xfId="23938"/>
    <cellStyle name="Calculation 2 2 2 6 2 11" xfId="24937"/>
    <cellStyle name="Calculation 2 2 2 6 2 12" xfId="27882"/>
    <cellStyle name="Calculation 2 2 2 6 2 13" xfId="28851"/>
    <cellStyle name="Calculation 2 2 2 6 2 14" xfId="29890"/>
    <cellStyle name="Calculation 2 2 2 6 2 15" xfId="30883"/>
    <cellStyle name="Calculation 2 2 2 6 2 16" xfId="31892"/>
    <cellStyle name="Calculation 2 2 2 6 2 17" xfId="32895"/>
    <cellStyle name="Calculation 2 2 2 6 2 18" xfId="33894"/>
    <cellStyle name="Calculation 2 2 2 6 2 19" xfId="35515"/>
    <cellStyle name="Calculation 2 2 2 6 2 2" xfId="15918"/>
    <cellStyle name="Calculation 2 2 2 6 2 20" xfId="36454"/>
    <cellStyle name="Calculation 2 2 2 6 2 3" xfId="16896"/>
    <cellStyle name="Calculation 2 2 2 6 2 4" xfId="17924"/>
    <cellStyle name="Calculation 2 2 2 6 2 5" xfId="18956"/>
    <cellStyle name="Calculation 2 2 2 6 2 6" xfId="19978"/>
    <cellStyle name="Calculation 2 2 2 6 2 7" xfId="20987"/>
    <cellStyle name="Calculation 2 2 2 6 2 8" xfId="21961"/>
    <cellStyle name="Calculation 2 2 2 6 2 9" xfId="22966"/>
    <cellStyle name="Calculation 2 2 2 6 20" xfId="35514"/>
    <cellStyle name="Calculation 2 2 2 6 21" xfId="36453"/>
    <cellStyle name="Calculation 2 2 2 6 3" xfId="15917"/>
    <cellStyle name="Calculation 2 2 2 6 4" xfId="16895"/>
    <cellStyle name="Calculation 2 2 2 6 5" xfId="17923"/>
    <cellStyle name="Calculation 2 2 2 6 6" xfId="18955"/>
    <cellStyle name="Calculation 2 2 2 6 7" xfId="19977"/>
    <cellStyle name="Calculation 2 2 2 6 8" xfId="20986"/>
    <cellStyle name="Calculation 2 2 2 6 9" xfId="21960"/>
    <cellStyle name="Calculation 2 2 2 7" xfId="617"/>
    <cellStyle name="Calculation 2 2 2 7 10" xfId="22967"/>
    <cellStyle name="Calculation 2 2 2 7 11" xfId="23939"/>
    <cellStyle name="Calculation 2 2 2 7 12" xfId="24938"/>
    <cellStyle name="Calculation 2 2 2 7 13" xfId="27883"/>
    <cellStyle name="Calculation 2 2 2 7 14" xfId="28852"/>
    <cellStyle name="Calculation 2 2 2 7 15" xfId="29891"/>
    <cellStyle name="Calculation 2 2 2 7 16" xfId="30884"/>
    <cellStyle name="Calculation 2 2 2 7 17" xfId="31893"/>
    <cellStyle name="Calculation 2 2 2 7 18" xfId="32896"/>
    <cellStyle name="Calculation 2 2 2 7 19" xfId="33895"/>
    <cellStyle name="Calculation 2 2 2 7 2" xfId="618"/>
    <cellStyle name="Calculation 2 2 2 7 2 10" xfId="23940"/>
    <cellStyle name="Calculation 2 2 2 7 2 11" xfId="24939"/>
    <cellStyle name="Calculation 2 2 2 7 2 12" xfId="27884"/>
    <cellStyle name="Calculation 2 2 2 7 2 13" xfId="28853"/>
    <cellStyle name="Calculation 2 2 2 7 2 14" xfId="29892"/>
    <cellStyle name="Calculation 2 2 2 7 2 15" xfId="30885"/>
    <cellStyle name="Calculation 2 2 2 7 2 16" xfId="31894"/>
    <cellStyle name="Calculation 2 2 2 7 2 17" xfId="32897"/>
    <cellStyle name="Calculation 2 2 2 7 2 18" xfId="33896"/>
    <cellStyle name="Calculation 2 2 2 7 2 19" xfId="35517"/>
    <cellStyle name="Calculation 2 2 2 7 2 2" xfId="15920"/>
    <cellStyle name="Calculation 2 2 2 7 2 20" xfId="36456"/>
    <cellStyle name="Calculation 2 2 2 7 2 3" xfId="16898"/>
    <cellStyle name="Calculation 2 2 2 7 2 4" xfId="17926"/>
    <cellStyle name="Calculation 2 2 2 7 2 5" xfId="18958"/>
    <cellStyle name="Calculation 2 2 2 7 2 6" xfId="19980"/>
    <cellStyle name="Calculation 2 2 2 7 2 7" xfId="20989"/>
    <cellStyle name="Calculation 2 2 2 7 2 8" xfId="21963"/>
    <cellStyle name="Calculation 2 2 2 7 2 9" xfId="22968"/>
    <cellStyle name="Calculation 2 2 2 7 20" xfId="35516"/>
    <cellStyle name="Calculation 2 2 2 7 21" xfId="36455"/>
    <cellStyle name="Calculation 2 2 2 7 3" xfId="15919"/>
    <cellStyle name="Calculation 2 2 2 7 4" xfId="16897"/>
    <cellStyle name="Calculation 2 2 2 7 5" xfId="17925"/>
    <cellStyle name="Calculation 2 2 2 7 6" xfId="18957"/>
    <cellStyle name="Calculation 2 2 2 7 7" xfId="19979"/>
    <cellStyle name="Calculation 2 2 2 7 8" xfId="20988"/>
    <cellStyle name="Calculation 2 2 2 7 9" xfId="21962"/>
    <cellStyle name="Calculation 2 2 2 8" xfId="619"/>
    <cellStyle name="Calculation 2 2 2 8 10" xfId="22969"/>
    <cellStyle name="Calculation 2 2 2 8 11" xfId="23941"/>
    <cellStyle name="Calculation 2 2 2 8 12" xfId="24940"/>
    <cellStyle name="Calculation 2 2 2 8 13" xfId="27885"/>
    <cellStyle name="Calculation 2 2 2 8 14" xfId="28854"/>
    <cellStyle name="Calculation 2 2 2 8 15" xfId="29893"/>
    <cellStyle name="Calculation 2 2 2 8 16" xfId="30886"/>
    <cellStyle name="Calculation 2 2 2 8 17" xfId="31895"/>
    <cellStyle name="Calculation 2 2 2 8 18" xfId="32898"/>
    <cellStyle name="Calculation 2 2 2 8 19" xfId="33897"/>
    <cellStyle name="Calculation 2 2 2 8 2" xfId="620"/>
    <cellStyle name="Calculation 2 2 2 8 2 10" xfId="23942"/>
    <cellStyle name="Calculation 2 2 2 8 2 11" xfId="24941"/>
    <cellStyle name="Calculation 2 2 2 8 2 12" xfId="27886"/>
    <cellStyle name="Calculation 2 2 2 8 2 13" xfId="28855"/>
    <cellStyle name="Calculation 2 2 2 8 2 14" xfId="29894"/>
    <cellStyle name="Calculation 2 2 2 8 2 15" xfId="30887"/>
    <cellStyle name="Calculation 2 2 2 8 2 16" xfId="31896"/>
    <cellStyle name="Calculation 2 2 2 8 2 17" xfId="32899"/>
    <cellStyle name="Calculation 2 2 2 8 2 18" xfId="33898"/>
    <cellStyle name="Calculation 2 2 2 8 2 19" xfId="35519"/>
    <cellStyle name="Calculation 2 2 2 8 2 2" xfId="15922"/>
    <cellStyle name="Calculation 2 2 2 8 2 20" xfId="36458"/>
    <cellStyle name="Calculation 2 2 2 8 2 3" xfId="16900"/>
    <cellStyle name="Calculation 2 2 2 8 2 4" xfId="17928"/>
    <cellStyle name="Calculation 2 2 2 8 2 5" xfId="18960"/>
    <cellStyle name="Calculation 2 2 2 8 2 6" xfId="19982"/>
    <cellStyle name="Calculation 2 2 2 8 2 7" xfId="20991"/>
    <cellStyle name="Calculation 2 2 2 8 2 8" xfId="21965"/>
    <cellStyle name="Calculation 2 2 2 8 2 9" xfId="22970"/>
    <cellStyle name="Calculation 2 2 2 8 20" xfId="35518"/>
    <cellStyle name="Calculation 2 2 2 8 21" xfId="36457"/>
    <cellStyle name="Calculation 2 2 2 8 3" xfId="15921"/>
    <cellStyle name="Calculation 2 2 2 8 4" xfId="16899"/>
    <cellStyle name="Calculation 2 2 2 8 5" xfId="17927"/>
    <cellStyle name="Calculation 2 2 2 8 6" xfId="18959"/>
    <cellStyle name="Calculation 2 2 2 8 7" xfId="19981"/>
    <cellStyle name="Calculation 2 2 2 8 8" xfId="20990"/>
    <cellStyle name="Calculation 2 2 2 8 9" xfId="21964"/>
    <cellStyle name="Calculation 2 2 2 9" xfId="621"/>
    <cellStyle name="Calculation 2 2 2 9 10" xfId="23943"/>
    <cellStyle name="Calculation 2 2 2 9 11" xfId="24942"/>
    <cellStyle name="Calculation 2 2 2 9 12" xfId="27887"/>
    <cellStyle name="Calculation 2 2 2 9 13" xfId="28856"/>
    <cellStyle name="Calculation 2 2 2 9 14" xfId="29895"/>
    <cellStyle name="Calculation 2 2 2 9 15" xfId="30888"/>
    <cellStyle name="Calculation 2 2 2 9 16" xfId="31897"/>
    <cellStyle name="Calculation 2 2 2 9 17" xfId="32900"/>
    <cellStyle name="Calculation 2 2 2 9 18" xfId="33899"/>
    <cellStyle name="Calculation 2 2 2 9 19" xfId="35520"/>
    <cellStyle name="Calculation 2 2 2 9 2" xfId="15923"/>
    <cellStyle name="Calculation 2 2 2 9 20" xfId="36459"/>
    <cellStyle name="Calculation 2 2 2 9 3" xfId="16901"/>
    <cellStyle name="Calculation 2 2 2 9 4" xfId="17929"/>
    <cellStyle name="Calculation 2 2 2 9 5" xfId="18961"/>
    <cellStyle name="Calculation 2 2 2 9 6" xfId="19983"/>
    <cellStyle name="Calculation 2 2 2 9 7" xfId="20992"/>
    <cellStyle name="Calculation 2 2 2 9 8" xfId="21966"/>
    <cellStyle name="Calculation 2 2 2 9 9" xfId="22971"/>
    <cellStyle name="Calculation 2 2 3" xfId="622"/>
    <cellStyle name="Calculation 2 2 3 10" xfId="13631"/>
    <cellStyle name="Calculation 2 2 3 11" xfId="13787"/>
    <cellStyle name="Calculation 2 2 3 12" xfId="15483"/>
    <cellStyle name="Calculation 2 2 3 13" xfId="15261"/>
    <cellStyle name="Calculation 2 2 3 14" xfId="13424"/>
    <cellStyle name="Calculation 2 2 3 15" xfId="21866"/>
    <cellStyle name="Calculation 2 2 3 16" xfId="26071"/>
    <cellStyle name="Calculation 2 2 3 17" xfId="26052"/>
    <cellStyle name="Calculation 2 2 3 18" xfId="27208"/>
    <cellStyle name="Calculation 2 2 3 19" xfId="27612"/>
    <cellStyle name="Calculation 2 2 3 2" xfId="623"/>
    <cellStyle name="Calculation 2 2 3 2 10" xfId="18892"/>
    <cellStyle name="Calculation 2 2 3 2 11" xfId="14254"/>
    <cellStyle name="Calculation 2 2 3 2 12" xfId="26294"/>
    <cellStyle name="Calculation 2 2 3 2 13" xfId="27183"/>
    <cellStyle name="Calculation 2 2 3 2 14" xfId="26811"/>
    <cellStyle name="Calculation 2 2 3 2 15" xfId="27338"/>
    <cellStyle name="Calculation 2 2 3 2 16" xfId="27637"/>
    <cellStyle name="Calculation 2 2 3 2 17" xfId="26576"/>
    <cellStyle name="Calculation 2 2 3 2 18" xfId="34990"/>
    <cellStyle name="Calculation 2 2 3 2 19" xfId="35336"/>
    <cellStyle name="Calculation 2 2 3 2 2" xfId="624"/>
    <cellStyle name="Calculation 2 2 3 2 2 10" xfId="22972"/>
    <cellStyle name="Calculation 2 2 3 2 2 11" xfId="23944"/>
    <cellStyle name="Calculation 2 2 3 2 2 12" xfId="24943"/>
    <cellStyle name="Calculation 2 2 3 2 2 13" xfId="27888"/>
    <cellStyle name="Calculation 2 2 3 2 2 14" xfId="28857"/>
    <cellStyle name="Calculation 2 2 3 2 2 15" xfId="29896"/>
    <cellStyle name="Calculation 2 2 3 2 2 16" xfId="30889"/>
    <cellStyle name="Calculation 2 2 3 2 2 17" xfId="31898"/>
    <cellStyle name="Calculation 2 2 3 2 2 18" xfId="32901"/>
    <cellStyle name="Calculation 2 2 3 2 2 19" xfId="33900"/>
    <cellStyle name="Calculation 2 2 3 2 2 2" xfId="625"/>
    <cellStyle name="Calculation 2 2 3 2 2 2 10" xfId="23945"/>
    <cellStyle name="Calculation 2 2 3 2 2 2 11" xfId="24944"/>
    <cellStyle name="Calculation 2 2 3 2 2 2 12" xfId="27889"/>
    <cellStyle name="Calculation 2 2 3 2 2 2 13" xfId="28858"/>
    <cellStyle name="Calculation 2 2 3 2 2 2 14" xfId="29897"/>
    <cellStyle name="Calculation 2 2 3 2 2 2 15" xfId="30890"/>
    <cellStyle name="Calculation 2 2 3 2 2 2 16" xfId="31899"/>
    <cellStyle name="Calculation 2 2 3 2 2 2 17" xfId="32902"/>
    <cellStyle name="Calculation 2 2 3 2 2 2 18" xfId="33901"/>
    <cellStyle name="Calculation 2 2 3 2 2 2 19" xfId="35522"/>
    <cellStyle name="Calculation 2 2 3 2 2 2 2" xfId="15925"/>
    <cellStyle name="Calculation 2 2 3 2 2 2 20" xfId="36461"/>
    <cellStyle name="Calculation 2 2 3 2 2 2 3" xfId="16903"/>
    <cellStyle name="Calculation 2 2 3 2 2 2 4" xfId="17931"/>
    <cellStyle name="Calculation 2 2 3 2 2 2 5" xfId="18963"/>
    <cellStyle name="Calculation 2 2 3 2 2 2 6" xfId="19985"/>
    <cellStyle name="Calculation 2 2 3 2 2 2 7" xfId="20994"/>
    <cellStyle name="Calculation 2 2 3 2 2 2 8" xfId="21968"/>
    <cellStyle name="Calculation 2 2 3 2 2 2 9" xfId="22973"/>
    <cellStyle name="Calculation 2 2 3 2 2 20" xfId="35521"/>
    <cellStyle name="Calculation 2 2 3 2 2 21" xfId="36460"/>
    <cellStyle name="Calculation 2 2 3 2 2 3" xfId="15924"/>
    <cellStyle name="Calculation 2 2 3 2 2 4" xfId="16902"/>
    <cellStyle name="Calculation 2 2 3 2 2 5" xfId="17930"/>
    <cellStyle name="Calculation 2 2 3 2 2 6" xfId="18962"/>
    <cellStyle name="Calculation 2 2 3 2 2 7" xfId="19984"/>
    <cellStyle name="Calculation 2 2 3 2 2 8" xfId="20993"/>
    <cellStyle name="Calculation 2 2 3 2 2 9" xfId="21967"/>
    <cellStyle name="Calculation 2 2 3 2 3" xfId="626"/>
    <cellStyle name="Calculation 2 2 3 2 3 10" xfId="22974"/>
    <cellStyle name="Calculation 2 2 3 2 3 11" xfId="23946"/>
    <cellStyle name="Calculation 2 2 3 2 3 12" xfId="24945"/>
    <cellStyle name="Calculation 2 2 3 2 3 13" xfId="27890"/>
    <cellStyle name="Calculation 2 2 3 2 3 14" xfId="28859"/>
    <cellStyle name="Calculation 2 2 3 2 3 15" xfId="29898"/>
    <cellStyle name="Calculation 2 2 3 2 3 16" xfId="30891"/>
    <cellStyle name="Calculation 2 2 3 2 3 17" xfId="31900"/>
    <cellStyle name="Calculation 2 2 3 2 3 18" xfId="32903"/>
    <cellStyle name="Calculation 2 2 3 2 3 19" xfId="33902"/>
    <cellStyle name="Calculation 2 2 3 2 3 2" xfId="627"/>
    <cellStyle name="Calculation 2 2 3 2 3 2 10" xfId="23947"/>
    <cellStyle name="Calculation 2 2 3 2 3 2 11" xfId="24946"/>
    <cellStyle name="Calculation 2 2 3 2 3 2 12" xfId="27891"/>
    <cellStyle name="Calculation 2 2 3 2 3 2 13" xfId="28860"/>
    <cellStyle name="Calculation 2 2 3 2 3 2 14" xfId="29899"/>
    <cellStyle name="Calculation 2 2 3 2 3 2 15" xfId="30892"/>
    <cellStyle name="Calculation 2 2 3 2 3 2 16" xfId="31901"/>
    <cellStyle name="Calculation 2 2 3 2 3 2 17" xfId="32904"/>
    <cellStyle name="Calculation 2 2 3 2 3 2 18" xfId="33903"/>
    <cellStyle name="Calculation 2 2 3 2 3 2 19" xfId="35524"/>
    <cellStyle name="Calculation 2 2 3 2 3 2 2" xfId="15927"/>
    <cellStyle name="Calculation 2 2 3 2 3 2 20" xfId="36463"/>
    <cellStyle name="Calculation 2 2 3 2 3 2 3" xfId="16905"/>
    <cellStyle name="Calculation 2 2 3 2 3 2 4" xfId="17933"/>
    <cellStyle name="Calculation 2 2 3 2 3 2 5" xfId="18965"/>
    <cellStyle name="Calculation 2 2 3 2 3 2 6" xfId="19987"/>
    <cellStyle name="Calculation 2 2 3 2 3 2 7" xfId="20996"/>
    <cellStyle name="Calculation 2 2 3 2 3 2 8" xfId="21970"/>
    <cellStyle name="Calculation 2 2 3 2 3 2 9" xfId="22975"/>
    <cellStyle name="Calculation 2 2 3 2 3 20" xfId="35523"/>
    <cellStyle name="Calculation 2 2 3 2 3 21" xfId="36462"/>
    <cellStyle name="Calculation 2 2 3 2 3 3" xfId="15926"/>
    <cellStyle name="Calculation 2 2 3 2 3 4" xfId="16904"/>
    <cellStyle name="Calculation 2 2 3 2 3 5" xfId="17932"/>
    <cellStyle name="Calculation 2 2 3 2 3 6" xfId="18964"/>
    <cellStyle name="Calculation 2 2 3 2 3 7" xfId="19986"/>
    <cellStyle name="Calculation 2 2 3 2 3 8" xfId="20995"/>
    <cellStyle name="Calculation 2 2 3 2 3 9" xfId="21969"/>
    <cellStyle name="Calculation 2 2 3 2 4" xfId="628"/>
    <cellStyle name="Calculation 2 2 3 2 4 10" xfId="22976"/>
    <cellStyle name="Calculation 2 2 3 2 4 11" xfId="23948"/>
    <cellStyle name="Calculation 2 2 3 2 4 12" xfId="24947"/>
    <cellStyle name="Calculation 2 2 3 2 4 13" xfId="27892"/>
    <cellStyle name="Calculation 2 2 3 2 4 14" xfId="28861"/>
    <cellStyle name="Calculation 2 2 3 2 4 15" xfId="29900"/>
    <cellStyle name="Calculation 2 2 3 2 4 16" xfId="30893"/>
    <cellStyle name="Calculation 2 2 3 2 4 17" xfId="31902"/>
    <cellStyle name="Calculation 2 2 3 2 4 18" xfId="32905"/>
    <cellStyle name="Calculation 2 2 3 2 4 19" xfId="33904"/>
    <cellStyle name="Calculation 2 2 3 2 4 2" xfId="629"/>
    <cellStyle name="Calculation 2 2 3 2 4 2 10" xfId="23949"/>
    <cellStyle name="Calculation 2 2 3 2 4 2 11" xfId="24948"/>
    <cellStyle name="Calculation 2 2 3 2 4 2 12" xfId="27893"/>
    <cellStyle name="Calculation 2 2 3 2 4 2 13" xfId="28862"/>
    <cellStyle name="Calculation 2 2 3 2 4 2 14" xfId="29901"/>
    <cellStyle name="Calculation 2 2 3 2 4 2 15" xfId="30894"/>
    <cellStyle name="Calculation 2 2 3 2 4 2 16" xfId="31903"/>
    <cellStyle name="Calculation 2 2 3 2 4 2 17" xfId="32906"/>
    <cellStyle name="Calculation 2 2 3 2 4 2 18" xfId="33905"/>
    <cellStyle name="Calculation 2 2 3 2 4 2 19" xfId="35526"/>
    <cellStyle name="Calculation 2 2 3 2 4 2 2" xfId="15929"/>
    <cellStyle name="Calculation 2 2 3 2 4 2 20" xfId="36465"/>
    <cellStyle name="Calculation 2 2 3 2 4 2 3" xfId="16907"/>
    <cellStyle name="Calculation 2 2 3 2 4 2 4" xfId="17935"/>
    <cellStyle name="Calculation 2 2 3 2 4 2 5" xfId="18967"/>
    <cellStyle name="Calculation 2 2 3 2 4 2 6" xfId="19989"/>
    <cellStyle name="Calculation 2 2 3 2 4 2 7" xfId="20998"/>
    <cellStyle name="Calculation 2 2 3 2 4 2 8" xfId="21972"/>
    <cellStyle name="Calculation 2 2 3 2 4 2 9" xfId="22977"/>
    <cellStyle name="Calculation 2 2 3 2 4 20" xfId="35525"/>
    <cellStyle name="Calculation 2 2 3 2 4 21" xfId="36464"/>
    <cellStyle name="Calculation 2 2 3 2 4 3" xfId="15928"/>
    <cellStyle name="Calculation 2 2 3 2 4 4" xfId="16906"/>
    <cellStyle name="Calculation 2 2 3 2 4 5" xfId="17934"/>
    <cellStyle name="Calculation 2 2 3 2 4 6" xfId="18966"/>
    <cellStyle name="Calculation 2 2 3 2 4 7" xfId="19988"/>
    <cellStyle name="Calculation 2 2 3 2 4 8" xfId="20997"/>
    <cellStyle name="Calculation 2 2 3 2 4 9" xfId="21971"/>
    <cellStyle name="Calculation 2 2 3 2 5" xfId="630"/>
    <cellStyle name="Calculation 2 2 3 2 5 10" xfId="23950"/>
    <cellStyle name="Calculation 2 2 3 2 5 11" xfId="24949"/>
    <cellStyle name="Calculation 2 2 3 2 5 12" xfId="27894"/>
    <cellStyle name="Calculation 2 2 3 2 5 13" xfId="28863"/>
    <cellStyle name="Calculation 2 2 3 2 5 14" xfId="29902"/>
    <cellStyle name="Calculation 2 2 3 2 5 15" xfId="30895"/>
    <cellStyle name="Calculation 2 2 3 2 5 16" xfId="31904"/>
    <cellStyle name="Calculation 2 2 3 2 5 17" xfId="32907"/>
    <cellStyle name="Calculation 2 2 3 2 5 18" xfId="33906"/>
    <cellStyle name="Calculation 2 2 3 2 5 19" xfId="35527"/>
    <cellStyle name="Calculation 2 2 3 2 5 2" xfId="15930"/>
    <cellStyle name="Calculation 2 2 3 2 5 20" xfId="36466"/>
    <cellStyle name="Calculation 2 2 3 2 5 3" xfId="16908"/>
    <cellStyle name="Calculation 2 2 3 2 5 4" xfId="17936"/>
    <cellStyle name="Calculation 2 2 3 2 5 5" xfId="18968"/>
    <cellStyle name="Calculation 2 2 3 2 5 6" xfId="19990"/>
    <cellStyle name="Calculation 2 2 3 2 5 7" xfId="20999"/>
    <cellStyle name="Calculation 2 2 3 2 5 8" xfId="21973"/>
    <cellStyle name="Calculation 2 2 3 2 5 9" xfId="22978"/>
    <cellStyle name="Calculation 2 2 3 2 6" xfId="15190"/>
    <cellStyle name="Calculation 2 2 3 2 7" xfId="14075"/>
    <cellStyle name="Calculation 2 2 3 2 8" xfId="14573"/>
    <cellStyle name="Calculation 2 2 3 2 9" xfId="14750"/>
    <cellStyle name="Calculation 2 2 3 20" xfId="26986"/>
    <cellStyle name="Calculation 2 2 3 21" xfId="26009"/>
    <cellStyle name="Calculation 2 2 3 22" xfId="34933"/>
    <cellStyle name="Calculation 2 2 3 23" xfId="35369"/>
    <cellStyle name="Calculation 2 2 3 3" xfId="631"/>
    <cellStyle name="Calculation 2 2 3 3 10" xfId="14403"/>
    <cellStyle name="Calculation 2 2 3 3 11" xfId="15443"/>
    <cellStyle name="Calculation 2 2 3 3 12" xfId="26374"/>
    <cellStyle name="Calculation 2 2 3 3 13" xfId="27131"/>
    <cellStyle name="Calculation 2 2 3 3 14" xfId="26141"/>
    <cellStyle name="Calculation 2 2 3 3 15" xfId="26767"/>
    <cellStyle name="Calculation 2 2 3 3 16" xfId="27563"/>
    <cellStyle name="Calculation 2 2 3 3 17" xfId="27341"/>
    <cellStyle name="Calculation 2 2 3 3 18" xfId="35065"/>
    <cellStyle name="Calculation 2 2 3 3 19" xfId="35286"/>
    <cellStyle name="Calculation 2 2 3 3 2" xfId="632"/>
    <cellStyle name="Calculation 2 2 3 3 2 10" xfId="22979"/>
    <cellStyle name="Calculation 2 2 3 3 2 11" xfId="23951"/>
    <cellStyle name="Calculation 2 2 3 3 2 12" xfId="24950"/>
    <cellStyle name="Calculation 2 2 3 3 2 13" xfId="27895"/>
    <cellStyle name="Calculation 2 2 3 3 2 14" xfId="28864"/>
    <cellStyle name="Calculation 2 2 3 3 2 15" xfId="29903"/>
    <cellStyle name="Calculation 2 2 3 3 2 16" xfId="30896"/>
    <cellStyle name="Calculation 2 2 3 3 2 17" xfId="31905"/>
    <cellStyle name="Calculation 2 2 3 3 2 18" xfId="32908"/>
    <cellStyle name="Calculation 2 2 3 3 2 19" xfId="33907"/>
    <cellStyle name="Calculation 2 2 3 3 2 2" xfId="633"/>
    <cellStyle name="Calculation 2 2 3 3 2 2 10" xfId="23952"/>
    <cellStyle name="Calculation 2 2 3 3 2 2 11" xfId="24951"/>
    <cellStyle name="Calculation 2 2 3 3 2 2 12" xfId="27896"/>
    <cellStyle name="Calculation 2 2 3 3 2 2 13" xfId="28865"/>
    <cellStyle name="Calculation 2 2 3 3 2 2 14" xfId="29904"/>
    <cellStyle name="Calculation 2 2 3 3 2 2 15" xfId="30897"/>
    <cellStyle name="Calculation 2 2 3 3 2 2 16" xfId="31906"/>
    <cellStyle name="Calculation 2 2 3 3 2 2 17" xfId="32909"/>
    <cellStyle name="Calculation 2 2 3 3 2 2 18" xfId="33908"/>
    <cellStyle name="Calculation 2 2 3 3 2 2 19" xfId="35529"/>
    <cellStyle name="Calculation 2 2 3 3 2 2 2" xfId="15932"/>
    <cellStyle name="Calculation 2 2 3 3 2 2 20" xfId="36468"/>
    <cellStyle name="Calculation 2 2 3 3 2 2 3" xfId="16910"/>
    <cellStyle name="Calculation 2 2 3 3 2 2 4" xfId="17938"/>
    <cellStyle name="Calculation 2 2 3 3 2 2 5" xfId="18970"/>
    <cellStyle name="Calculation 2 2 3 3 2 2 6" xfId="19992"/>
    <cellStyle name="Calculation 2 2 3 3 2 2 7" xfId="21001"/>
    <cellStyle name="Calculation 2 2 3 3 2 2 8" xfId="21975"/>
    <cellStyle name="Calculation 2 2 3 3 2 2 9" xfId="22980"/>
    <cellStyle name="Calculation 2 2 3 3 2 20" xfId="35528"/>
    <cellStyle name="Calculation 2 2 3 3 2 21" xfId="36467"/>
    <cellStyle name="Calculation 2 2 3 3 2 3" xfId="15931"/>
    <cellStyle name="Calculation 2 2 3 3 2 4" xfId="16909"/>
    <cellStyle name="Calculation 2 2 3 3 2 5" xfId="17937"/>
    <cellStyle name="Calculation 2 2 3 3 2 6" xfId="18969"/>
    <cellStyle name="Calculation 2 2 3 3 2 7" xfId="19991"/>
    <cellStyle name="Calculation 2 2 3 3 2 8" xfId="21000"/>
    <cellStyle name="Calculation 2 2 3 3 2 9" xfId="21974"/>
    <cellStyle name="Calculation 2 2 3 3 3" xfId="634"/>
    <cellStyle name="Calculation 2 2 3 3 3 10" xfId="22981"/>
    <cellStyle name="Calculation 2 2 3 3 3 11" xfId="23953"/>
    <cellStyle name="Calculation 2 2 3 3 3 12" xfId="24952"/>
    <cellStyle name="Calculation 2 2 3 3 3 13" xfId="27897"/>
    <cellStyle name="Calculation 2 2 3 3 3 14" xfId="28866"/>
    <cellStyle name="Calculation 2 2 3 3 3 15" xfId="29905"/>
    <cellStyle name="Calculation 2 2 3 3 3 16" xfId="30898"/>
    <cellStyle name="Calculation 2 2 3 3 3 17" xfId="31907"/>
    <cellStyle name="Calculation 2 2 3 3 3 18" xfId="32910"/>
    <cellStyle name="Calculation 2 2 3 3 3 19" xfId="33909"/>
    <cellStyle name="Calculation 2 2 3 3 3 2" xfId="635"/>
    <cellStyle name="Calculation 2 2 3 3 3 2 10" xfId="23954"/>
    <cellStyle name="Calculation 2 2 3 3 3 2 11" xfId="24953"/>
    <cellStyle name="Calculation 2 2 3 3 3 2 12" xfId="27898"/>
    <cellStyle name="Calculation 2 2 3 3 3 2 13" xfId="28867"/>
    <cellStyle name="Calculation 2 2 3 3 3 2 14" xfId="29906"/>
    <cellStyle name="Calculation 2 2 3 3 3 2 15" xfId="30899"/>
    <cellStyle name="Calculation 2 2 3 3 3 2 16" xfId="31908"/>
    <cellStyle name="Calculation 2 2 3 3 3 2 17" xfId="32911"/>
    <cellStyle name="Calculation 2 2 3 3 3 2 18" xfId="33910"/>
    <cellStyle name="Calculation 2 2 3 3 3 2 19" xfId="35531"/>
    <cellStyle name="Calculation 2 2 3 3 3 2 2" xfId="15934"/>
    <cellStyle name="Calculation 2 2 3 3 3 2 20" xfId="36470"/>
    <cellStyle name="Calculation 2 2 3 3 3 2 3" xfId="16912"/>
    <cellStyle name="Calculation 2 2 3 3 3 2 4" xfId="17940"/>
    <cellStyle name="Calculation 2 2 3 3 3 2 5" xfId="18972"/>
    <cellStyle name="Calculation 2 2 3 3 3 2 6" xfId="19994"/>
    <cellStyle name="Calculation 2 2 3 3 3 2 7" xfId="21003"/>
    <cellStyle name="Calculation 2 2 3 3 3 2 8" xfId="21977"/>
    <cellStyle name="Calculation 2 2 3 3 3 2 9" xfId="22982"/>
    <cellStyle name="Calculation 2 2 3 3 3 20" xfId="35530"/>
    <cellStyle name="Calculation 2 2 3 3 3 21" xfId="36469"/>
    <cellStyle name="Calculation 2 2 3 3 3 3" xfId="15933"/>
    <cellStyle name="Calculation 2 2 3 3 3 4" xfId="16911"/>
    <cellStyle name="Calculation 2 2 3 3 3 5" xfId="17939"/>
    <cellStyle name="Calculation 2 2 3 3 3 6" xfId="18971"/>
    <cellStyle name="Calculation 2 2 3 3 3 7" xfId="19993"/>
    <cellStyle name="Calculation 2 2 3 3 3 8" xfId="21002"/>
    <cellStyle name="Calculation 2 2 3 3 3 9" xfId="21976"/>
    <cellStyle name="Calculation 2 2 3 3 4" xfId="636"/>
    <cellStyle name="Calculation 2 2 3 3 4 10" xfId="22983"/>
    <cellStyle name="Calculation 2 2 3 3 4 11" xfId="23955"/>
    <cellStyle name="Calculation 2 2 3 3 4 12" xfId="24954"/>
    <cellStyle name="Calculation 2 2 3 3 4 13" xfId="27899"/>
    <cellStyle name="Calculation 2 2 3 3 4 14" xfId="28868"/>
    <cellStyle name="Calculation 2 2 3 3 4 15" xfId="29907"/>
    <cellStyle name="Calculation 2 2 3 3 4 16" xfId="30900"/>
    <cellStyle name="Calculation 2 2 3 3 4 17" xfId="31909"/>
    <cellStyle name="Calculation 2 2 3 3 4 18" xfId="32912"/>
    <cellStyle name="Calculation 2 2 3 3 4 19" xfId="33911"/>
    <cellStyle name="Calculation 2 2 3 3 4 2" xfId="637"/>
    <cellStyle name="Calculation 2 2 3 3 4 2 10" xfId="23956"/>
    <cellStyle name="Calculation 2 2 3 3 4 2 11" xfId="24955"/>
    <cellStyle name="Calculation 2 2 3 3 4 2 12" xfId="27900"/>
    <cellStyle name="Calculation 2 2 3 3 4 2 13" xfId="28869"/>
    <cellStyle name="Calculation 2 2 3 3 4 2 14" xfId="29908"/>
    <cellStyle name="Calculation 2 2 3 3 4 2 15" xfId="30901"/>
    <cellStyle name="Calculation 2 2 3 3 4 2 16" xfId="31910"/>
    <cellStyle name="Calculation 2 2 3 3 4 2 17" xfId="32913"/>
    <cellStyle name="Calculation 2 2 3 3 4 2 18" xfId="33912"/>
    <cellStyle name="Calculation 2 2 3 3 4 2 19" xfId="35533"/>
    <cellStyle name="Calculation 2 2 3 3 4 2 2" xfId="15936"/>
    <cellStyle name="Calculation 2 2 3 3 4 2 20" xfId="36472"/>
    <cellStyle name="Calculation 2 2 3 3 4 2 3" xfId="16914"/>
    <cellStyle name="Calculation 2 2 3 3 4 2 4" xfId="17942"/>
    <cellStyle name="Calculation 2 2 3 3 4 2 5" xfId="18974"/>
    <cellStyle name="Calculation 2 2 3 3 4 2 6" xfId="19996"/>
    <cellStyle name="Calculation 2 2 3 3 4 2 7" xfId="21005"/>
    <cellStyle name="Calculation 2 2 3 3 4 2 8" xfId="21979"/>
    <cellStyle name="Calculation 2 2 3 3 4 2 9" xfId="22984"/>
    <cellStyle name="Calculation 2 2 3 3 4 20" xfId="35532"/>
    <cellStyle name="Calculation 2 2 3 3 4 21" xfId="36471"/>
    <cellStyle name="Calculation 2 2 3 3 4 3" xfId="15935"/>
    <cellStyle name="Calculation 2 2 3 3 4 4" xfId="16913"/>
    <cellStyle name="Calculation 2 2 3 3 4 5" xfId="17941"/>
    <cellStyle name="Calculation 2 2 3 3 4 6" xfId="18973"/>
    <cellStyle name="Calculation 2 2 3 3 4 7" xfId="19995"/>
    <cellStyle name="Calculation 2 2 3 3 4 8" xfId="21004"/>
    <cellStyle name="Calculation 2 2 3 3 4 9" xfId="21978"/>
    <cellStyle name="Calculation 2 2 3 3 5" xfId="638"/>
    <cellStyle name="Calculation 2 2 3 3 5 10" xfId="23957"/>
    <cellStyle name="Calculation 2 2 3 3 5 11" xfId="24956"/>
    <cellStyle name="Calculation 2 2 3 3 5 12" xfId="27901"/>
    <cellStyle name="Calculation 2 2 3 3 5 13" xfId="28870"/>
    <cellStyle name="Calculation 2 2 3 3 5 14" xfId="29909"/>
    <cellStyle name="Calculation 2 2 3 3 5 15" xfId="30902"/>
    <cellStyle name="Calculation 2 2 3 3 5 16" xfId="31911"/>
    <cellStyle name="Calculation 2 2 3 3 5 17" xfId="32914"/>
    <cellStyle name="Calculation 2 2 3 3 5 18" xfId="33913"/>
    <cellStyle name="Calculation 2 2 3 3 5 19" xfId="35534"/>
    <cellStyle name="Calculation 2 2 3 3 5 2" xfId="15937"/>
    <cellStyle name="Calculation 2 2 3 3 5 20" xfId="36473"/>
    <cellStyle name="Calculation 2 2 3 3 5 3" xfId="16915"/>
    <cellStyle name="Calculation 2 2 3 3 5 4" xfId="17943"/>
    <cellStyle name="Calculation 2 2 3 3 5 5" xfId="18975"/>
    <cellStyle name="Calculation 2 2 3 3 5 6" xfId="19997"/>
    <cellStyle name="Calculation 2 2 3 3 5 7" xfId="21006"/>
    <cellStyle name="Calculation 2 2 3 3 5 8" xfId="21980"/>
    <cellStyle name="Calculation 2 2 3 3 5 9" xfId="22985"/>
    <cellStyle name="Calculation 2 2 3 3 6" xfId="14420"/>
    <cellStyle name="Calculation 2 2 3 3 7" xfId="15384"/>
    <cellStyle name="Calculation 2 2 3 3 8" xfId="15505"/>
    <cellStyle name="Calculation 2 2 3 3 9" xfId="15604"/>
    <cellStyle name="Calculation 2 2 3 4" xfId="639"/>
    <cellStyle name="Calculation 2 2 3 4 10" xfId="15778"/>
    <cellStyle name="Calculation 2 2 3 4 11" xfId="20898"/>
    <cellStyle name="Calculation 2 2 3 4 12" xfId="26458"/>
    <cellStyle name="Calculation 2 2 3 4 13" xfId="27077"/>
    <cellStyle name="Calculation 2 2 3 4 14" xfId="26169"/>
    <cellStyle name="Calculation 2 2 3 4 15" xfId="27851"/>
    <cellStyle name="Calculation 2 2 3 4 16" xfId="25936"/>
    <cellStyle name="Calculation 2 2 3 4 17" xfId="27379"/>
    <cellStyle name="Calculation 2 2 3 4 18" xfId="35141"/>
    <cellStyle name="Calculation 2 2 3 4 19" xfId="35232"/>
    <cellStyle name="Calculation 2 2 3 4 2" xfId="640"/>
    <cellStyle name="Calculation 2 2 3 4 2 10" xfId="22986"/>
    <cellStyle name="Calculation 2 2 3 4 2 11" xfId="23958"/>
    <cellStyle name="Calculation 2 2 3 4 2 12" xfId="24957"/>
    <cellStyle name="Calculation 2 2 3 4 2 13" xfId="27902"/>
    <cellStyle name="Calculation 2 2 3 4 2 14" xfId="28871"/>
    <cellStyle name="Calculation 2 2 3 4 2 15" xfId="29910"/>
    <cellStyle name="Calculation 2 2 3 4 2 16" xfId="30903"/>
    <cellStyle name="Calculation 2 2 3 4 2 17" xfId="31912"/>
    <cellStyle name="Calculation 2 2 3 4 2 18" xfId="32915"/>
    <cellStyle name="Calculation 2 2 3 4 2 19" xfId="33914"/>
    <cellStyle name="Calculation 2 2 3 4 2 2" xfId="641"/>
    <cellStyle name="Calculation 2 2 3 4 2 2 10" xfId="23959"/>
    <cellStyle name="Calculation 2 2 3 4 2 2 11" xfId="24958"/>
    <cellStyle name="Calculation 2 2 3 4 2 2 12" xfId="27903"/>
    <cellStyle name="Calculation 2 2 3 4 2 2 13" xfId="28872"/>
    <cellStyle name="Calculation 2 2 3 4 2 2 14" xfId="29911"/>
    <cellStyle name="Calculation 2 2 3 4 2 2 15" xfId="30904"/>
    <cellStyle name="Calculation 2 2 3 4 2 2 16" xfId="31913"/>
    <cellStyle name="Calculation 2 2 3 4 2 2 17" xfId="32916"/>
    <cellStyle name="Calculation 2 2 3 4 2 2 18" xfId="33915"/>
    <cellStyle name="Calculation 2 2 3 4 2 2 19" xfId="35536"/>
    <cellStyle name="Calculation 2 2 3 4 2 2 2" xfId="15939"/>
    <cellStyle name="Calculation 2 2 3 4 2 2 20" xfId="36475"/>
    <cellStyle name="Calculation 2 2 3 4 2 2 3" xfId="16917"/>
    <cellStyle name="Calculation 2 2 3 4 2 2 4" xfId="17945"/>
    <cellStyle name="Calculation 2 2 3 4 2 2 5" xfId="18977"/>
    <cellStyle name="Calculation 2 2 3 4 2 2 6" xfId="19999"/>
    <cellStyle name="Calculation 2 2 3 4 2 2 7" xfId="21008"/>
    <cellStyle name="Calculation 2 2 3 4 2 2 8" xfId="21982"/>
    <cellStyle name="Calculation 2 2 3 4 2 2 9" xfId="22987"/>
    <cellStyle name="Calculation 2 2 3 4 2 20" xfId="35535"/>
    <cellStyle name="Calculation 2 2 3 4 2 21" xfId="36474"/>
    <cellStyle name="Calculation 2 2 3 4 2 3" xfId="15938"/>
    <cellStyle name="Calculation 2 2 3 4 2 4" xfId="16916"/>
    <cellStyle name="Calculation 2 2 3 4 2 5" xfId="17944"/>
    <cellStyle name="Calculation 2 2 3 4 2 6" xfId="18976"/>
    <cellStyle name="Calculation 2 2 3 4 2 7" xfId="19998"/>
    <cellStyle name="Calculation 2 2 3 4 2 8" xfId="21007"/>
    <cellStyle name="Calculation 2 2 3 4 2 9" xfId="21981"/>
    <cellStyle name="Calculation 2 2 3 4 3" xfId="642"/>
    <cellStyle name="Calculation 2 2 3 4 3 10" xfId="22988"/>
    <cellStyle name="Calculation 2 2 3 4 3 11" xfId="23960"/>
    <cellStyle name="Calculation 2 2 3 4 3 12" xfId="24959"/>
    <cellStyle name="Calculation 2 2 3 4 3 13" xfId="27904"/>
    <cellStyle name="Calculation 2 2 3 4 3 14" xfId="28873"/>
    <cellStyle name="Calculation 2 2 3 4 3 15" xfId="29912"/>
    <cellStyle name="Calculation 2 2 3 4 3 16" xfId="30905"/>
    <cellStyle name="Calculation 2 2 3 4 3 17" xfId="31914"/>
    <cellStyle name="Calculation 2 2 3 4 3 18" xfId="32917"/>
    <cellStyle name="Calculation 2 2 3 4 3 19" xfId="33916"/>
    <cellStyle name="Calculation 2 2 3 4 3 2" xfId="643"/>
    <cellStyle name="Calculation 2 2 3 4 3 2 10" xfId="23961"/>
    <cellStyle name="Calculation 2 2 3 4 3 2 11" xfId="24960"/>
    <cellStyle name="Calculation 2 2 3 4 3 2 12" xfId="27905"/>
    <cellStyle name="Calculation 2 2 3 4 3 2 13" xfId="28874"/>
    <cellStyle name="Calculation 2 2 3 4 3 2 14" xfId="29913"/>
    <cellStyle name="Calculation 2 2 3 4 3 2 15" xfId="30906"/>
    <cellStyle name="Calculation 2 2 3 4 3 2 16" xfId="31915"/>
    <cellStyle name="Calculation 2 2 3 4 3 2 17" xfId="32918"/>
    <cellStyle name="Calculation 2 2 3 4 3 2 18" xfId="33917"/>
    <cellStyle name="Calculation 2 2 3 4 3 2 19" xfId="35538"/>
    <cellStyle name="Calculation 2 2 3 4 3 2 2" xfId="15941"/>
    <cellStyle name="Calculation 2 2 3 4 3 2 20" xfId="36477"/>
    <cellStyle name="Calculation 2 2 3 4 3 2 3" xfId="16919"/>
    <cellStyle name="Calculation 2 2 3 4 3 2 4" xfId="17947"/>
    <cellStyle name="Calculation 2 2 3 4 3 2 5" xfId="18979"/>
    <cellStyle name="Calculation 2 2 3 4 3 2 6" xfId="20001"/>
    <cellStyle name="Calculation 2 2 3 4 3 2 7" xfId="21010"/>
    <cellStyle name="Calculation 2 2 3 4 3 2 8" xfId="21984"/>
    <cellStyle name="Calculation 2 2 3 4 3 2 9" xfId="22989"/>
    <cellStyle name="Calculation 2 2 3 4 3 20" xfId="35537"/>
    <cellStyle name="Calculation 2 2 3 4 3 21" xfId="36476"/>
    <cellStyle name="Calculation 2 2 3 4 3 3" xfId="15940"/>
    <cellStyle name="Calculation 2 2 3 4 3 4" xfId="16918"/>
    <cellStyle name="Calculation 2 2 3 4 3 5" xfId="17946"/>
    <cellStyle name="Calculation 2 2 3 4 3 6" xfId="18978"/>
    <cellStyle name="Calculation 2 2 3 4 3 7" xfId="20000"/>
    <cellStyle name="Calculation 2 2 3 4 3 8" xfId="21009"/>
    <cellStyle name="Calculation 2 2 3 4 3 9" xfId="21983"/>
    <cellStyle name="Calculation 2 2 3 4 4" xfId="644"/>
    <cellStyle name="Calculation 2 2 3 4 4 10" xfId="22990"/>
    <cellStyle name="Calculation 2 2 3 4 4 11" xfId="23962"/>
    <cellStyle name="Calculation 2 2 3 4 4 12" xfId="24961"/>
    <cellStyle name="Calculation 2 2 3 4 4 13" xfId="27906"/>
    <cellStyle name="Calculation 2 2 3 4 4 14" xfId="28875"/>
    <cellStyle name="Calculation 2 2 3 4 4 15" xfId="29914"/>
    <cellStyle name="Calculation 2 2 3 4 4 16" xfId="30907"/>
    <cellStyle name="Calculation 2 2 3 4 4 17" xfId="31916"/>
    <cellStyle name="Calculation 2 2 3 4 4 18" xfId="32919"/>
    <cellStyle name="Calculation 2 2 3 4 4 19" xfId="33918"/>
    <cellStyle name="Calculation 2 2 3 4 4 2" xfId="645"/>
    <cellStyle name="Calculation 2 2 3 4 4 2 10" xfId="23963"/>
    <cellStyle name="Calculation 2 2 3 4 4 2 11" xfId="24962"/>
    <cellStyle name="Calculation 2 2 3 4 4 2 12" xfId="27907"/>
    <cellStyle name="Calculation 2 2 3 4 4 2 13" xfId="28876"/>
    <cellStyle name="Calculation 2 2 3 4 4 2 14" xfId="29915"/>
    <cellStyle name="Calculation 2 2 3 4 4 2 15" xfId="30908"/>
    <cellStyle name="Calculation 2 2 3 4 4 2 16" xfId="31917"/>
    <cellStyle name="Calculation 2 2 3 4 4 2 17" xfId="32920"/>
    <cellStyle name="Calculation 2 2 3 4 4 2 18" xfId="33919"/>
    <cellStyle name="Calculation 2 2 3 4 4 2 19" xfId="35540"/>
    <cellStyle name="Calculation 2 2 3 4 4 2 2" xfId="15943"/>
    <cellStyle name="Calculation 2 2 3 4 4 2 20" xfId="36479"/>
    <cellStyle name="Calculation 2 2 3 4 4 2 3" xfId="16921"/>
    <cellStyle name="Calculation 2 2 3 4 4 2 4" xfId="17949"/>
    <cellStyle name="Calculation 2 2 3 4 4 2 5" xfId="18981"/>
    <cellStyle name="Calculation 2 2 3 4 4 2 6" xfId="20003"/>
    <cellStyle name="Calculation 2 2 3 4 4 2 7" xfId="21012"/>
    <cellStyle name="Calculation 2 2 3 4 4 2 8" xfId="21986"/>
    <cellStyle name="Calculation 2 2 3 4 4 2 9" xfId="22991"/>
    <cellStyle name="Calculation 2 2 3 4 4 20" xfId="35539"/>
    <cellStyle name="Calculation 2 2 3 4 4 21" xfId="36478"/>
    <cellStyle name="Calculation 2 2 3 4 4 3" xfId="15942"/>
    <cellStyle name="Calculation 2 2 3 4 4 4" xfId="16920"/>
    <cellStyle name="Calculation 2 2 3 4 4 5" xfId="17948"/>
    <cellStyle name="Calculation 2 2 3 4 4 6" xfId="18980"/>
    <cellStyle name="Calculation 2 2 3 4 4 7" xfId="20002"/>
    <cellStyle name="Calculation 2 2 3 4 4 8" xfId="21011"/>
    <cellStyle name="Calculation 2 2 3 4 4 9" xfId="21985"/>
    <cellStyle name="Calculation 2 2 3 4 5" xfId="646"/>
    <cellStyle name="Calculation 2 2 3 4 5 10" xfId="23964"/>
    <cellStyle name="Calculation 2 2 3 4 5 11" xfId="24963"/>
    <cellStyle name="Calculation 2 2 3 4 5 12" xfId="27908"/>
    <cellStyle name="Calculation 2 2 3 4 5 13" xfId="28877"/>
    <cellStyle name="Calculation 2 2 3 4 5 14" xfId="29916"/>
    <cellStyle name="Calculation 2 2 3 4 5 15" xfId="30909"/>
    <cellStyle name="Calculation 2 2 3 4 5 16" xfId="31918"/>
    <cellStyle name="Calculation 2 2 3 4 5 17" xfId="32921"/>
    <cellStyle name="Calculation 2 2 3 4 5 18" xfId="33920"/>
    <cellStyle name="Calculation 2 2 3 4 5 19" xfId="35541"/>
    <cellStyle name="Calculation 2 2 3 4 5 2" xfId="15944"/>
    <cellStyle name="Calculation 2 2 3 4 5 20" xfId="36480"/>
    <cellStyle name="Calculation 2 2 3 4 5 3" xfId="16922"/>
    <cellStyle name="Calculation 2 2 3 4 5 4" xfId="17950"/>
    <cellStyle name="Calculation 2 2 3 4 5 5" xfId="18982"/>
    <cellStyle name="Calculation 2 2 3 4 5 6" xfId="20004"/>
    <cellStyle name="Calculation 2 2 3 4 5 7" xfId="21013"/>
    <cellStyle name="Calculation 2 2 3 4 5 8" xfId="21987"/>
    <cellStyle name="Calculation 2 2 3 4 5 9" xfId="22992"/>
    <cellStyle name="Calculation 2 2 3 4 6" xfId="15210"/>
    <cellStyle name="Calculation 2 2 3 4 7" xfId="14475"/>
    <cellStyle name="Calculation 2 2 3 4 8" xfId="14847"/>
    <cellStyle name="Calculation 2 2 3 4 9" xfId="14529"/>
    <cellStyle name="Calculation 2 2 3 5" xfId="647"/>
    <cellStyle name="Calculation 2 2 3 5 10" xfId="14933"/>
    <cellStyle name="Calculation 2 2 3 5 11" xfId="13892"/>
    <cellStyle name="Calculation 2 2 3 5 12" xfId="26448"/>
    <cellStyle name="Calculation 2 2 3 5 13" xfId="27084"/>
    <cellStyle name="Calculation 2 2 3 5 14" xfId="26118"/>
    <cellStyle name="Calculation 2 2 3 5 15" xfId="26782"/>
    <cellStyle name="Calculation 2 2 3 5 16" xfId="26133"/>
    <cellStyle name="Calculation 2 2 3 5 17" xfId="26982"/>
    <cellStyle name="Calculation 2 2 3 5 18" xfId="35131"/>
    <cellStyle name="Calculation 2 2 3 5 19" xfId="35239"/>
    <cellStyle name="Calculation 2 2 3 5 2" xfId="648"/>
    <cellStyle name="Calculation 2 2 3 5 2 10" xfId="22993"/>
    <cellStyle name="Calculation 2 2 3 5 2 11" xfId="23965"/>
    <cellStyle name="Calculation 2 2 3 5 2 12" xfId="24964"/>
    <cellStyle name="Calculation 2 2 3 5 2 13" xfId="27909"/>
    <cellStyle name="Calculation 2 2 3 5 2 14" xfId="28878"/>
    <cellStyle name="Calculation 2 2 3 5 2 15" xfId="29917"/>
    <cellStyle name="Calculation 2 2 3 5 2 16" xfId="30910"/>
    <cellStyle name="Calculation 2 2 3 5 2 17" xfId="31919"/>
    <cellStyle name="Calculation 2 2 3 5 2 18" xfId="32922"/>
    <cellStyle name="Calculation 2 2 3 5 2 19" xfId="33921"/>
    <cellStyle name="Calculation 2 2 3 5 2 2" xfId="649"/>
    <cellStyle name="Calculation 2 2 3 5 2 2 10" xfId="23966"/>
    <cellStyle name="Calculation 2 2 3 5 2 2 11" xfId="24965"/>
    <cellStyle name="Calculation 2 2 3 5 2 2 12" xfId="27910"/>
    <cellStyle name="Calculation 2 2 3 5 2 2 13" xfId="28879"/>
    <cellStyle name="Calculation 2 2 3 5 2 2 14" xfId="29918"/>
    <cellStyle name="Calculation 2 2 3 5 2 2 15" xfId="30911"/>
    <cellStyle name="Calculation 2 2 3 5 2 2 16" xfId="31920"/>
    <cellStyle name="Calculation 2 2 3 5 2 2 17" xfId="32923"/>
    <cellStyle name="Calculation 2 2 3 5 2 2 18" xfId="33922"/>
    <cellStyle name="Calculation 2 2 3 5 2 2 19" xfId="35543"/>
    <cellStyle name="Calculation 2 2 3 5 2 2 2" xfId="15946"/>
    <cellStyle name="Calculation 2 2 3 5 2 2 20" xfId="36482"/>
    <cellStyle name="Calculation 2 2 3 5 2 2 3" xfId="16924"/>
    <cellStyle name="Calculation 2 2 3 5 2 2 4" xfId="17952"/>
    <cellStyle name="Calculation 2 2 3 5 2 2 5" xfId="18984"/>
    <cellStyle name="Calculation 2 2 3 5 2 2 6" xfId="20006"/>
    <cellStyle name="Calculation 2 2 3 5 2 2 7" xfId="21015"/>
    <cellStyle name="Calculation 2 2 3 5 2 2 8" xfId="21989"/>
    <cellStyle name="Calculation 2 2 3 5 2 2 9" xfId="22994"/>
    <cellStyle name="Calculation 2 2 3 5 2 20" xfId="35542"/>
    <cellStyle name="Calculation 2 2 3 5 2 21" xfId="36481"/>
    <cellStyle name="Calculation 2 2 3 5 2 3" xfId="15945"/>
    <cellStyle name="Calculation 2 2 3 5 2 4" xfId="16923"/>
    <cellStyle name="Calculation 2 2 3 5 2 5" xfId="17951"/>
    <cellStyle name="Calculation 2 2 3 5 2 6" xfId="18983"/>
    <cellStyle name="Calculation 2 2 3 5 2 7" xfId="20005"/>
    <cellStyle name="Calculation 2 2 3 5 2 8" xfId="21014"/>
    <cellStyle name="Calculation 2 2 3 5 2 9" xfId="21988"/>
    <cellStyle name="Calculation 2 2 3 5 3" xfId="650"/>
    <cellStyle name="Calculation 2 2 3 5 3 10" xfId="22995"/>
    <cellStyle name="Calculation 2 2 3 5 3 11" xfId="23967"/>
    <cellStyle name="Calculation 2 2 3 5 3 12" xfId="24966"/>
    <cellStyle name="Calculation 2 2 3 5 3 13" xfId="27911"/>
    <cellStyle name="Calculation 2 2 3 5 3 14" xfId="28880"/>
    <cellStyle name="Calculation 2 2 3 5 3 15" xfId="29919"/>
    <cellStyle name="Calculation 2 2 3 5 3 16" xfId="30912"/>
    <cellStyle name="Calculation 2 2 3 5 3 17" xfId="31921"/>
    <cellStyle name="Calculation 2 2 3 5 3 18" xfId="32924"/>
    <cellStyle name="Calculation 2 2 3 5 3 19" xfId="33923"/>
    <cellStyle name="Calculation 2 2 3 5 3 2" xfId="651"/>
    <cellStyle name="Calculation 2 2 3 5 3 2 10" xfId="23968"/>
    <cellStyle name="Calculation 2 2 3 5 3 2 11" xfId="24967"/>
    <cellStyle name="Calculation 2 2 3 5 3 2 12" xfId="27912"/>
    <cellStyle name="Calculation 2 2 3 5 3 2 13" xfId="28881"/>
    <cellStyle name="Calculation 2 2 3 5 3 2 14" xfId="29920"/>
    <cellStyle name="Calculation 2 2 3 5 3 2 15" xfId="30913"/>
    <cellStyle name="Calculation 2 2 3 5 3 2 16" xfId="31922"/>
    <cellStyle name="Calculation 2 2 3 5 3 2 17" xfId="32925"/>
    <cellStyle name="Calculation 2 2 3 5 3 2 18" xfId="33924"/>
    <cellStyle name="Calculation 2 2 3 5 3 2 19" xfId="35545"/>
    <cellStyle name="Calculation 2 2 3 5 3 2 2" xfId="15948"/>
    <cellStyle name="Calculation 2 2 3 5 3 2 20" xfId="36484"/>
    <cellStyle name="Calculation 2 2 3 5 3 2 3" xfId="16926"/>
    <cellStyle name="Calculation 2 2 3 5 3 2 4" xfId="17954"/>
    <cellStyle name="Calculation 2 2 3 5 3 2 5" xfId="18986"/>
    <cellStyle name="Calculation 2 2 3 5 3 2 6" xfId="20008"/>
    <cellStyle name="Calculation 2 2 3 5 3 2 7" xfId="21017"/>
    <cellStyle name="Calculation 2 2 3 5 3 2 8" xfId="21991"/>
    <cellStyle name="Calculation 2 2 3 5 3 2 9" xfId="22996"/>
    <cellStyle name="Calculation 2 2 3 5 3 20" xfId="35544"/>
    <cellStyle name="Calculation 2 2 3 5 3 21" xfId="36483"/>
    <cellStyle name="Calculation 2 2 3 5 3 3" xfId="15947"/>
    <cellStyle name="Calculation 2 2 3 5 3 4" xfId="16925"/>
    <cellStyle name="Calculation 2 2 3 5 3 5" xfId="17953"/>
    <cellStyle name="Calculation 2 2 3 5 3 6" xfId="18985"/>
    <cellStyle name="Calculation 2 2 3 5 3 7" xfId="20007"/>
    <cellStyle name="Calculation 2 2 3 5 3 8" xfId="21016"/>
    <cellStyle name="Calculation 2 2 3 5 3 9" xfId="21990"/>
    <cellStyle name="Calculation 2 2 3 5 4" xfId="652"/>
    <cellStyle name="Calculation 2 2 3 5 4 10" xfId="22997"/>
    <cellStyle name="Calculation 2 2 3 5 4 11" xfId="23969"/>
    <cellStyle name="Calculation 2 2 3 5 4 12" xfId="24968"/>
    <cellStyle name="Calculation 2 2 3 5 4 13" xfId="27913"/>
    <cellStyle name="Calculation 2 2 3 5 4 14" xfId="28882"/>
    <cellStyle name="Calculation 2 2 3 5 4 15" xfId="29921"/>
    <cellStyle name="Calculation 2 2 3 5 4 16" xfId="30914"/>
    <cellStyle name="Calculation 2 2 3 5 4 17" xfId="31923"/>
    <cellStyle name="Calculation 2 2 3 5 4 18" xfId="32926"/>
    <cellStyle name="Calculation 2 2 3 5 4 19" xfId="33925"/>
    <cellStyle name="Calculation 2 2 3 5 4 2" xfId="653"/>
    <cellStyle name="Calculation 2 2 3 5 4 2 10" xfId="23970"/>
    <cellStyle name="Calculation 2 2 3 5 4 2 11" xfId="24969"/>
    <cellStyle name="Calculation 2 2 3 5 4 2 12" xfId="27914"/>
    <cellStyle name="Calculation 2 2 3 5 4 2 13" xfId="28883"/>
    <cellStyle name="Calculation 2 2 3 5 4 2 14" xfId="29922"/>
    <cellStyle name="Calculation 2 2 3 5 4 2 15" xfId="30915"/>
    <cellStyle name="Calculation 2 2 3 5 4 2 16" xfId="31924"/>
    <cellStyle name="Calculation 2 2 3 5 4 2 17" xfId="32927"/>
    <cellStyle name="Calculation 2 2 3 5 4 2 18" xfId="33926"/>
    <cellStyle name="Calculation 2 2 3 5 4 2 19" xfId="35547"/>
    <cellStyle name="Calculation 2 2 3 5 4 2 2" xfId="15950"/>
    <cellStyle name="Calculation 2 2 3 5 4 2 20" xfId="36486"/>
    <cellStyle name="Calculation 2 2 3 5 4 2 3" xfId="16928"/>
    <cellStyle name="Calculation 2 2 3 5 4 2 4" xfId="17956"/>
    <cellStyle name="Calculation 2 2 3 5 4 2 5" xfId="18988"/>
    <cellStyle name="Calculation 2 2 3 5 4 2 6" xfId="20010"/>
    <cellStyle name="Calculation 2 2 3 5 4 2 7" xfId="21019"/>
    <cellStyle name="Calculation 2 2 3 5 4 2 8" xfId="21993"/>
    <cellStyle name="Calculation 2 2 3 5 4 2 9" xfId="22998"/>
    <cellStyle name="Calculation 2 2 3 5 4 20" xfId="35546"/>
    <cellStyle name="Calculation 2 2 3 5 4 21" xfId="36485"/>
    <cellStyle name="Calculation 2 2 3 5 4 3" xfId="15949"/>
    <cellStyle name="Calculation 2 2 3 5 4 4" xfId="16927"/>
    <cellStyle name="Calculation 2 2 3 5 4 5" xfId="17955"/>
    <cellStyle name="Calculation 2 2 3 5 4 6" xfId="18987"/>
    <cellStyle name="Calculation 2 2 3 5 4 7" xfId="20009"/>
    <cellStyle name="Calculation 2 2 3 5 4 8" xfId="21018"/>
    <cellStyle name="Calculation 2 2 3 5 4 9" xfId="21992"/>
    <cellStyle name="Calculation 2 2 3 5 5" xfId="654"/>
    <cellStyle name="Calculation 2 2 3 5 5 10" xfId="23971"/>
    <cellStyle name="Calculation 2 2 3 5 5 11" xfId="24970"/>
    <cellStyle name="Calculation 2 2 3 5 5 12" xfId="27915"/>
    <cellStyle name="Calculation 2 2 3 5 5 13" xfId="28884"/>
    <cellStyle name="Calculation 2 2 3 5 5 14" xfId="29923"/>
    <cellStyle name="Calculation 2 2 3 5 5 15" xfId="30916"/>
    <cellStyle name="Calculation 2 2 3 5 5 16" xfId="31925"/>
    <cellStyle name="Calculation 2 2 3 5 5 17" xfId="32928"/>
    <cellStyle name="Calculation 2 2 3 5 5 18" xfId="33927"/>
    <cellStyle name="Calculation 2 2 3 5 5 19" xfId="35548"/>
    <cellStyle name="Calculation 2 2 3 5 5 2" xfId="15951"/>
    <cellStyle name="Calculation 2 2 3 5 5 20" xfId="36487"/>
    <cellStyle name="Calculation 2 2 3 5 5 3" xfId="16929"/>
    <cellStyle name="Calculation 2 2 3 5 5 4" xfId="17957"/>
    <cellStyle name="Calculation 2 2 3 5 5 5" xfId="18989"/>
    <cellStyle name="Calculation 2 2 3 5 5 6" xfId="20011"/>
    <cellStyle name="Calculation 2 2 3 5 5 7" xfId="21020"/>
    <cellStyle name="Calculation 2 2 3 5 5 8" xfId="21994"/>
    <cellStyle name="Calculation 2 2 3 5 5 9" xfId="22999"/>
    <cellStyle name="Calculation 2 2 3 5 6" xfId="13406"/>
    <cellStyle name="Calculation 2 2 3 5 7" xfId="14006"/>
    <cellStyle name="Calculation 2 2 3 5 8" xfId="13452"/>
    <cellStyle name="Calculation 2 2 3 5 9" xfId="15715"/>
    <cellStyle name="Calculation 2 2 3 6" xfId="655"/>
    <cellStyle name="Calculation 2 2 3 6 10" xfId="23000"/>
    <cellStyle name="Calculation 2 2 3 6 11" xfId="23972"/>
    <cellStyle name="Calculation 2 2 3 6 12" xfId="24971"/>
    <cellStyle name="Calculation 2 2 3 6 13" xfId="27916"/>
    <cellStyle name="Calculation 2 2 3 6 14" xfId="28885"/>
    <cellStyle name="Calculation 2 2 3 6 15" xfId="29924"/>
    <cellStyle name="Calculation 2 2 3 6 16" xfId="30917"/>
    <cellStyle name="Calculation 2 2 3 6 17" xfId="31926"/>
    <cellStyle name="Calculation 2 2 3 6 18" xfId="32929"/>
    <cellStyle name="Calculation 2 2 3 6 19" xfId="33928"/>
    <cellStyle name="Calculation 2 2 3 6 2" xfId="656"/>
    <cellStyle name="Calculation 2 2 3 6 2 10" xfId="23973"/>
    <cellStyle name="Calculation 2 2 3 6 2 11" xfId="24972"/>
    <cellStyle name="Calculation 2 2 3 6 2 12" xfId="27917"/>
    <cellStyle name="Calculation 2 2 3 6 2 13" xfId="28886"/>
    <cellStyle name="Calculation 2 2 3 6 2 14" xfId="29925"/>
    <cellStyle name="Calculation 2 2 3 6 2 15" xfId="30918"/>
    <cellStyle name="Calculation 2 2 3 6 2 16" xfId="31927"/>
    <cellStyle name="Calculation 2 2 3 6 2 17" xfId="32930"/>
    <cellStyle name="Calculation 2 2 3 6 2 18" xfId="33929"/>
    <cellStyle name="Calculation 2 2 3 6 2 19" xfId="35550"/>
    <cellStyle name="Calculation 2 2 3 6 2 2" xfId="15953"/>
    <cellStyle name="Calculation 2 2 3 6 2 20" xfId="36489"/>
    <cellStyle name="Calculation 2 2 3 6 2 3" xfId="16931"/>
    <cellStyle name="Calculation 2 2 3 6 2 4" xfId="17959"/>
    <cellStyle name="Calculation 2 2 3 6 2 5" xfId="18991"/>
    <cellStyle name="Calculation 2 2 3 6 2 6" xfId="20013"/>
    <cellStyle name="Calculation 2 2 3 6 2 7" xfId="21022"/>
    <cellStyle name="Calculation 2 2 3 6 2 8" xfId="21996"/>
    <cellStyle name="Calculation 2 2 3 6 2 9" xfId="23001"/>
    <cellStyle name="Calculation 2 2 3 6 20" xfId="35549"/>
    <cellStyle name="Calculation 2 2 3 6 21" xfId="36488"/>
    <cellStyle name="Calculation 2 2 3 6 3" xfId="15952"/>
    <cellStyle name="Calculation 2 2 3 6 4" xfId="16930"/>
    <cellStyle name="Calculation 2 2 3 6 5" xfId="17958"/>
    <cellStyle name="Calculation 2 2 3 6 6" xfId="18990"/>
    <cellStyle name="Calculation 2 2 3 6 7" xfId="20012"/>
    <cellStyle name="Calculation 2 2 3 6 8" xfId="21021"/>
    <cellStyle name="Calculation 2 2 3 6 9" xfId="21995"/>
    <cellStyle name="Calculation 2 2 3 7" xfId="657"/>
    <cellStyle name="Calculation 2 2 3 7 10" xfId="23002"/>
    <cellStyle name="Calculation 2 2 3 7 11" xfId="23974"/>
    <cellStyle name="Calculation 2 2 3 7 12" xfId="24973"/>
    <cellStyle name="Calculation 2 2 3 7 13" xfId="27918"/>
    <cellStyle name="Calculation 2 2 3 7 14" xfId="28887"/>
    <cellStyle name="Calculation 2 2 3 7 15" xfId="29926"/>
    <cellStyle name="Calculation 2 2 3 7 16" xfId="30919"/>
    <cellStyle name="Calculation 2 2 3 7 17" xfId="31928"/>
    <cellStyle name="Calculation 2 2 3 7 18" xfId="32931"/>
    <cellStyle name="Calculation 2 2 3 7 19" xfId="33930"/>
    <cellStyle name="Calculation 2 2 3 7 2" xfId="658"/>
    <cellStyle name="Calculation 2 2 3 7 2 10" xfId="23975"/>
    <cellStyle name="Calculation 2 2 3 7 2 11" xfId="24974"/>
    <cellStyle name="Calculation 2 2 3 7 2 12" xfId="27919"/>
    <cellStyle name="Calculation 2 2 3 7 2 13" xfId="28888"/>
    <cellStyle name="Calculation 2 2 3 7 2 14" xfId="29927"/>
    <cellStyle name="Calculation 2 2 3 7 2 15" xfId="30920"/>
    <cellStyle name="Calculation 2 2 3 7 2 16" xfId="31929"/>
    <cellStyle name="Calculation 2 2 3 7 2 17" xfId="32932"/>
    <cellStyle name="Calculation 2 2 3 7 2 18" xfId="33931"/>
    <cellStyle name="Calculation 2 2 3 7 2 19" xfId="35552"/>
    <cellStyle name="Calculation 2 2 3 7 2 2" xfId="15955"/>
    <cellStyle name="Calculation 2 2 3 7 2 20" xfId="36491"/>
    <cellStyle name="Calculation 2 2 3 7 2 3" xfId="16933"/>
    <cellStyle name="Calculation 2 2 3 7 2 4" xfId="17961"/>
    <cellStyle name="Calculation 2 2 3 7 2 5" xfId="18993"/>
    <cellStyle name="Calculation 2 2 3 7 2 6" xfId="20015"/>
    <cellStyle name="Calculation 2 2 3 7 2 7" xfId="21024"/>
    <cellStyle name="Calculation 2 2 3 7 2 8" xfId="21998"/>
    <cellStyle name="Calculation 2 2 3 7 2 9" xfId="23003"/>
    <cellStyle name="Calculation 2 2 3 7 20" xfId="35551"/>
    <cellStyle name="Calculation 2 2 3 7 21" xfId="36490"/>
    <cellStyle name="Calculation 2 2 3 7 3" xfId="15954"/>
    <cellStyle name="Calculation 2 2 3 7 4" xfId="16932"/>
    <cellStyle name="Calculation 2 2 3 7 5" xfId="17960"/>
    <cellStyle name="Calculation 2 2 3 7 6" xfId="18992"/>
    <cellStyle name="Calculation 2 2 3 7 7" xfId="20014"/>
    <cellStyle name="Calculation 2 2 3 7 8" xfId="21023"/>
    <cellStyle name="Calculation 2 2 3 7 9" xfId="21997"/>
    <cellStyle name="Calculation 2 2 3 8" xfId="659"/>
    <cellStyle name="Calculation 2 2 3 8 10" xfId="23004"/>
    <cellStyle name="Calculation 2 2 3 8 11" xfId="23976"/>
    <cellStyle name="Calculation 2 2 3 8 12" xfId="24975"/>
    <cellStyle name="Calculation 2 2 3 8 13" xfId="27920"/>
    <cellStyle name="Calculation 2 2 3 8 14" xfId="28889"/>
    <cellStyle name="Calculation 2 2 3 8 15" xfId="29928"/>
    <cellStyle name="Calculation 2 2 3 8 16" xfId="30921"/>
    <cellStyle name="Calculation 2 2 3 8 17" xfId="31930"/>
    <cellStyle name="Calculation 2 2 3 8 18" xfId="32933"/>
    <cellStyle name="Calculation 2 2 3 8 19" xfId="33932"/>
    <cellStyle name="Calculation 2 2 3 8 2" xfId="660"/>
    <cellStyle name="Calculation 2 2 3 8 2 10" xfId="23977"/>
    <cellStyle name="Calculation 2 2 3 8 2 11" xfId="24976"/>
    <cellStyle name="Calculation 2 2 3 8 2 12" xfId="27921"/>
    <cellStyle name="Calculation 2 2 3 8 2 13" xfId="28890"/>
    <cellStyle name="Calculation 2 2 3 8 2 14" xfId="29929"/>
    <cellStyle name="Calculation 2 2 3 8 2 15" xfId="30922"/>
    <cellStyle name="Calculation 2 2 3 8 2 16" xfId="31931"/>
    <cellStyle name="Calculation 2 2 3 8 2 17" xfId="32934"/>
    <cellStyle name="Calculation 2 2 3 8 2 18" xfId="33933"/>
    <cellStyle name="Calculation 2 2 3 8 2 19" xfId="35554"/>
    <cellStyle name="Calculation 2 2 3 8 2 2" xfId="15957"/>
    <cellStyle name="Calculation 2 2 3 8 2 20" xfId="36493"/>
    <cellStyle name="Calculation 2 2 3 8 2 3" xfId="16935"/>
    <cellStyle name="Calculation 2 2 3 8 2 4" xfId="17963"/>
    <cellStyle name="Calculation 2 2 3 8 2 5" xfId="18995"/>
    <cellStyle name="Calculation 2 2 3 8 2 6" xfId="20017"/>
    <cellStyle name="Calculation 2 2 3 8 2 7" xfId="21026"/>
    <cellStyle name="Calculation 2 2 3 8 2 8" xfId="22000"/>
    <cellStyle name="Calculation 2 2 3 8 2 9" xfId="23005"/>
    <cellStyle name="Calculation 2 2 3 8 20" xfId="35553"/>
    <cellStyle name="Calculation 2 2 3 8 21" xfId="36492"/>
    <cellStyle name="Calculation 2 2 3 8 3" xfId="15956"/>
    <cellStyle name="Calculation 2 2 3 8 4" xfId="16934"/>
    <cellStyle name="Calculation 2 2 3 8 5" xfId="17962"/>
    <cellStyle name="Calculation 2 2 3 8 6" xfId="18994"/>
    <cellStyle name="Calculation 2 2 3 8 7" xfId="20016"/>
    <cellStyle name="Calculation 2 2 3 8 8" xfId="21025"/>
    <cellStyle name="Calculation 2 2 3 8 9" xfId="21999"/>
    <cellStyle name="Calculation 2 2 3 9" xfId="661"/>
    <cellStyle name="Calculation 2 2 3 9 10" xfId="23978"/>
    <cellStyle name="Calculation 2 2 3 9 11" xfId="24977"/>
    <cellStyle name="Calculation 2 2 3 9 12" xfId="27922"/>
    <cellStyle name="Calculation 2 2 3 9 13" xfId="28891"/>
    <cellStyle name="Calculation 2 2 3 9 14" xfId="29930"/>
    <cellStyle name="Calculation 2 2 3 9 15" xfId="30923"/>
    <cellStyle name="Calculation 2 2 3 9 16" xfId="31932"/>
    <cellStyle name="Calculation 2 2 3 9 17" xfId="32935"/>
    <cellStyle name="Calculation 2 2 3 9 18" xfId="33934"/>
    <cellStyle name="Calculation 2 2 3 9 19" xfId="35555"/>
    <cellStyle name="Calculation 2 2 3 9 2" xfId="15958"/>
    <cellStyle name="Calculation 2 2 3 9 20" xfId="36494"/>
    <cellStyle name="Calculation 2 2 3 9 3" xfId="16936"/>
    <cellStyle name="Calculation 2 2 3 9 4" xfId="17964"/>
    <cellStyle name="Calculation 2 2 3 9 5" xfId="18996"/>
    <cellStyle name="Calculation 2 2 3 9 6" xfId="20018"/>
    <cellStyle name="Calculation 2 2 3 9 7" xfId="21027"/>
    <cellStyle name="Calculation 2 2 3 9 8" xfId="22001"/>
    <cellStyle name="Calculation 2 2 3 9 9" xfId="23006"/>
    <cellStyle name="Calculation 2 2 4" xfId="662"/>
    <cellStyle name="Calculation 2 2 4 10" xfId="23007"/>
    <cellStyle name="Calculation 2 2 4 11" xfId="23979"/>
    <cellStyle name="Calculation 2 2 4 12" xfId="24978"/>
    <cellStyle name="Calculation 2 2 4 13" xfId="27923"/>
    <cellStyle name="Calculation 2 2 4 14" xfId="28892"/>
    <cellStyle name="Calculation 2 2 4 15" xfId="29931"/>
    <cellStyle name="Calculation 2 2 4 16" xfId="30924"/>
    <cellStyle name="Calculation 2 2 4 17" xfId="31933"/>
    <cellStyle name="Calculation 2 2 4 18" xfId="32936"/>
    <cellStyle name="Calculation 2 2 4 19" xfId="33935"/>
    <cellStyle name="Calculation 2 2 4 2" xfId="663"/>
    <cellStyle name="Calculation 2 2 4 2 10" xfId="23980"/>
    <cellStyle name="Calculation 2 2 4 2 11" xfId="24979"/>
    <cellStyle name="Calculation 2 2 4 2 12" xfId="27924"/>
    <cellStyle name="Calculation 2 2 4 2 13" xfId="28893"/>
    <cellStyle name="Calculation 2 2 4 2 14" xfId="29932"/>
    <cellStyle name="Calculation 2 2 4 2 15" xfId="30925"/>
    <cellStyle name="Calculation 2 2 4 2 16" xfId="31934"/>
    <cellStyle name="Calculation 2 2 4 2 17" xfId="32937"/>
    <cellStyle name="Calculation 2 2 4 2 18" xfId="33936"/>
    <cellStyle name="Calculation 2 2 4 2 19" xfId="35557"/>
    <cellStyle name="Calculation 2 2 4 2 2" xfId="15960"/>
    <cellStyle name="Calculation 2 2 4 2 20" xfId="36496"/>
    <cellStyle name="Calculation 2 2 4 2 3" xfId="16938"/>
    <cellStyle name="Calculation 2 2 4 2 4" xfId="17966"/>
    <cellStyle name="Calculation 2 2 4 2 5" xfId="18998"/>
    <cellStyle name="Calculation 2 2 4 2 6" xfId="20020"/>
    <cellStyle name="Calculation 2 2 4 2 7" xfId="21029"/>
    <cellStyle name="Calculation 2 2 4 2 8" xfId="22003"/>
    <cellStyle name="Calculation 2 2 4 2 9" xfId="23008"/>
    <cellStyle name="Calculation 2 2 4 20" xfId="35556"/>
    <cellStyle name="Calculation 2 2 4 21" xfId="36495"/>
    <cellStyle name="Calculation 2 2 4 3" xfId="15959"/>
    <cellStyle name="Calculation 2 2 4 4" xfId="16937"/>
    <cellStyle name="Calculation 2 2 4 5" xfId="17965"/>
    <cellStyle name="Calculation 2 2 4 6" xfId="18997"/>
    <cellStyle name="Calculation 2 2 4 7" xfId="20019"/>
    <cellStyle name="Calculation 2 2 4 8" xfId="21028"/>
    <cellStyle name="Calculation 2 2 4 9" xfId="22002"/>
    <cellStyle name="Calculation 2 2 5" xfId="664"/>
    <cellStyle name="Calculation 2 2 5 10" xfId="23009"/>
    <cellStyle name="Calculation 2 2 5 11" xfId="23981"/>
    <cellStyle name="Calculation 2 2 5 12" xfId="24980"/>
    <cellStyle name="Calculation 2 2 5 13" xfId="27925"/>
    <cellStyle name="Calculation 2 2 5 14" xfId="28894"/>
    <cellStyle name="Calculation 2 2 5 15" xfId="29933"/>
    <cellStyle name="Calculation 2 2 5 16" xfId="30926"/>
    <cellStyle name="Calculation 2 2 5 17" xfId="31935"/>
    <cellStyle name="Calculation 2 2 5 18" xfId="32938"/>
    <cellStyle name="Calculation 2 2 5 19" xfId="33937"/>
    <cellStyle name="Calculation 2 2 5 2" xfId="665"/>
    <cellStyle name="Calculation 2 2 5 2 10" xfId="23982"/>
    <cellStyle name="Calculation 2 2 5 2 11" xfId="24981"/>
    <cellStyle name="Calculation 2 2 5 2 12" xfId="27926"/>
    <cellStyle name="Calculation 2 2 5 2 13" xfId="28895"/>
    <cellStyle name="Calculation 2 2 5 2 14" xfId="29934"/>
    <cellStyle name="Calculation 2 2 5 2 15" xfId="30927"/>
    <cellStyle name="Calculation 2 2 5 2 16" xfId="31936"/>
    <cellStyle name="Calculation 2 2 5 2 17" xfId="32939"/>
    <cellStyle name="Calculation 2 2 5 2 18" xfId="33938"/>
    <cellStyle name="Calculation 2 2 5 2 19" xfId="35559"/>
    <cellStyle name="Calculation 2 2 5 2 2" xfId="15962"/>
    <cellStyle name="Calculation 2 2 5 2 20" xfId="36498"/>
    <cellStyle name="Calculation 2 2 5 2 3" xfId="16940"/>
    <cellStyle name="Calculation 2 2 5 2 4" xfId="17968"/>
    <cellStyle name="Calculation 2 2 5 2 5" xfId="19000"/>
    <cellStyle name="Calculation 2 2 5 2 6" xfId="20022"/>
    <cellStyle name="Calculation 2 2 5 2 7" xfId="21031"/>
    <cellStyle name="Calculation 2 2 5 2 8" xfId="22005"/>
    <cellStyle name="Calculation 2 2 5 2 9" xfId="23010"/>
    <cellStyle name="Calculation 2 2 5 20" xfId="35558"/>
    <cellStyle name="Calculation 2 2 5 21" xfId="36497"/>
    <cellStyle name="Calculation 2 2 5 3" xfId="15961"/>
    <cellStyle name="Calculation 2 2 5 4" xfId="16939"/>
    <cellStyle name="Calculation 2 2 5 5" xfId="17967"/>
    <cellStyle name="Calculation 2 2 5 6" xfId="18999"/>
    <cellStyle name="Calculation 2 2 5 7" xfId="20021"/>
    <cellStyle name="Calculation 2 2 5 8" xfId="21030"/>
    <cellStyle name="Calculation 2 2 5 9" xfId="22004"/>
    <cellStyle name="Calculation 2 2 6" xfId="666"/>
    <cellStyle name="Calculation 2 2 6 10" xfId="23011"/>
    <cellStyle name="Calculation 2 2 6 11" xfId="23983"/>
    <cellStyle name="Calculation 2 2 6 12" xfId="24982"/>
    <cellStyle name="Calculation 2 2 6 13" xfId="27927"/>
    <cellStyle name="Calculation 2 2 6 14" xfId="28896"/>
    <cellStyle name="Calculation 2 2 6 15" xfId="29935"/>
    <cellStyle name="Calculation 2 2 6 16" xfId="30928"/>
    <cellStyle name="Calculation 2 2 6 17" xfId="31937"/>
    <cellStyle name="Calculation 2 2 6 18" xfId="32940"/>
    <cellStyle name="Calculation 2 2 6 19" xfId="33939"/>
    <cellStyle name="Calculation 2 2 6 2" xfId="667"/>
    <cellStyle name="Calculation 2 2 6 2 10" xfId="23984"/>
    <cellStyle name="Calculation 2 2 6 2 11" xfId="24983"/>
    <cellStyle name="Calculation 2 2 6 2 12" xfId="27928"/>
    <cellStyle name="Calculation 2 2 6 2 13" xfId="28897"/>
    <cellStyle name="Calculation 2 2 6 2 14" xfId="29936"/>
    <cellStyle name="Calculation 2 2 6 2 15" xfId="30929"/>
    <cellStyle name="Calculation 2 2 6 2 16" xfId="31938"/>
    <cellStyle name="Calculation 2 2 6 2 17" xfId="32941"/>
    <cellStyle name="Calculation 2 2 6 2 18" xfId="33940"/>
    <cellStyle name="Calculation 2 2 6 2 19" xfId="35561"/>
    <cellStyle name="Calculation 2 2 6 2 2" xfId="15964"/>
    <cellStyle name="Calculation 2 2 6 2 20" xfId="36500"/>
    <cellStyle name="Calculation 2 2 6 2 3" xfId="16942"/>
    <cellStyle name="Calculation 2 2 6 2 4" xfId="17970"/>
    <cellStyle name="Calculation 2 2 6 2 5" xfId="19002"/>
    <cellStyle name="Calculation 2 2 6 2 6" xfId="20024"/>
    <cellStyle name="Calculation 2 2 6 2 7" xfId="21033"/>
    <cellStyle name="Calculation 2 2 6 2 8" xfId="22007"/>
    <cellStyle name="Calculation 2 2 6 2 9" xfId="23012"/>
    <cellStyle name="Calculation 2 2 6 20" xfId="35560"/>
    <cellStyle name="Calculation 2 2 6 21" xfId="36499"/>
    <cellStyle name="Calculation 2 2 6 3" xfId="15963"/>
    <cellStyle name="Calculation 2 2 6 4" xfId="16941"/>
    <cellStyle name="Calculation 2 2 6 5" xfId="17969"/>
    <cellStyle name="Calculation 2 2 6 6" xfId="19001"/>
    <cellStyle name="Calculation 2 2 6 7" xfId="20023"/>
    <cellStyle name="Calculation 2 2 6 8" xfId="21032"/>
    <cellStyle name="Calculation 2 2 6 9" xfId="22006"/>
    <cellStyle name="Calculation 2 2 7" xfId="668"/>
    <cellStyle name="Calculation 2 2 7 10" xfId="23985"/>
    <cellStyle name="Calculation 2 2 7 11" xfId="24984"/>
    <cellStyle name="Calculation 2 2 7 12" xfId="27929"/>
    <cellStyle name="Calculation 2 2 7 13" xfId="28898"/>
    <cellStyle name="Calculation 2 2 7 14" xfId="29937"/>
    <cellStyle name="Calculation 2 2 7 15" xfId="30930"/>
    <cellStyle name="Calculation 2 2 7 16" xfId="31939"/>
    <cellStyle name="Calculation 2 2 7 17" xfId="32942"/>
    <cellStyle name="Calculation 2 2 7 18" xfId="33941"/>
    <cellStyle name="Calculation 2 2 7 19" xfId="35562"/>
    <cellStyle name="Calculation 2 2 7 2" xfId="15965"/>
    <cellStyle name="Calculation 2 2 7 20" xfId="36501"/>
    <cellStyle name="Calculation 2 2 7 3" xfId="16943"/>
    <cellStyle name="Calculation 2 2 7 4" xfId="17971"/>
    <cellStyle name="Calculation 2 2 7 5" xfId="19003"/>
    <cellStyle name="Calculation 2 2 7 6" xfId="20025"/>
    <cellStyle name="Calculation 2 2 7 7" xfId="21034"/>
    <cellStyle name="Calculation 2 2 7 8" xfId="22008"/>
    <cellStyle name="Calculation 2 2 7 9" xfId="23013"/>
    <cellStyle name="Calculation 2 2 8" xfId="669"/>
    <cellStyle name="Calculation 2 2 8 10" xfId="24867"/>
    <cellStyle name="Calculation 2 2 8 11" xfId="25866"/>
    <cellStyle name="Calculation 2 2 8 12" xfId="28772"/>
    <cellStyle name="Calculation 2 2 8 13" xfId="29789"/>
    <cellStyle name="Calculation 2 2 8 14" xfId="30822"/>
    <cellStyle name="Calculation 2 2 8 15" xfId="31817"/>
    <cellStyle name="Calculation 2 2 8 16" xfId="32821"/>
    <cellStyle name="Calculation 2 2 8 17" xfId="33824"/>
    <cellStyle name="Calculation 2 2 8 18" xfId="34823"/>
    <cellStyle name="Calculation 2 2 8 19" xfId="36384"/>
    <cellStyle name="Calculation 2 2 8 2" xfId="16856"/>
    <cellStyle name="Calculation 2 2 8 20" xfId="37383"/>
    <cellStyle name="Calculation 2 2 8 3" xfId="17836"/>
    <cellStyle name="Calculation 2 2 8 4" xfId="18861"/>
    <cellStyle name="Calculation 2 2 8 5" xfId="19895"/>
    <cellStyle name="Calculation 2 2 8 6" xfId="20920"/>
    <cellStyle name="Calculation 2 2 8 7" xfId="21880"/>
    <cellStyle name="Calculation 2 2 8 8" xfId="22892"/>
    <cellStyle name="Calculation 2 2 8 9" xfId="23895"/>
    <cellStyle name="Calculation 2 2 9" xfId="34884"/>
    <cellStyle name="Calculation 2 3" xfId="670"/>
    <cellStyle name="Calculation 2 3 10" xfId="14585"/>
    <cellStyle name="Calculation 2 3 11" xfId="14519"/>
    <cellStyle name="Calculation 2 3 12" xfId="13432"/>
    <cellStyle name="Calculation 2 3 13" xfId="14981"/>
    <cellStyle name="Calculation 2 3 14" xfId="25961"/>
    <cellStyle name="Calculation 2 3 15" xfId="27307"/>
    <cellStyle name="Calculation 2 3 16" xfId="26730"/>
    <cellStyle name="Calculation 2 3 17" xfId="26860"/>
    <cellStyle name="Calculation 2 3 18" xfId="26700"/>
    <cellStyle name="Calculation 2 3 19" xfId="32832"/>
    <cellStyle name="Calculation 2 3 2" xfId="671"/>
    <cellStyle name="Calculation 2 3 2 10" xfId="14354"/>
    <cellStyle name="Calculation 2 3 2 11" xfId="15138"/>
    <cellStyle name="Calculation 2 3 2 12" xfId="14189"/>
    <cellStyle name="Calculation 2 3 2 13" xfId="14251"/>
    <cellStyle name="Calculation 2 3 2 14" xfId="21857"/>
    <cellStyle name="Calculation 2 3 2 15" xfId="13792"/>
    <cellStyle name="Calculation 2 3 2 16" xfId="26088"/>
    <cellStyle name="Calculation 2 3 2 17" xfId="27261"/>
    <cellStyle name="Calculation 2 3 2 18" xfId="28752"/>
    <cellStyle name="Calculation 2 3 2 19" xfId="27296"/>
    <cellStyle name="Calculation 2 3 2 2" xfId="672"/>
    <cellStyle name="Calculation 2 3 2 2 10" xfId="15502"/>
    <cellStyle name="Calculation 2 3 2 2 11" xfId="13805"/>
    <cellStyle name="Calculation 2 3 2 2 12" xfId="26309"/>
    <cellStyle name="Calculation 2 3 2 2 13" xfId="27173"/>
    <cellStyle name="Calculation 2 3 2 2 14" xfId="25881"/>
    <cellStyle name="Calculation 2 3 2 2 15" xfId="26054"/>
    <cellStyle name="Calculation 2 3 2 2 16" xfId="27219"/>
    <cellStyle name="Calculation 2 3 2 2 17" xfId="26628"/>
    <cellStyle name="Calculation 2 3 2 2 18" xfId="35005"/>
    <cellStyle name="Calculation 2 3 2 2 19" xfId="35328"/>
    <cellStyle name="Calculation 2 3 2 2 2" xfId="673"/>
    <cellStyle name="Calculation 2 3 2 2 2 10" xfId="23014"/>
    <cellStyle name="Calculation 2 3 2 2 2 11" xfId="23986"/>
    <cellStyle name="Calculation 2 3 2 2 2 12" xfId="24985"/>
    <cellStyle name="Calculation 2 3 2 2 2 13" xfId="27930"/>
    <cellStyle name="Calculation 2 3 2 2 2 14" xfId="28899"/>
    <cellStyle name="Calculation 2 3 2 2 2 15" xfId="29938"/>
    <cellStyle name="Calculation 2 3 2 2 2 16" xfId="30931"/>
    <cellStyle name="Calculation 2 3 2 2 2 17" xfId="31940"/>
    <cellStyle name="Calculation 2 3 2 2 2 18" xfId="32943"/>
    <cellStyle name="Calculation 2 3 2 2 2 19" xfId="33942"/>
    <cellStyle name="Calculation 2 3 2 2 2 2" xfId="674"/>
    <cellStyle name="Calculation 2 3 2 2 2 2 10" xfId="23987"/>
    <cellStyle name="Calculation 2 3 2 2 2 2 11" xfId="24986"/>
    <cellStyle name="Calculation 2 3 2 2 2 2 12" xfId="27931"/>
    <cellStyle name="Calculation 2 3 2 2 2 2 13" xfId="28900"/>
    <cellStyle name="Calculation 2 3 2 2 2 2 14" xfId="29939"/>
    <cellStyle name="Calculation 2 3 2 2 2 2 15" xfId="30932"/>
    <cellStyle name="Calculation 2 3 2 2 2 2 16" xfId="31941"/>
    <cellStyle name="Calculation 2 3 2 2 2 2 17" xfId="32944"/>
    <cellStyle name="Calculation 2 3 2 2 2 2 18" xfId="33943"/>
    <cellStyle name="Calculation 2 3 2 2 2 2 19" xfId="35564"/>
    <cellStyle name="Calculation 2 3 2 2 2 2 2" xfId="15967"/>
    <cellStyle name="Calculation 2 3 2 2 2 2 20" xfId="36503"/>
    <cellStyle name="Calculation 2 3 2 2 2 2 3" xfId="16945"/>
    <cellStyle name="Calculation 2 3 2 2 2 2 4" xfId="17973"/>
    <cellStyle name="Calculation 2 3 2 2 2 2 5" xfId="19005"/>
    <cellStyle name="Calculation 2 3 2 2 2 2 6" xfId="20027"/>
    <cellStyle name="Calculation 2 3 2 2 2 2 7" xfId="21036"/>
    <cellStyle name="Calculation 2 3 2 2 2 2 8" xfId="22010"/>
    <cellStyle name="Calculation 2 3 2 2 2 2 9" xfId="23015"/>
    <cellStyle name="Calculation 2 3 2 2 2 20" xfId="35563"/>
    <cellStyle name="Calculation 2 3 2 2 2 21" xfId="36502"/>
    <cellStyle name="Calculation 2 3 2 2 2 3" xfId="15966"/>
    <cellStyle name="Calculation 2 3 2 2 2 4" xfId="16944"/>
    <cellStyle name="Calculation 2 3 2 2 2 5" xfId="17972"/>
    <cellStyle name="Calculation 2 3 2 2 2 6" xfId="19004"/>
    <cellStyle name="Calculation 2 3 2 2 2 7" xfId="20026"/>
    <cellStyle name="Calculation 2 3 2 2 2 8" xfId="21035"/>
    <cellStyle name="Calculation 2 3 2 2 2 9" xfId="22009"/>
    <cellStyle name="Calculation 2 3 2 2 3" xfId="675"/>
    <cellStyle name="Calculation 2 3 2 2 3 10" xfId="23016"/>
    <cellStyle name="Calculation 2 3 2 2 3 11" xfId="23988"/>
    <cellStyle name="Calculation 2 3 2 2 3 12" xfId="24987"/>
    <cellStyle name="Calculation 2 3 2 2 3 13" xfId="27932"/>
    <cellStyle name="Calculation 2 3 2 2 3 14" xfId="28901"/>
    <cellStyle name="Calculation 2 3 2 2 3 15" xfId="29940"/>
    <cellStyle name="Calculation 2 3 2 2 3 16" xfId="30933"/>
    <cellStyle name="Calculation 2 3 2 2 3 17" xfId="31942"/>
    <cellStyle name="Calculation 2 3 2 2 3 18" xfId="32945"/>
    <cellStyle name="Calculation 2 3 2 2 3 19" xfId="33944"/>
    <cellStyle name="Calculation 2 3 2 2 3 2" xfId="676"/>
    <cellStyle name="Calculation 2 3 2 2 3 2 10" xfId="23989"/>
    <cellStyle name="Calculation 2 3 2 2 3 2 11" xfId="24988"/>
    <cellStyle name="Calculation 2 3 2 2 3 2 12" xfId="27933"/>
    <cellStyle name="Calculation 2 3 2 2 3 2 13" xfId="28902"/>
    <cellStyle name="Calculation 2 3 2 2 3 2 14" xfId="29941"/>
    <cellStyle name="Calculation 2 3 2 2 3 2 15" xfId="30934"/>
    <cellStyle name="Calculation 2 3 2 2 3 2 16" xfId="31943"/>
    <cellStyle name="Calculation 2 3 2 2 3 2 17" xfId="32946"/>
    <cellStyle name="Calculation 2 3 2 2 3 2 18" xfId="33945"/>
    <cellStyle name="Calculation 2 3 2 2 3 2 19" xfId="35566"/>
    <cellStyle name="Calculation 2 3 2 2 3 2 2" xfId="15969"/>
    <cellStyle name="Calculation 2 3 2 2 3 2 20" xfId="36505"/>
    <cellStyle name="Calculation 2 3 2 2 3 2 3" xfId="16947"/>
    <cellStyle name="Calculation 2 3 2 2 3 2 4" xfId="17975"/>
    <cellStyle name="Calculation 2 3 2 2 3 2 5" xfId="19007"/>
    <cellStyle name="Calculation 2 3 2 2 3 2 6" xfId="20029"/>
    <cellStyle name="Calculation 2 3 2 2 3 2 7" xfId="21038"/>
    <cellStyle name="Calculation 2 3 2 2 3 2 8" xfId="22012"/>
    <cellStyle name="Calculation 2 3 2 2 3 2 9" xfId="23017"/>
    <cellStyle name="Calculation 2 3 2 2 3 20" xfId="35565"/>
    <cellStyle name="Calculation 2 3 2 2 3 21" xfId="36504"/>
    <cellStyle name="Calculation 2 3 2 2 3 3" xfId="15968"/>
    <cellStyle name="Calculation 2 3 2 2 3 4" xfId="16946"/>
    <cellStyle name="Calculation 2 3 2 2 3 5" xfId="17974"/>
    <cellStyle name="Calculation 2 3 2 2 3 6" xfId="19006"/>
    <cellStyle name="Calculation 2 3 2 2 3 7" xfId="20028"/>
    <cellStyle name="Calculation 2 3 2 2 3 8" xfId="21037"/>
    <cellStyle name="Calculation 2 3 2 2 3 9" xfId="22011"/>
    <cellStyle name="Calculation 2 3 2 2 4" xfId="677"/>
    <cellStyle name="Calculation 2 3 2 2 4 10" xfId="23018"/>
    <cellStyle name="Calculation 2 3 2 2 4 11" xfId="23990"/>
    <cellStyle name="Calculation 2 3 2 2 4 12" xfId="24989"/>
    <cellStyle name="Calculation 2 3 2 2 4 13" xfId="27934"/>
    <cellStyle name="Calculation 2 3 2 2 4 14" xfId="28903"/>
    <cellStyle name="Calculation 2 3 2 2 4 15" xfId="29942"/>
    <cellStyle name="Calculation 2 3 2 2 4 16" xfId="30935"/>
    <cellStyle name="Calculation 2 3 2 2 4 17" xfId="31944"/>
    <cellStyle name="Calculation 2 3 2 2 4 18" xfId="32947"/>
    <cellStyle name="Calculation 2 3 2 2 4 19" xfId="33946"/>
    <cellStyle name="Calculation 2 3 2 2 4 2" xfId="678"/>
    <cellStyle name="Calculation 2 3 2 2 4 2 10" xfId="23991"/>
    <cellStyle name="Calculation 2 3 2 2 4 2 11" xfId="24990"/>
    <cellStyle name="Calculation 2 3 2 2 4 2 12" xfId="27935"/>
    <cellStyle name="Calculation 2 3 2 2 4 2 13" xfId="28904"/>
    <cellStyle name="Calculation 2 3 2 2 4 2 14" xfId="29943"/>
    <cellStyle name="Calculation 2 3 2 2 4 2 15" xfId="30936"/>
    <cellStyle name="Calculation 2 3 2 2 4 2 16" xfId="31945"/>
    <cellStyle name="Calculation 2 3 2 2 4 2 17" xfId="32948"/>
    <cellStyle name="Calculation 2 3 2 2 4 2 18" xfId="33947"/>
    <cellStyle name="Calculation 2 3 2 2 4 2 19" xfId="35568"/>
    <cellStyle name="Calculation 2 3 2 2 4 2 2" xfId="15971"/>
    <cellStyle name="Calculation 2 3 2 2 4 2 20" xfId="36507"/>
    <cellStyle name="Calculation 2 3 2 2 4 2 3" xfId="16949"/>
    <cellStyle name="Calculation 2 3 2 2 4 2 4" xfId="17977"/>
    <cellStyle name="Calculation 2 3 2 2 4 2 5" xfId="19009"/>
    <cellStyle name="Calculation 2 3 2 2 4 2 6" xfId="20031"/>
    <cellStyle name="Calculation 2 3 2 2 4 2 7" xfId="21040"/>
    <cellStyle name="Calculation 2 3 2 2 4 2 8" xfId="22014"/>
    <cellStyle name="Calculation 2 3 2 2 4 2 9" xfId="23019"/>
    <cellStyle name="Calculation 2 3 2 2 4 20" xfId="35567"/>
    <cellStyle name="Calculation 2 3 2 2 4 21" xfId="36506"/>
    <cellStyle name="Calculation 2 3 2 2 4 3" xfId="15970"/>
    <cellStyle name="Calculation 2 3 2 2 4 4" xfId="16948"/>
    <cellStyle name="Calculation 2 3 2 2 4 5" xfId="17976"/>
    <cellStyle name="Calculation 2 3 2 2 4 6" xfId="19008"/>
    <cellStyle name="Calculation 2 3 2 2 4 7" xfId="20030"/>
    <cellStyle name="Calculation 2 3 2 2 4 8" xfId="21039"/>
    <cellStyle name="Calculation 2 3 2 2 4 9" xfId="22013"/>
    <cellStyle name="Calculation 2 3 2 2 5" xfId="679"/>
    <cellStyle name="Calculation 2 3 2 2 5 10" xfId="23992"/>
    <cellStyle name="Calculation 2 3 2 2 5 11" xfId="24991"/>
    <cellStyle name="Calculation 2 3 2 2 5 12" xfId="27936"/>
    <cellStyle name="Calculation 2 3 2 2 5 13" xfId="28905"/>
    <cellStyle name="Calculation 2 3 2 2 5 14" xfId="29944"/>
    <cellStyle name="Calculation 2 3 2 2 5 15" xfId="30937"/>
    <cellStyle name="Calculation 2 3 2 2 5 16" xfId="31946"/>
    <cellStyle name="Calculation 2 3 2 2 5 17" xfId="32949"/>
    <cellStyle name="Calculation 2 3 2 2 5 18" xfId="33948"/>
    <cellStyle name="Calculation 2 3 2 2 5 19" xfId="35569"/>
    <cellStyle name="Calculation 2 3 2 2 5 2" xfId="15972"/>
    <cellStyle name="Calculation 2 3 2 2 5 20" xfId="36508"/>
    <cellStyle name="Calculation 2 3 2 2 5 3" xfId="16950"/>
    <cellStyle name="Calculation 2 3 2 2 5 4" xfId="17978"/>
    <cellStyle name="Calculation 2 3 2 2 5 5" xfId="19010"/>
    <cellStyle name="Calculation 2 3 2 2 5 6" xfId="20032"/>
    <cellStyle name="Calculation 2 3 2 2 5 7" xfId="21041"/>
    <cellStyle name="Calculation 2 3 2 2 5 8" xfId="22015"/>
    <cellStyle name="Calculation 2 3 2 2 5 9" xfId="23020"/>
    <cellStyle name="Calculation 2 3 2 2 6" xfId="13723"/>
    <cellStyle name="Calculation 2 3 2 2 7" xfId="15383"/>
    <cellStyle name="Calculation 2 3 2 2 8" xfId="14295"/>
    <cellStyle name="Calculation 2 3 2 2 9" xfId="13866"/>
    <cellStyle name="Calculation 2 3 2 20" xfId="27453"/>
    <cellStyle name="Calculation 2 3 2 21" xfId="27625"/>
    <cellStyle name="Calculation 2 3 2 22" xfId="34948"/>
    <cellStyle name="Calculation 2 3 2 23" xfId="34966"/>
    <cellStyle name="Calculation 2 3 2 3" xfId="680"/>
    <cellStyle name="Calculation 2 3 2 3 10" xfId="17817"/>
    <cellStyle name="Calculation 2 3 2 3 11" xfId="15312"/>
    <cellStyle name="Calculation 2 3 2 3 12" xfId="26389"/>
    <cellStyle name="Calculation 2 3 2 3 13" xfId="27702"/>
    <cellStyle name="Calculation 2 3 2 3 14" xfId="27528"/>
    <cellStyle name="Calculation 2 3 2 3 15" xfId="26771"/>
    <cellStyle name="Calculation 2 3 2 3 16" xfId="26022"/>
    <cellStyle name="Calculation 2 3 2 3 17" xfId="26562"/>
    <cellStyle name="Calculation 2 3 2 3 18" xfId="35080"/>
    <cellStyle name="Calculation 2 3 2 3 19" xfId="35426"/>
    <cellStyle name="Calculation 2 3 2 3 2" xfId="681"/>
    <cellStyle name="Calculation 2 3 2 3 2 10" xfId="23021"/>
    <cellStyle name="Calculation 2 3 2 3 2 11" xfId="23993"/>
    <cellStyle name="Calculation 2 3 2 3 2 12" xfId="24992"/>
    <cellStyle name="Calculation 2 3 2 3 2 13" xfId="27937"/>
    <cellStyle name="Calculation 2 3 2 3 2 14" xfId="28906"/>
    <cellStyle name="Calculation 2 3 2 3 2 15" xfId="29945"/>
    <cellStyle name="Calculation 2 3 2 3 2 16" xfId="30938"/>
    <cellStyle name="Calculation 2 3 2 3 2 17" xfId="31947"/>
    <cellStyle name="Calculation 2 3 2 3 2 18" xfId="32950"/>
    <cellStyle name="Calculation 2 3 2 3 2 19" xfId="33949"/>
    <cellStyle name="Calculation 2 3 2 3 2 2" xfId="682"/>
    <cellStyle name="Calculation 2 3 2 3 2 2 10" xfId="23994"/>
    <cellStyle name="Calculation 2 3 2 3 2 2 11" xfId="24993"/>
    <cellStyle name="Calculation 2 3 2 3 2 2 12" xfId="27938"/>
    <cellStyle name="Calculation 2 3 2 3 2 2 13" xfId="28907"/>
    <cellStyle name="Calculation 2 3 2 3 2 2 14" xfId="29946"/>
    <cellStyle name="Calculation 2 3 2 3 2 2 15" xfId="30939"/>
    <cellStyle name="Calculation 2 3 2 3 2 2 16" xfId="31948"/>
    <cellStyle name="Calculation 2 3 2 3 2 2 17" xfId="32951"/>
    <cellStyle name="Calculation 2 3 2 3 2 2 18" xfId="33950"/>
    <cellStyle name="Calculation 2 3 2 3 2 2 19" xfId="35571"/>
    <cellStyle name="Calculation 2 3 2 3 2 2 2" xfId="15974"/>
    <cellStyle name="Calculation 2 3 2 3 2 2 20" xfId="36510"/>
    <cellStyle name="Calculation 2 3 2 3 2 2 3" xfId="16952"/>
    <cellStyle name="Calculation 2 3 2 3 2 2 4" xfId="17980"/>
    <cellStyle name="Calculation 2 3 2 3 2 2 5" xfId="19012"/>
    <cellStyle name="Calculation 2 3 2 3 2 2 6" xfId="20034"/>
    <cellStyle name="Calculation 2 3 2 3 2 2 7" xfId="21043"/>
    <cellStyle name="Calculation 2 3 2 3 2 2 8" xfId="22017"/>
    <cellStyle name="Calculation 2 3 2 3 2 2 9" xfId="23022"/>
    <cellStyle name="Calculation 2 3 2 3 2 20" xfId="35570"/>
    <cellStyle name="Calculation 2 3 2 3 2 21" xfId="36509"/>
    <cellStyle name="Calculation 2 3 2 3 2 3" xfId="15973"/>
    <cellStyle name="Calculation 2 3 2 3 2 4" xfId="16951"/>
    <cellStyle name="Calculation 2 3 2 3 2 5" xfId="17979"/>
    <cellStyle name="Calculation 2 3 2 3 2 6" xfId="19011"/>
    <cellStyle name="Calculation 2 3 2 3 2 7" xfId="20033"/>
    <cellStyle name="Calculation 2 3 2 3 2 8" xfId="21042"/>
    <cellStyle name="Calculation 2 3 2 3 2 9" xfId="22016"/>
    <cellStyle name="Calculation 2 3 2 3 3" xfId="683"/>
    <cellStyle name="Calculation 2 3 2 3 3 10" xfId="23023"/>
    <cellStyle name="Calculation 2 3 2 3 3 11" xfId="23995"/>
    <cellStyle name="Calculation 2 3 2 3 3 12" xfId="24994"/>
    <cellStyle name="Calculation 2 3 2 3 3 13" xfId="27939"/>
    <cellStyle name="Calculation 2 3 2 3 3 14" xfId="28908"/>
    <cellStyle name="Calculation 2 3 2 3 3 15" xfId="29947"/>
    <cellStyle name="Calculation 2 3 2 3 3 16" xfId="30940"/>
    <cellStyle name="Calculation 2 3 2 3 3 17" xfId="31949"/>
    <cellStyle name="Calculation 2 3 2 3 3 18" xfId="32952"/>
    <cellStyle name="Calculation 2 3 2 3 3 19" xfId="33951"/>
    <cellStyle name="Calculation 2 3 2 3 3 2" xfId="684"/>
    <cellStyle name="Calculation 2 3 2 3 3 2 10" xfId="23996"/>
    <cellStyle name="Calculation 2 3 2 3 3 2 11" xfId="24995"/>
    <cellStyle name="Calculation 2 3 2 3 3 2 12" xfId="27940"/>
    <cellStyle name="Calculation 2 3 2 3 3 2 13" xfId="28909"/>
    <cellStyle name="Calculation 2 3 2 3 3 2 14" xfId="29948"/>
    <cellStyle name="Calculation 2 3 2 3 3 2 15" xfId="30941"/>
    <cellStyle name="Calculation 2 3 2 3 3 2 16" xfId="31950"/>
    <cellStyle name="Calculation 2 3 2 3 3 2 17" xfId="32953"/>
    <cellStyle name="Calculation 2 3 2 3 3 2 18" xfId="33952"/>
    <cellStyle name="Calculation 2 3 2 3 3 2 19" xfId="35573"/>
    <cellStyle name="Calculation 2 3 2 3 3 2 2" xfId="15976"/>
    <cellStyle name="Calculation 2 3 2 3 3 2 20" xfId="36512"/>
    <cellStyle name="Calculation 2 3 2 3 3 2 3" xfId="16954"/>
    <cellStyle name="Calculation 2 3 2 3 3 2 4" xfId="17982"/>
    <cellStyle name="Calculation 2 3 2 3 3 2 5" xfId="19014"/>
    <cellStyle name="Calculation 2 3 2 3 3 2 6" xfId="20036"/>
    <cellStyle name="Calculation 2 3 2 3 3 2 7" xfId="21045"/>
    <cellStyle name="Calculation 2 3 2 3 3 2 8" xfId="22019"/>
    <cellStyle name="Calculation 2 3 2 3 3 2 9" xfId="23024"/>
    <cellStyle name="Calculation 2 3 2 3 3 20" xfId="35572"/>
    <cellStyle name="Calculation 2 3 2 3 3 21" xfId="36511"/>
    <cellStyle name="Calculation 2 3 2 3 3 3" xfId="15975"/>
    <cellStyle name="Calculation 2 3 2 3 3 4" xfId="16953"/>
    <cellStyle name="Calculation 2 3 2 3 3 5" xfId="17981"/>
    <cellStyle name="Calculation 2 3 2 3 3 6" xfId="19013"/>
    <cellStyle name="Calculation 2 3 2 3 3 7" xfId="20035"/>
    <cellStyle name="Calculation 2 3 2 3 3 8" xfId="21044"/>
    <cellStyle name="Calculation 2 3 2 3 3 9" xfId="22018"/>
    <cellStyle name="Calculation 2 3 2 3 4" xfId="685"/>
    <cellStyle name="Calculation 2 3 2 3 4 10" xfId="23025"/>
    <cellStyle name="Calculation 2 3 2 3 4 11" xfId="23997"/>
    <cellStyle name="Calculation 2 3 2 3 4 12" xfId="24996"/>
    <cellStyle name="Calculation 2 3 2 3 4 13" xfId="27941"/>
    <cellStyle name="Calculation 2 3 2 3 4 14" xfId="28910"/>
    <cellStyle name="Calculation 2 3 2 3 4 15" xfId="29949"/>
    <cellStyle name="Calculation 2 3 2 3 4 16" xfId="30942"/>
    <cellStyle name="Calculation 2 3 2 3 4 17" xfId="31951"/>
    <cellStyle name="Calculation 2 3 2 3 4 18" xfId="32954"/>
    <cellStyle name="Calculation 2 3 2 3 4 19" xfId="33953"/>
    <cellStyle name="Calculation 2 3 2 3 4 2" xfId="686"/>
    <cellStyle name="Calculation 2 3 2 3 4 2 10" xfId="23998"/>
    <cellStyle name="Calculation 2 3 2 3 4 2 11" xfId="24997"/>
    <cellStyle name="Calculation 2 3 2 3 4 2 12" xfId="27942"/>
    <cellStyle name="Calculation 2 3 2 3 4 2 13" xfId="28911"/>
    <cellStyle name="Calculation 2 3 2 3 4 2 14" xfId="29950"/>
    <cellStyle name="Calculation 2 3 2 3 4 2 15" xfId="30943"/>
    <cellStyle name="Calculation 2 3 2 3 4 2 16" xfId="31952"/>
    <cellStyle name="Calculation 2 3 2 3 4 2 17" xfId="32955"/>
    <cellStyle name="Calculation 2 3 2 3 4 2 18" xfId="33954"/>
    <cellStyle name="Calculation 2 3 2 3 4 2 19" xfId="35575"/>
    <cellStyle name="Calculation 2 3 2 3 4 2 2" xfId="15978"/>
    <cellStyle name="Calculation 2 3 2 3 4 2 20" xfId="36514"/>
    <cellStyle name="Calculation 2 3 2 3 4 2 3" xfId="16956"/>
    <cellStyle name="Calculation 2 3 2 3 4 2 4" xfId="17984"/>
    <cellStyle name="Calculation 2 3 2 3 4 2 5" xfId="19016"/>
    <cellStyle name="Calculation 2 3 2 3 4 2 6" xfId="20038"/>
    <cellStyle name="Calculation 2 3 2 3 4 2 7" xfId="21047"/>
    <cellStyle name="Calculation 2 3 2 3 4 2 8" xfId="22021"/>
    <cellStyle name="Calculation 2 3 2 3 4 2 9" xfId="23026"/>
    <cellStyle name="Calculation 2 3 2 3 4 20" xfId="35574"/>
    <cellStyle name="Calculation 2 3 2 3 4 21" xfId="36513"/>
    <cellStyle name="Calculation 2 3 2 3 4 3" xfId="15977"/>
    <cellStyle name="Calculation 2 3 2 3 4 4" xfId="16955"/>
    <cellStyle name="Calculation 2 3 2 3 4 5" xfId="17983"/>
    <cellStyle name="Calculation 2 3 2 3 4 6" xfId="19015"/>
    <cellStyle name="Calculation 2 3 2 3 4 7" xfId="20037"/>
    <cellStyle name="Calculation 2 3 2 3 4 8" xfId="21046"/>
    <cellStyle name="Calculation 2 3 2 3 4 9" xfId="22020"/>
    <cellStyle name="Calculation 2 3 2 3 5" xfId="687"/>
    <cellStyle name="Calculation 2 3 2 3 5 10" xfId="23999"/>
    <cellStyle name="Calculation 2 3 2 3 5 11" xfId="24998"/>
    <cellStyle name="Calculation 2 3 2 3 5 12" xfId="27943"/>
    <cellStyle name="Calculation 2 3 2 3 5 13" xfId="28912"/>
    <cellStyle name="Calculation 2 3 2 3 5 14" xfId="29951"/>
    <cellStyle name="Calculation 2 3 2 3 5 15" xfId="30944"/>
    <cellStyle name="Calculation 2 3 2 3 5 16" xfId="31953"/>
    <cellStyle name="Calculation 2 3 2 3 5 17" xfId="32956"/>
    <cellStyle name="Calculation 2 3 2 3 5 18" xfId="33955"/>
    <cellStyle name="Calculation 2 3 2 3 5 19" xfId="35576"/>
    <cellStyle name="Calculation 2 3 2 3 5 2" xfId="15979"/>
    <cellStyle name="Calculation 2 3 2 3 5 20" xfId="36515"/>
    <cellStyle name="Calculation 2 3 2 3 5 3" xfId="16957"/>
    <cellStyle name="Calculation 2 3 2 3 5 4" xfId="17985"/>
    <cellStyle name="Calculation 2 3 2 3 5 5" xfId="19017"/>
    <cellStyle name="Calculation 2 3 2 3 5 6" xfId="20039"/>
    <cellStyle name="Calculation 2 3 2 3 5 7" xfId="21048"/>
    <cellStyle name="Calculation 2 3 2 3 5 8" xfId="22022"/>
    <cellStyle name="Calculation 2 3 2 3 5 9" xfId="23027"/>
    <cellStyle name="Calculation 2 3 2 3 6" xfId="13769"/>
    <cellStyle name="Calculation 2 3 2 3 7" xfId="15246"/>
    <cellStyle name="Calculation 2 3 2 3 8" xfId="15323"/>
    <cellStyle name="Calculation 2 3 2 3 9" xfId="14255"/>
    <cellStyle name="Calculation 2 3 2 4" xfId="688"/>
    <cellStyle name="Calculation 2 3 2 4 10" xfId="15508"/>
    <cellStyle name="Calculation 2 3 2 4 11" xfId="14722"/>
    <cellStyle name="Calculation 2 3 2 4 12" xfId="26345"/>
    <cellStyle name="Calculation 2 3 2 4 13" xfId="27716"/>
    <cellStyle name="Calculation 2 3 2 4 14" xfId="26255"/>
    <cellStyle name="Calculation 2 3 2 4 15" xfId="26574"/>
    <cellStyle name="Calculation 2 3 2 4 16" xfId="27804"/>
    <cellStyle name="Calculation 2 3 2 4 17" xfId="27749"/>
    <cellStyle name="Calculation 2 3 2 4 18" xfId="35039"/>
    <cellStyle name="Calculation 2 3 2 4 19" xfId="35303"/>
    <cellStyle name="Calculation 2 3 2 4 2" xfId="689"/>
    <cellStyle name="Calculation 2 3 2 4 2 10" xfId="23028"/>
    <cellStyle name="Calculation 2 3 2 4 2 11" xfId="24000"/>
    <cellStyle name="Calculation 2 3 2 4 2 12" xfId="24999"/>
    <cellStyle name="Calculation 2 3 2 4 2 13" xfId="27944"/>
    <cellStyle name="Calculation 2 3 2 4 2 14" xfId="28913"/>
    <cellStyle name="Calculation 2 3 2 4 2 15" xfId="29952"/>
    <cellStyle name="Calculation 2 3 2 4 2 16" xfId="30945"/>
    <cellStyle name="Calculation 2 3 2 4 2 17" xfId="31954"/>
    <cellStyle name="Calculation 2 3 2 4 2 18" xfId="32957"/>
    <cellStyle name="Calculation 2 3 2 4 2 19" xfId="33956"/>
    <cellStyle name="Calculation 2 3 2 4 2 2" xfId="690"/>
    <cellStyle name="Calculation 2 3 2 4 2 2 10" xfId="24001"/>
    <cellStyle name="Calculation 2 3 2 4 2 2 11" xfId="25000"/>
    <cellStyle name="Calculation 2 3 2 4 2 2 12" xfId="27945"/>
    <cellStyle name="Calculation 2 3 2 4 2 2 13" xfId="28914"/>
    <cellStyle name="Calculation 2 3 2 4 2 2 14" xfId="29953"/>
    <cellStyle name="Calculation 2 3 2 4 2 2 15" xfId="30946"/>
    <cellStyle name="Calculation 2 3 2 4 2 2 16" xfId="31955"/>
    <cellStyle name="Calculation 2 3 2 4 2 2 17" xfId="32958"/>
    <cellStyle name="Calculation 2 3 2 4 2 2 18" xfId="33957"/>
    <cellStyle name="Calculation 2 3 2 4 2 2 19" xfId="35578"/>
    <cellStyle name="Calculation 2 3 2 4 2 2 2" xfId="15981"/>
    <cellStyle name="Calculation 2 3 2 4 2 2 20" xfId="36517"/>
    <cellStyle name="Calculation 2 3 2 4 2 2 3" xfId="16959"/>
    <cellStyle name="Calculation 2 3 2 4 2 2 4" xfId="17987"/>
    <cellStyle name="Calculation 2 3 2 4 2 2 5" xfId="19019"/>
    <cellStyle name="Calculation 2 3 2 4 2 2 6" xfId="20041"/>
    <cellStyle name="Calculation 2 3 2 4 2 2 7" xfId="21050"/>
    <cellStyle name="Calculation 2 3 2 4 2 2 8" xfId="22024"/>
    <cellStyle name="Calculation 2 3 2 4 2 2 9" xfId="23029"/>
    <cellStyle name="Calculation 2 3 2 4 2 20" xfId="35577"/>
    <cellStyle name="Calculation 2 3 2 4 2 21" xfId="36516"/>
    <cellStyle name="Calculation 2 3 2 4 2 3" xfId="15980"/>
    <cellStyle name="Calculation 2 3 2 4 2 4" xfId="16958"/>
    <cellStyle name="Calculation 2 3 2 4 2 5" xfId="17986"/>
    <cellStyle name="Calculation 2 3 2 4 2 6" xfId="19018"/>
    <cellStyle name="Calculation 2 3 2 4 2 7" xfId="20040"/>
    <cellStyle name="Calculation 2 3 2 4 2 8" xfId="21049"/>
    <cellStyle name="Calculation 2 3 2 4 2 9" xfId="22023"/>
    <cellStyle name="Calculation 2 3 2 4 3" xfId="691"/>
    <cellStyle name="Calculation 2 3 2 4 3 10" xfId="23030"/>
    <cellStyle name="Calculation 2 3 2 4 3 11" xfId="24002"/>
    <cellStyle name="Calculation 2 3 2 4 3 12" xfId="25001"/>
    <cellStyle name="Calculation 2 3 2 4 3 13" xfId="27946"/>
    <cellStyle name="Calculation 2 3 2 4 3 14" xfId="28915"/>
    <cellStyle name="Calculation 2 3 2 4 3 15" xfId="29954"/>
    <cellStyle name="Calculation 2 3 2 4 3 16" xfId="30947"/>
    <cellStyle name="Calculation 2 3 2 4 3 17" xfId="31956"/>
    <cellStyle name="Calculation 2 3 2 4 3 18" xfId="32959"/>
    <cellStyle name="Calculation 2 3 2 4 3 19" xfId="33958"/>
    <cellStyle name="Calculation 2 3 2 4 3 2" xfId="692"/>
    <cellStyle name="Calculation 2 3 2 4 3 2 10" xfId="24003"/>
    <cellStyle name="Calculation 2 3 2 4 3 2 11" xfId="25002"/>
    <cellStyle name="Calculation 2 3 2 4 3 2 12" xfId="27947"/>
    <cellStyle name="Calculation 2 3 2 4 3 2 13" xfId="28916"/>
    <cellStyle name="Calculation 2 3 2 4 3 2 14" xfId="29955"/>
    <cellStyle name="Calculation 2 3 2 4 3 2 15" xfId="30948"/>
    <cellStyle name="Calculation 2 3 2 4 3 2 16" xfId="31957"/>
    <cellStyle name="Calculation 2 3 2 4 3 2 17" xfId="32960"/>
    <cellStyle name="Calculation 2 3 2 4 3 2 18" xfId="33959"/>
    <cellStyle name="Calculation 2 3 2 4 3 2 19" xfId="35580"/>
    <cellStyle name="Calculation 2 3 2 4 3 2 2" xfId="15983"/>
    <cellStyle name="Calculation 2 3 2 4 3 2 20" xfId="36519"/>
    <cellStyle name="Calculation 2 3 2 4 3 2 3" xfId="16961"/>
    <cellStyle name="Calculation 2 3 2 4 3 2 4" xfId="17989"/>
    <cellStyle name="Calculation 2 3 2 4 3 2 5" xfId="19021"/>
    <cellStyle name="Calculation 2 3 2 4 3 2 6" xfId="20043"/>
    <cellStyle name="Calculation 2 3 2 4 3 2 7" xfId="21052"/>
    <cellStyle name="Calculation 2 3 2 4 3 2 8" xfId="22026"/>
    <cellStyle name="Calculation 2 3 2 4 3 2 9" xfId="23031"/>
    <cellStyle name="Calculation 2 3 2 4 3 20" xfId="35579"/>
    <cellStyle name="Calculation 2 3 2 4 3 21" xfId="36518"/>
    <cellStyle name="Calculation 2 3 2 4 3 3" xfId="15982"/>
    <cellStyle name="Calculation 2 3 2 4 3 4" xfId="16960"/>
    <cellStyle name="Calculation 2 3 2 4 3 5" xfId="17988"/>
    <cellStyle name="Calculation 2 3 2 4 3 6" xfId="19020"/>
    <cellStyle name="Calculation 2 3 2 4 3 7" xfId="20042"/>
    <cellStyle name="Calculation 2 3 2 4 3 8" xfId="21051"/>
    <cellStyle name="Calculation 2 3 2 4 3 9" xfId="22025"/>
    <cellStyle name="Calculation 2 3 2 4 4" xfId="693"/>
    <cellStyle name="Calculation 2 3 2 4 4 10" xfId="23032"/>
    <cellStyle name="Calculation 2 3 2 4 4 11" xfId="24004"/>
    <cellStyle name="Calculation 2 3 2 4 4 12" xfId="25003"/>
    <cellStyle name="Calculation 2 3 2 4 4 13" xfId="27948"/>
    <cellStyle name="Calculation 2 3 2 4 4 14" xfId="28917"/>
    <cellStyle name="Calculation 2 3 2 4 4 15" xfId="29956"/>
    <cellStyle name="Calculation 2 3 2 4 4 16" xfId="30949"/>
    <cellStyle name="Calculation 2 3 2 4 4 17" xfId="31958"/>
    <cellStyle name="Calculation 2 3 2 4 4 18" xfId="32961"/>
    <cellStyle name="Calculation 2 3 2 4 4 19" xfId="33960"/>
    <cellStyle name="Calculation 2 3 2 4 4 2" xfId="694"/>
    <cellStyle name="Calculation 2 3 2 4 4 2 10" xfId="24005"/>
    <cellStyle name="Calculation 2 3 2 4 4 2 11" xfId="25004"/>
    <cellStyle name="Calculation 2 3 2 4 4 2 12" xfId="27949"/>
    <cellStyle name="Calculation 2 3 2 4 4 2 13" xfId="28918"/>
    <cellStyle name="Calculation 2 3 2 4 4 2 14" xfId="29957"/>
    <cellStyle name="Calculation 2 3 2 4 4 2 15" xfId="30950"/>
    <cellStyle name="Calculation 2 3 2 4 4 2 16" xfId="31959"/>
    <cellStyle name="Calculation 2 3 2 4 4 2 17" xfId="32962"/>
    <cellStyle name="Calculation 2 3 2 4 4 2 18" xfId="33961"/>
    <cellStyle name="Calculation 2 3 2 4 4 2 19" xfId="35582"/>
    <cellStyle name="Calculation 2 3 2 4 4 2 2" xfId="15985"/>
    <cellStyle name="Calculation 2 3 2 4 4 2 20" xfId="36521"/>
    <cellStyle name="Calculation 2 3 2 4 4 2 3" xfId="16963"/>
    <cellStyle name="Calculation 2 3 2 4 4 2 4" xfId="17991"/>
    <cellStyle name="Calculation 2 3 2 4 4 2 5" xfId="19023"/>
    <cellStyle name="Calculation 2 3 2 4 4 2 6" xfId="20045"/>
    <cellStyle name="Calculation 2 3 2 4 4 2 7" xfId="21054"/>
    <cellStyle name="Calculation 2 3 2 4 4 2 8" xfId="22028"/>
    <cellStyle name="Calculation 2 3 2 4 4 2 9" xfId="23033"/>
    <cellStyle name="Calculation 2 3 2 4 4 20" xfId="35581"/>
    <cellStyle name="Calculation 2 3 2 4 4 21" xfId="36520"/>
    <cellStyle name="Calculation 2 3 2 4 4 3" xfId="15984"/>
    <cellStyle name="Calculation 2 3 2 4 4 4" xfId="16962"/>
    <cellStyle name="Calculation 2 3 2 4 4 5" xfId="17990"/>
    <cellStyle name="Calculation 2 3 2 4 4 6" xfId="19022"/>
    <cellStyle name="Calculation 2 3 2 4 4 7" xfId="20044"/>
    <cellStyle name="Calculation 2 3 2 4 4 8" xfId="21053"/>
    <cellStyle name="Calculation 2 3 2 4 4 9" xfId="22027"/>
    <cellStyle name="Calculation 2 3 2 4 5" xfId="695"/>
    <cellStyle name="Calculation 2 3 2 4 5 10" xfId="24006"/>
    <cellStyle name="Calculation 2 3 2 4 5 11" xfId="25005"/>
    <cellStyle name="Calculation 2 3 2 4 5 12" xfId="27950"/>
    <cellStyle name="Calculation 2 3 2 4 5 13" xfId="28919"/>
    <cellStyle name="Calculation 2 3 2 4 5 14" xfId="29958"/>
    <cellStyle name="Calculation 2 3 2 4 5 15" xfId="30951"/>
    <cellStyle name="Calculation 2 3 2 4 5 16" xfId="31960"/>
    <cellStyle name="Calculation 2 3 2 4 5 17" xfId="32963"/>
    <cellStyle name="Calculation 2 3 2 4 5 18" xfId="33962"/>
    <cellStyle name="Calculation 2 3 2 4 5 19" xfId="35583"/>
    <cellStyle name="Calculation 2 3 2 4 5 2" xfId="15986"/>
    <cellStyle name="Calculation 2 3 2 4 5 20" xfId="36522"/>
    <cellStyle name="Calculation 2 3 2 4 5 3" xfId="16964"/>
    <cellStyle name="Calculation 2 3 2 4 5 4" xfId="17992"/>
    <cellStyle name="Calculation 2 3 2 4 5 5" xfId="19024"/>
    <cellStyle name="Calculation 2 3 2 4 5 6" xfId="20046"/>
    <cellStyle name="Calculation 2 3 2 4 5 7" xfId="21055"/>
    <cellStyle name="Calculation 2 3 2 4 5 8" xfId="22029"/>
    <cellStyle name="Calculation 2 3 2 4 5 9" xfId="23034"/>
    <cellStyle name="Calculation 2 3 2 4 6" xfId="13876"/>
    <cellStyle name="Calculation 2 3 2 4 7" xfId="13938"/>
    <cellStyle name="Calculation 2 3 2 4 8" xfId="14643"/>
    <cellStyle name="Calculation 2 3 2 4 9" xfId="15642"/>
    <cellStyle name="Calculation 2 3 2 5" xfId="696"/>
    <cellStyle name="Calculation 2 3 2 5 10" xfId="14248"/>
    <cellStyle name="Calculation 2 3 2 5 11" xfId="14648"/>
    <cellStyle name="Calculation 2 3 2 5 12" xfId="26439"/>
    <cellStyle name="Calculation 2 3 2 5 13" xfId="27090"/>
    <cellStyle name="Calculation 2 3 2 5 14" xfId="26117"/>
    <cellStyle name="Calculation 2 3 2 5 15" xfId="27195"/>
    <cellStyle name="Calculation 2 3 2 5 16" xfId="27807"/>
    <cellStyle name="Calculation 2 3 2 5 17" xfId="27573"/>
    <cellStyle name="Calculation 2 3 2 5 18" xfId="35123"/>
    <cellStyle name="Calculation 2 3 2 5 19" xfId="35245"/>
    <cellStyle name="Calculation 2 3 2 5 2" xfId="697"/>
    <cellStyle name="Calculation 2 3 2 5 2 10" xfId="23035"/>
    <cellStyle name="Calculation 2 3 2 5 2 11" xfId="24007"/>
    <cellStyle name="Calculation 2 3 2 5 2 12" xfId="25006"/>
    <cellStyle name="Calculation 2 3 2 5 2 13" xfId="27951"/>
    <cellStyle name="Calculation 2 3 2 5 2 14" xfId="28920"/>
    <cellStyle name="Calculation 2 3 2 5 2 15" xfId="29959"/>
    <cellStyle name="Calculation 2 3 2 5 2 16" xfId="30952"/>
    <cellStyle name="Calculation 2 3 2 5 2 17" xfId="31961"/>
    <cellStyle name="Calculation 2 3 2 5 2 18" xfId="32964"/>
    <cellStyle name="Calculation 2 3 2 5 2 19" xfId="33963"/>
    <cellStyle name="Calculation 2 3 2 5 2 2" xfId="698"/>
    <cellStyle name="Calculation 2 3 2 5 2 2 10" xfId="24008"/>
    <cellStyle name="Calculation 2 3 2 5 2 2 11" xfId="25007"/>
    <cellStyle name="Calculation 2 3 2 5 2 2 12" xfId="27952"/>
    <cellStyle name="Calculation 2 3 2 5 2 2 13" xfId="28921"/>
    <cellStyle name="Calculation 2 3 2 5 2 2 14" xfId="29960"/>
    <cellStyle name="Calculation 2 3 2 5 2 2 15" xfId="30953"/>
    <cellStyle name="Calculation 2 3 2 5 2 2 16" xfId="31962"/>
    <cellStyle name="Calculation 2 3 2 5 2 2 17" xfId="32965"/>
    <cellStyle name="Calculation 2 3 2 5 2 2 18" xfId="33964"/>
    <cellStyle name="Calculation 2 3 2 5 2 2 19" xfId="35585"/>
    <cellStyle name="Calculation 2 3 2 5 2 2 2" xfId="15988"/>
    <cellStyle name="Calculation 2 3 2 5 2 2 20" xfId="36524"/>
    <cellStyle name="Calculation 2 3 2 5 2 2 3" xfId="16966"/>
    <cellStyle name="Calculation 2 3 2 5 2 2 4" xfId="17994"/>
    <cellStyle name="Calculation 2 3 2 5 2 2 5" xfId="19026"/>
    <cellStyle name="Calculation 2 3 2 5 2 2 6" xfId="20048"/>
    <cellStyle name="Calculation 2 3 2 5 2 2 7" xfId="21057"/>
    <cellStyle name="Calculation 2 3 2 5 2 2 8" xfId="22031"/>
    <cellStyle name="Calculation 2 3 2 5 2 2 9" xfId="23036"/>
    <cellStyle name="Calculation 2 3 2 5 2 20" xfId="35584"/>
    <cellStyle name="Calculation 2 3 2 5 2 21" xfId="36523"/>
    <cellStyle name="Calculation 2 3 2 5 2 3" xfId="15987"/>
    <cellStyle name="Calculation 2 3 2 5 2 4" xfId="16965"/>
    <cellStyle name="Calculation 2 3 2 5 2 5" xfId="17993"/>
    <cellStyle name="Calculation 2 3 2 5 2 6" xfId="19025"/>
    <cellStyle name="Calculation 2 3 2 5 2 7" xfId="20047"/>
    <cellStyle name="Calculation 2 3 2 5 2 8" xfId="21056"/>
    <cellStyle name="Calculation 2 3 2 5 2 9" xfId="22030"/>
    <cellStyle name="Calculation 2 3 2 5 3" xfId="699"/>
    <cellStyle name="Calculation 2 3 2 5 3 10" xfId="23037"/>
    <cellStyle name="Calculation 2 3 2 5 3 11" xfId="24009"/>
    <cellStyle name="Calculation 2 3 2 5 3 12" xfId="25008"/>
    <cellStyle name="Calculation 2 3 2 5 3 13" xfId="27953"/>
    <cellStyle name="Calculation 2 3 2 5 3 14" xfId="28922"/>
    <cellStyle name="Calculation 2 3 2 5 3 15" xfId="29961"/>
    <cellStyle name="Calculation 2 3 2 5 3 16" xfId="30954"/>
    <cellStyle name="Calculation 2 3 2 5 3 17" xfId="31963"/>
    <cellStyle name="Calculation 2 3 2 5 3 18" xfId="32966"/>
    <cellStyle name="Calculation 2 3 2 5 3 19" xfId="33965"/>
    <cellStyle name="Calculation 2 3 2 5 3 2" xfId="700"/>
    <cellStyle name="Calculation 2 3 2 5 3 2 10" xfId="24010"/>
    <cellStyle name="Calculation 2 3 2 5 3 2 11" xfId="25009"/>
    <cellStyle name="Calculation 2 3 2 5 3 2 12" xfId="27954"/>
    <cellStyle name="Calculation 2 3 2 5 3 2 13" xfId="28923"/>
    <cellStyle name="Calculation 2 3 2 5 3 2 14" xfId="29962"/>
    <cellStyle name="Calculation 2 3 2 5 3 2 15" xfId="30955"/>
    <cellStyle name="Calculation 2 3 2 5 3 2 16" xfId="31964"/>
    <cellStyle name="Calculation 2 3 2 5 3 2 17" xfId="32967"/>
    <cellStyle name="Calculation 2 3 2 5 3 2 18" xfId="33966"/>
    <cellStyle name="Calculation 2 3 2 5 3 2 19" xfId="35587"/>
    <cellStyle name="Calculation 2 3 2 5 3 2 2" xfId="15990"/>
    <cellStyle name="Calculation 2 3 2 5 3 2 20" xfId="36526"/>
    <cellStyle name="Calculation 2 3 2 5 3 2 3" xfId="16968"/>
    <cellStyle name="Calculation 2 3 2 5 3 2 4" xfId="17996"/>
    <cellStyle name="Calculation 2 3 2 5 3 2 5" xfId="19028"/>
    <cellStyle name="Calculation 2 3 2 5 3 2 6" xfId="20050"/>
    <cellStyle name="Calculation 2 3 2 5 3 2 7" xfId="21059"/>
    <cellStyle name="Calculation 2 3 2 5 3 2 8" xfId="22033"/>
    <cellStyle name="Calculation 2 3 2 5 3 2 9" xfId="23038"/>
    <cellStyle name="Calculation 2 3 2 5 3 20" xfId="35586"/>
    <cellStyle name="Calculation 2 3 2 5 3 21" xfId="36525"/>
    <cellStyle name="Calculation 2 3 2 5 3 3" xfId="15989"/>
    <cellStyle name="Calculation 2 3 2 5 3 4" xfId="16967"/>
    <cellStyle name="Calculation 2 3 2 5 3 5" xfId="17995"/>
    <cellStyle name="Calculation 2 3 2 5 3 6" xfId="19027"/>
    <cellStyle name="Calculation 2 3 2 5 3 7" xfId="20049"/>
    <cellStyle name="Calculation 2 3 2 5 3 8" xfId="21058"/>
    <cellStyle name="Calculation 2 3 2 5 3 9" xfId="22032"/>
    <cellStyle name="Calculation 2 3 2 5 4" xfId="701"/>
    <cellStyle name="Calculation 2 3 2 5 4 10" xfId="23039"/>
    <cellStyle name="Calculation 2 3 2 5 4 11" xfId="24011"/>
    <cellStyle name="Calculation 2 3 2 5 4 12" xfId="25010"/>
    <cellStyle name="Calculation 2 3 2 5 4 13" xfId="27955"/>
    <cellStyle name="Calculation 2 3 2 5 4 14" xfId="28924"/>
    <cellStyle name="Calculation 2 3 2 5 4 15" xfId="29963"/>
    <cellStyle name="Calculation 2 3 2 5 4 16" xfId="30956"/>
    <cellStyle name="Calculation 2 3 2 5 4 17" xfId="31965"/>
    <cellStyle name="Calculation 2 3 2 5 4 18" xfId="32968"/>
    <cellStyle name="Calculation 2 3 2 5 4 19" xfId="33967"/>
    <cellStyle name="Calculation 2 3 2 5 4 2" xfId="702"/>
    <cellStyle name="Calculation 2 3 2 5 4 2 10" xfId="24012"/>
    <cellStyle name="Calculation 2 3 2 5 4 2 11" xfId="25011"/>
    <cellStyle name="Calculation 2 3 2 5 4 2 12" xfId="27956"/>
    <cellStyle name="Calculation 2 3 2 5 4 2 13" xfId="28925"/>
    <cellStyle name="Calculation 2 3 2 5 4 2 14" xfId="29964"/>
    <cellStyle name="Calculation 2 3 2 5 4 2 15" xfId="30957"/>
    <cellStyle name="Calculation 2 3 2 5 4 2 16" xfId="31966"/>
    <cellStyle name="Calculation 2 3 2 5 4 2 17" xfId="32969"/>
    <cellStyle name="Calculation 2 3 2 5 4 2 18" xfId="33968"/>
    <cellStyle name="Calculation 2 3 2 5 4 2 19" xfId="35589"/>
    <cellStyle name="Calculation 2 3 2 5 4 2 2" xfId="15992"/>
    <cellStyle name="Calculation 2 3 2 5 4 2 20" xfId="36528"/>
    <cellStyle name="Calculation 2 3 2 5 4 2 3" xfId="16970"/>
    <cellStyle name="Calculation 2 3 2 5 4 2 4" xfId="17998"/>
    <cellStyle name="Calculation 2 3 2 5 4 2 5" xfId="19030"/>
    <cellStyle name="Calculation 2 3 2 5 4 2 6" xfId="20052"/>
    <cellStyle name="Calculation 2 3 2 5 4 2 7" xfId="21061"/>
    <cellStyle name="Calculation 2 3 2 5 4 2 8" xfId="22035"/>
    <cellStyle name="Calculation 2 3 2 5 4 2 9" xfId="23040"/>
    <cellStyle name="Calculation 2 3 2 5 4 20" xfId="35588"/>
    <cellStyle name="Calculation 2 3 2 5 4 21" xfId="36527"/>
    <cellStyle name="Calculation 2 3 2 5 4 3" xfId="15991"/>
    <cellStyle name="Calculation 2 3 2 5 4 4" xfId="16969"/>
    <cellStyle name="Calculation 2 3 2 5 4 5" xfId="17997"/>
    <cellStyle name="Calculation 2 3 2 5 4 6" xfId="19029"/>
    <cellStyle name="Calculation 2 3 2 5 4 7" xfId="20051"/>
    <cellStyle name="Calculation 2 3 2 5 4 8" xfId="21060"/>
    <cellStyle name="Calculation 2 3 2 5 4 9" xfId="22034"/>
    <cellStyle name="Calculation 2 3 2 5 5" xfId="703"/>
    <cellStyle name="Calculation 2 3 2 5 5 10" xfId="24013"/>
    <cellStyle name="Calculation 2 3 2 5 5 11" xfId="25012"/>
    <cellStyle name="Calculation 2 3 2 5 5 12" xfId="27957"/>
    <cellStyle name="Calculation 2 3 2 5 5 13" xfId="28926"/>
    <cellStyle name="Calculation 2 3 2 5 5 14" xfId="29965"/>
    <cellStyle name="Calculation 2 3 2 5 5 15" xfId="30958"/>
    <cellStyle name="Calculation 2 3 2 5 5 16" xfId="31967"/>
    <cellStyle name="Calculation 2 3 2 5 5 17" xfId="32970"/>
    <cellStyle name="Calculation 2 3 2 5 5 18" xfId="33969"/>
    <cellStyle name="Calculation 2 3 2 5 5 19" xfId="35590"/>
    <cellStyle name="Calculation 2 3 2 5 5 2" xfId="15993"/>
    <cellStyle name="Calculation 2 3 2 5 5 20" xfId="36529"/>
    <cellStyle name="Calculation 2 3 2 5 5 3" xfId="16971"/>
    <cellStyle name="Calculation 2 3 2 5 5 4" xfId="17999"/>
    <cellStyle name="Calculation 2 3 2 5 5 5" xfId="19031"/>
    <cellStyle name="Calculation 2 3 2 5 5 6" xfId="20053"/>
    <cellStyle name="Calculation 2 3 2 5 5 7" xfId="21062"/>
    <cellStyle name="Calculation 2 3 2 5 5 8" xfId="22036"/>
    <cellStyle name="Calculation 2 3 2 5 5 9" xfId="23041"/>
    <cellStyle name="Calculation 2 3 2 5 6" xfId="13488"/>
    <cellStyle name="Calculation 2 3 2 5 7" xfId="15439"/>
    <cellStyle name="Calculation 2 3 2 5 8" xfId="15809"/>
    <cellStyle name="Calculation 2 3 2 5 9" xfId="14267"/>
    <cellStyle name="Calculation 2 3 2 6" xfId="704"/>
    <cellStyle name="Calculation 2 3 2 6 10" xfId="23042"/>
    <cellStyle name="Calculation 2 3 2 6 11" xfId="24014"/>
    <cellStyle name="Calculation 2 3 2 6 12" xfId="25013"/>
    <cellStyle name="Calculation 2 3 2 6 13" xfId="27958"/>
    <cellStyle name="Calculation 2 3 2 6 14" xfId="28927"/>
    <cellStyle name="Calculation 2 3 2 6 15" xfId="29966"/>
    <cellStyle name="Calculation 2 3 2 6 16" xfId="30959"/>
    <cellStyle name="Calculation 2 3 2 6 17" xfId="31968"/>
    <cellStyle name="Calculation 2 3 2 6 18" xfId="32971"/>
    <cellStyle name="Calculation 2 3 2 6 19" xfId="33970"/>
    <cellStyle name="Calculation 2 3 2 6 2" xfId="705"/>
    <cellStyle name="Calculation 2 3 2 6 2 10" xfId="24015"/>
    <cellStyle name="Calculation 2 3 2 6 2 11" xfId="25014"/>
    <cellStyle name="Calculation 2 3 2 6 2 12" xfId="27959"/>
    <cellStyle name="Calculation 2 3 2 6 2 13" xfId="28928"/>
    <cellStyle name="Calculation 2 3 2 6 2 14" xfId="29967"/>
    <cellStyle name="Calculation 2 3 2 6 2 15" xfId="30960"/>
    <cellStyle name="Calculation 2 3 2 6 2 16" xfId="31969"/>
    <cellStyle name="Calculation 2 3 2 6 2 17" xfId="32972"/>
    <cellStyle name="Calculation 2 3 2 6 2 18" xfId="33971"/>
    <cellStyle name="Calculation 2 3 2 6 2 19" xfId="35592"/>
    <cellStyle name="Calculation 2 3 2 6 2 2" xfId="15995"/>
    <cellStyle name="Calculation 2 3 2 6 2 20" xfId="36531"/>
    <cellStyle name="Calculation 2 3 2 6 2 3" xfId="16973"/>
    <cellStyle name="Calculation 2 3 2 6 2 4" xfId="18001"/>
    <cellStyle name="Calculation 2 3 2 6 2 5" xfId="19033"/>
    <cellStyle name="Calculation 2 3 2 6 2 6" xfId="20055"/>
    <cellStyle name="Calculation 2 3 2 6 2 7" xfId="21064"/>
    <cellStyle name="Calculation 2 3 2 6 2 8" xfId="22038"/>
    <cellStyle name="Calculation 2 3 2 6 2 9" xfId="23043"/>
    <cellStyle name="Calculation 2 3 2 6 20" xfId="35591"/>
    <cellStyle name="Calculation 2 3 2 6 21" xfId="36530"/>
    <cellStyle name="Calculation 2 3 2 6 3" xfId="15994"/>
    <cellStyle name="Calculation 2 3 2 6 4" xfId="16972"/>
    <cellStyle name="Calculation 2 3 2 6 5" xfId="18000"/>
    <cellStyle name="Calculation 2 3 2 6 6" xfId="19032"/>
    <cellStyle name="Calculation 2 3 2 6 7" xfId="20054"/>
    <cellStyle name="Calculation 2 3 2 6 8" xfId="21063"/>
    <cellStyle name="Calculation 2 3 2 6 9" xfId="22037"/>
    <cellStyle name="Calculation 2 3 2 7" xfId="706"/>
    <cellStyle name="Calculation 2 3 2 7 10" xfId="23044"/>
    <cellStyle name="Calculation 2 3 2 7 11" xfId="24016"/>
    <cellStyle name="Calculation 2 3 2 7 12" xfId="25015"/>
    <cellStyle name="Calculation 2 3 2 7 13" xfId="27960"/>
    <cellStyle name="Calculation 2 3 2 7 14" xfId="28929"/>
    <cellStyle name="Calculation 2 3 2 7 15" xfId="29968"/>
    <cellStyle name="Calculation 2 3 2 7 16" xfId="30961"/>
    <cellStyle name="Calculation 2 3 2 7 17" xfId="31970"/>
    <cellStyle name="Calculation 2 3 2 7 18" xfId="32973"/>
    <cellStyle name="Calculation 2 3 2 7 19" xfId="33972"/>
    <cellStyle name="Calculation 2 3 2 7 2" xfId="707"/>
    <cellStyle name="Calculation 2 3 2 7 2 10" xfId="24017"/>
    <cellStyle name="Calculation 2 3 2 7 2 11" xfId="25016"/>
    <cellStyle name="Calculation 2 3 2 7 2 12" xfId="27961"/>
    <cellStyle name="Calculation 2 3 2 7 2 13" xfId="28930"/>
    <cellStyle name="Calculation 2 3 2 7 2 14" xfId="29969"/>
    <cellStyle name="Calculation 2 3 2 7 2 15" xfId="30962"/>
    <cellStyle name="Calculation 2 3 2 7 2 16" xfId="31971"/>
    <cellStyle name="Calculation 2 3 2 7 2 17" xfId="32974"/>
    <cellStyle name="Calculation 2 3 2 7 2 18" xfId="33973"/>
    <cellStyle name="Calculation 2 3 2 7 2 19" xfId="35594"/>
    <cellStyle name="Calculation 2 3 2 7 2 2" xfId="15997"/>
    <cellStyle name="Calculation 2 3 2 7 2 20" xfId="36533"/>
    <cellStyle name="Calculation 2 3 2 7 2 3" xfId="16975"/>
    <cellStyle name="Calculation 2 3 2 7 2 4" xfId="18003"/>
    <cellStyle name="Calculation 2 3 2 7 2 5" xfId="19035"/>
    <cellStyle name="Calculation 2 3 2 7 2 6" xfId="20057"/>
    <cellStyle name="Calculation 2 3 2 7 2 7" xfId="21066"/>
    <cellStyle name="Calculation 2 3 2 7 2 8" xfId="22040"/>
    <cellStyle name="Calculation 2 3 2 7 2 9" xfId="23045"/>
    <cellStyle name="Calculation 2 3 2 7 20" xfId="35593"/>
    <cellStyle name="Calculation 2 3 2 7 21" xfId="36532"/>
    <cellStyle name="Calculation 2 3 2 7 3" xfId="15996"/>
    <cellStyle name="Calculation 2 3 2 7 4" xfId="16974"/>
    <cellStyle name="Calculation 2 3 2 7 5" xfId="18002"/>
    <cellStyle name="Calculation 2 3 2 7 6" xfId="19034"/>
    <cellStyle name="Calculation 2 3 2 7 7" xfId="20056"/>
    <cellStyle name="Calculation 2 3 2 7 8" xfId="21065"/>
    <cellStyle name="Calculation 2 3 2 7 9" xfId="22039"/>
    <cellStyle name="Calculation 2 3 2 8" xfId="708"/>
    <cellStyle name="Calculation 2 3 2 8 10" xfId="23046"/>
    <cellStyle name="Calculation 2 3 2 8 11" xfId="24018"/>
    <cellStyle name="Calculation 2 3 2 8 12" xfId="25017"/>
    <cellStyle name="Calculation 2 3 2 8 13" xfId="27962"/>
    <cellStyle name="Calculation 2 3 2 8 14" xfId="28931"/>
    <cellStyle name="Calculation 2 3 2 8 15" xfId="29970"/>
    <cellStyle name="Calculation 2 3 2 8 16" xfId="30963"/>
    <cellStyle name="Calculation 2 3 2 8 17" xfId="31972"/>
    <cellStyle name="Calculation 2 3 2 8 18" xfId="32975"/>
    <cellStyle name="Calculation 2 3 2 8 19" xfId="33974"/>
    <cellStyle name="Calculation 2 3 2 8 2" xfId="709"/>
    <cellStyle name="Calculation 2 3 2 8 2 10" xfId="24019"/>
    <cellStyle name="Calculation 2 3 2 8 2 11" xfId="25018"/>
    <cellStyle name="Calculation 2 3 2 8 2 12" xfId="27963"/>
    <cellStyle name="Calculation 2 3 2 8 2 13" xfId="28932"/>
    <cellStyle name="Calculation 2 3 2 8 2 14" xfId="29971"/>
    <cellStyle name="Calculation 2 3 2 8 2 15" xfId="30964"/>
    <cellStyle name="Calculation 2 3 2 8 2 16" xfId="31973"/>
    <cellStyle name="Calculation 2 3 2 8 2 17" xfId="32976"/>
    <cellStyle name="Calculation 2 3 2 8 2 18" xfId="33975"/>
    <cellStyle name="Calculation 2 3 2 8 2 19" xfId="35596"/>
    <cellStyle name="Calculation 2 3 2 8 2 2" xfId="15999"/>
    <cellStyle name="Calculation 2 3 2 8 2 20" xfId="36535"/>
    <cellStyle name="Calculation 2 3 2 8 2 3" xfId="16977"/>
    <cellStyle name="Calculation 2 3 2 8 2 4" xfId="18005"/>
    <cellStyle name="Calculation 2 3 2 8 2 5" xfId="19037"/>
    <cellStyle name="Calculation 2 3 2 8 2 6" xfId="20059"/>
    <cellStyle name="Calculation 2 3 2 8 2 7" xfId="21068"/>
    <cellStyle name="Calculation 2 3 2 8 2 8" xfId="22042"/>
    <cellStyle name="Calculation 2 3 2 8 2 9" xfId="23047"/>
    <cellStyle name="Calculation 2 3 2 8 20" xfId="35595"/>
    <cellStyle name="Calculation 2 3 2 8 21" xfId="36534"/>
    <cellStyle name="Calculation 2 3 2 8 3" xfId="15998"/>
    <cellStyle name="Calculation 2 3 2 8 4" xfId="16976"/>
    <cellStyle name="Calculation 2 3 2 8 5" xfId="18004"/>
    <cellStyle name="Calculation 2 3 2 8 6" xfId="19036"/>
    <cellStyle name="Calculation 2 3 2 8 7" xfId="20058"/>
    <cellStyle name="Calculation 2 3 2 8 8" xfId="21067"/>
    <cellStyle name="Calculation 2 3 2 8 9" xfId="22041"/>
    <cellStyle name="Calculation 2 3 2 9" xfId="710"/>
    <cellStyle name="Calculation 2 3 2 9 10" xfId="24020"/>
    <cellStyle name="Calculation 2 3 2 9 11" xfId="25019"/>
    <cellStyle name="Calculation 2 3 2 9 12" xfId="27964"/>
    <cellStyle name="Calculation 2 3 2 9 13" xfId="28933"/>
    <cellStyle name="Calculation 2 3 2 9 14" xfId="29972"/>
    <cellStyle name="Calculation 2 3 2 9 15" xfId="30965"/>
    <cellStyle name="Calculation 2 3 2 9 16" xfId="31974"/>
    <cellStyle name="Calculation 2 3 2 9 17" xfId="32977"/>
    <cellStyle name="Calculation 2 3 2 9 18" xfId="33976"/>
    <cellStyle name="Calculation 2 3 2 9 19" xfId="35597"/>
    <cellStyle name="Calculation 2 3 2 9 2" xfId="16000"/>
    <cellStyle name="Calculation 2 3 2 9 20" xfId="36536"/>
    <cellStyle name="Calculation 2 3 2 9 3" xfId="16978"/>
    <cellStyle name="Calculation 2 3 2 9 4" xfId="18006"/>
    <cellStyle name="Calculation 2 3 2 9 5" xfId="19038"/>
    <cellStyle name="Calculation 2 3 2 9 6" xfId="20060"/>
    <cellStyle name="Calculation 2 3 2 9 7" xfId="21069"/>
    <cellStyle name="Calculation 2 3 2 9 8" xfId="22043"/>
    <cellStyle name="Calculation 2 3 2 9 9" xfId="23048"/>
    <cellStyle name="Calculation 2 3 20" xfId="34851"/>
    <cellStyle name="Calculation 2 3 21" xfId="34874"/>
    <cellStyle name="Calculation 2 3 22" xfId="35380"/>
    <cellStyle name="Calculation 2 3 23" xfId="37469"/>
    <cellStyle name="Calculation 2 3 3" xfId="711"/>
    <cellStyle name="Calculation 2 3 3 10" xfId="13510"/>
    <cellStyle name="Calculation 2 3 3 11" xfId="14211"/>
    <cellStyle name="Calculation 2 3 3 12" xfId="15586"/>
    <cellStyle name="Calculation 2 3 3 13" xfId="15576"/>
    <cellStyle name="Calculation 2 3 3 14" xfId="17862"/>
    <cellStyle name="Calculation 2 3 3 15" xfId="13584"/>
    <cellStyle name="Calculation 2 3 3 16" xfId="26506"/>
    <cellStyle name="Calculation 2 3 3 17" xfId="27051"/>
    <cellStyle name="Calculation 2 3 3 18" xfId="26191"/>
    <cellStyle name="Calculation 2 3 3 19" xfId="26632"/>
    <cellStyle name="Calculation 2 3 3 2" xfId="712"/>
    <cellStyle name="Calculation 2 3 3 2 10" xfId="23049"/>
    <cellStyle name="Calculation 2 3 3 2 11" xfId="24021"/>
    <cellStyle name="Calculation 2 3 3 2 12" xfId="25020"/>
    <cellStyle name="Calculation 2 3 3 2 13" xfId="27965"/>
    <cellStyle name="Calculation 2 3 3 2 14" xfId="28934"/>
    <cellStyle name="Calculation 2 3 3 2 15" xfId="29973"/>
    <cellStyle name="Calculation 2 3 3 2 16" xfId="30966"/>
    <cellStyle name="Calculation 2 3 3 2 17" xfId="31975"/>
    <cellStyle name="Calculation 2 3 3 2 18" xfId="32978"/>
    <cellStyle name="Calculation 2 3 3 2 19" xfId="33977"/>
    <cellStyle name="Calculation 2 3 3 2 2" xfId="713"/>
    <cellStyle name="Calculation 2 3 3 2 2 10" xfId="24022"/>
    <cellStyle name="Calculation 2 3 3 2 2 11" xfId="25021"/>
    <cellStyle name="Calculation 2 3 3 2 2 12" xfId="27966"/>
    <cellStyle name="Calculation 2 3 3 2 2 13" xfId="28935"/>
    <cellStyle name="Calculation 2 3 3 2 2 14" xfId="29974"/>
    <cellStyle name="Calculation 2 3 3 2 2 15" xfId="30967"/>
    <cellStyle name="Calculation 2 3 3 2 2 16" xfId="31976"/>
    <cellStyle name="Calculation 2 3 3 2 2 17" xfId="32979"/>
    <cellStyle name="Calculation 2 3 3 2 2 18" xfId="33978"/>
    <cellStyle name="Calculation 2 3 3 2 2 19" xfId="35599"/>
    <cellStyle name="Calculation 2 3 3 2 2 2" xfId="16002"/>
    <cellStyle name="Calculation 2 3 3 2 2 20" xfId="36538"/>
    <cellStyle name="Calculation 2 3 3 2 2 3" xfId="16980"/>
    <cellStyle name="Calculation 2 3 3 2 2 4" xfId="18008"/>
    <cellStyle name="Calculation 2 3 3 2 2 5" xfId="19040"/>
    <cellStyle name="Calculation 2 3 3 2 2 6" xfId="20062"/>
    <cellStyle name="Calculation 2 3 3 2 2 7" xfId="21071"/>
    <cellStyle name="Calculation 2 3 3 2 2 8" xfId="22045"/>
    <cellStyle name="Calculation 2 3 3 2 2 9" xfId="23050"/>
    <cellStyle name="Calculation 2 3 3 2 20" xfId="35598"/>
    <cellStyle name="Calculation 2 3 3 2 21" xfId="36537"/>
    <cellStyle name="Calculation 2 3 3 2 3" xfId="16001"/>
    <cellStyle name="Calculation 2 3 3 2 4" xfId="16979"/>
    <cellStyle name="Calculation 2 3 3 2 5" xfId="18007"/>
    <cellStyle name="Calculation 2 3 3 2 6" xfId="19039"/>
    <cellStyle name="Calculation 2 3 3 2 7" xfId="20061"/>
    <cellStyle name="Calculation 2 3 3 2 8" xfId="21070"/>
    <cellStyle name="Calculation 2 3 3 2 9" xfId="22044"/>
    <cellStyle name="Calculation 2 3 3 20" xfId="26590"/>
    <cellStyle name="Calculation 2 3 3 21" xfId="27829"/>
    <cellStyle name="Calculation 2 3 3 22" xfId="26001"/>
    <cellStyle name="Calculation 2 3 3 23" xfId="35177"/>
    <cellStyle name="Calculation 2 3 3 24" xfId="35207"/>
    <cellStyle name="Calculation 2 3 3 3" xfId="714"/>
    <cellStyle name="Calculation 2 3 3 3 10" xfId="23051"/>
    <cellStyle name="Calculation 2 3 3 3 11" xfId="24023"/>
    <cellStyle name="Calculation 2 3 3 3 12" xfId="25022"/>
    <cellStyle name="Calculation 2 3 3 3 13" xfId="27967"/>
    <cellStyle name="Calculation 2 3 3 3 14" xfId="28936"/>
    <cellStyle name="Calculation 2 3 3 3 15" xfId="29975"/>
    <cellStyle name="Calculation 2 3 3 3 16" xfId="30968"/>
    <cellStyle name="Calculation 2 3 3 3 17" xfId="31977"/>
    <cellStyle name="Calculation 2 3 3 3 18" xfId="32980"/>
    <cellStyle name="Calculation 2 3 3 3 19" xfId="33979"/>
    <cellStyle name="Calculation 2 3 3 3 2" xfId="715"/>
    <cellStyle name="Calculation 2 3 3 3 2 10" xfId="24024"/>
    <cellStyle name="Calculation 2 3 3 3 2 11" xfId="25023"/>
    <cellStyle name="Calculation 2 3 3 3 2 12" xfId="27968"/>
    <cellStyle name="Calculation 2 3 3 3 2 13" xfId="28937"/>
    <cellStyle name="Calculation 2 3 3 3 2 14" xfId="29976"/>
    <cellStyle name="Calculation 2 3 3 3 2 15" xfId="30969"/>
    <cellStyle name="Calculation 2 3 3 3 2 16" xfId="31978"/>
    <cellStyle name="Calculation 2 3 3 3 2 17" xfId="32981"/>
    <cellStyle name="Calculation 2 3 3 3 2 18" xfId="33980"/>
    <cellStyle name="Calculation 2 3 3 3 2 19" xfId="35601"/>
    <cellStyle name="Calculation 2 3 3 3 2 2" xfId="16004"/>
    <cellStyle name="Calculation 2 3 3 3 2 20" xfId="36540"/>
    <cellStyle name="Calculation 2 3 3 3 2 3" xfId="16982"/>
    <cellStyle name="Calculation 2 3 3 3 2 4" xfId="18010"/>
    <cellStyle name="Calculation 2 3 3 3 2 5" xfId="19042"/>
    <cellStyle name="Calculation 2 3 3 3 2 6" xfId="20064"/>
    <cellStyle name="Calculation 2 3 3 3 2 7" xfId="21073"/>
    <cellStyle name="Calculation 2 3 3 3 2 8" xfId="22047"/>
    <cellStyle name="Calculation 2 3 3 3 2 9" xfId="23052"/>
    <cellStyle name="Calculation 2 3 3 3 20" xfId="35600"/>
    <cellStyle name="Calculation 2 3 3 3 21" xfId="36539"/>
    <cellStyle name="Calculation 2 3 3 3 3" xfId="16003"/>
    <cellStyle name="Calculation 2 3 3 3 4" xfId="16981"/>
    <cellStyle name="Calculation 2 3 3 3 5" xfId="18009"/>
    <cellStyle name="Calculation 2 3 3 3 6" xfId="19041"/>
    <cellStyle name="Calculation 2 3 3 3 7" xfId="20063"/>
    <cellStyle name="Calculation 2 3 3 3 8" xfId="21072"/>
    <cellStyle name="Calculation 2 3 3 3 9" xfId="22046"/>
    <cellStyle name="Calculation 2 3 3 4" xfId="716"/>
    <cellStyle name="Calculation 2 3 3 4 10" xfId="23053"/>
    <cellStyle name="Calculation 2 3 3 4 11" xfId="24025"/>
    <cellStyle name="Calculation 2 3 3 4 12" xfId="25024"/>
    <cellStyle name="Calculation 2 3 3 4 13" xfId="27969"/>
    <cellStyle name="Calculation 2 3 3 4 14" xfId="28938"/>
    <cellStyle name="Calculation 2 3 3 4 15" xfId="29977"/>
    <cellStyle name="Calculation 2 3 3 4 16" xfId="30970"/>
    <cellStyle name="Calculation 2 3 3 4 17" xfId="31979"/>
    <cellStyle name="Calculation 2 3 3 4 18" xfId="32982"/>
    <cellStyle name="Calculation 2 3 3 4 19" xfId="33981"/>
    <cellStyle name="Calculation 2 3 3 4 2" xfId="717"/>
    <cellStyle name="Calculation 2 3 3 4 2 10" xfId="24026"/>
    <cellStyle name="Calculation 2 3 3 4 2 11" xfId="25025"/>
    <cellStyle name="Calculation 2 3 3 4 2 12" xfId="27970"/>
    <cellStyle name="Calculation 2 3 3 4 2 13" xfId="28939"/>
    <cellStyle name="Calculation 2 3 3 4 2 14" xfId="29978"/>
    <cellStyle name="Calculation 2 3 3 4 2 15" xfId="30971"/>
    <cellStyle name="Calculation 2 3 3 4 2 16" xfId="31980"/>
    <cellStyle name="Calculation 2 3 3 4 2 17" xfId="32983"/>
    <cellStyle name="Calculation 2 3 3 4 2 18" xfId="33982"/>
    <cellStyle name="Calculation 2 3 3 4 2 19" xfId="35603"/>
    <cellStyle name="Calculation 2 3 3 4 2 2" xfId="16006"/>
    <cellStyle name="Calculation 2 3 3 4 2 20" xfId="36542"/>
    <cellStyle name="Calculation 2 3 3 4 2 3" xfId="16984"/>
    <cellStyle name="Calculation 2 3 3 4 2 4" xfId="18012"/>
    <cellStyle name="Calculation 2 3 3 4 2 5" xfId="19044"/>
    <cellStyle name="Calculation 2 3 3 4 2 6" xfId="20066"/>
    <cellStyle name="Calculation 2 3 3 4 2 7" xfId="21075"/>
    <cellStyle name="Calculation 2 3 3 4 2 8" xfId="22049"/>
    <cellStyle name="Calculation 2 3 3 4 2 9" xfId="23054"/>
    <cellStyle name="Calculation 2 3 3 4 20" xfId="35602"/>
    <cellStyle name="Calculation 2 3 3 4 21" xfId="36541"/>
    <cellStyle name="Calculation 2 3 3 4 3" xfId="16005"/>
    <cellStyle name="Calculation 2 3 3 4 4" xfId="16983"/>
    <cellStyle name="Calculation 2 3 3 4 5" xfId="18011"/>
    <cellStyle name="Calculation 2 3 3 4 6" xfId="19043"/>
    <cellStyle name="Calculation 2 3 3 4 7" xfId="20065"/>
    <cellStyle name="Calculation 2 3 3 4 8" xfId="21074"/>
    <cellStyle name="Calculation 2 3 3 4 9" xfId="22048"/>
    <cellStyle name="Calculation 2 3 3 5" xfId="718"/>
    <cellStyle name="Calculation 2 3 3 5 10" xfId="24027"/>
    <cellStyle name="Calculation 2 3 3 5 11" xfId="25026"/>
    <cellStyle name="Calculation 2 3 3 5 12" xfId="27971"/>
    <cellStyle name="Calculation 2 3 3 5 13" xfId="28940"/>
    <cellStyle name="Calculation 2 3 3 5 14" xfId="29979"/>
    <cellStyle name="Calculation 2 3 3 5 15" xfId="30972"/>
    <cellStyle name="Calculation 2 3 3 5 16" xfId="31981"/>
    <cellStyle name="Calculation 2 3 3 5 17" xfId="32984"/>
    <cellStyle name="Calculation 2 3 3 5 18" xfId="33983"/>
    <cellStyle name="Calculation 2 3 3 5 19" xfId="35604"/>
    <cellStyle name="Calculation 2 3 3 5 2" xfId="16007"/>
    <cellStyle name="Calculation 2 3 3 5 20" xfId="36543"/>
    <cellStyle name="Calculation 2 3 3 5 3" xfId="16985"/>
    <cellStyle name="Calculation 2 3 3 5 4" xfId="18013"/>
    <cellStyle name="Calculation 2 3 3 5 5" xfId="19045"/>
    <cellStyle name="Calculation 2 3 3 5 6" xfId="20067"/>
    <cellStyle name="Calculation 2 3 3 5 7" xfId="21076"/>
    <cellStyle name="Calculation 2 3 3 5 8" xfId="22050"/>
    <cellStyle name="Calculation 2 3 3 5 9" xfId="23055"/>
    <cellStyle name="Calculation 2 3 3 6" xfId="13945"/>
    <cellStyle name="Calculation 2 3 3 7" xfId="14821"/>
    <cellStyle name="Calculation 2 3 3 8" xfId="13489"/>
    <cellStyle name="Calculation 2 3 3 9" xfId="15650"/>
    <cellStyle name="Calculation 2 3 4" xfId="719"/>
    <cellStyle name="Calculation 2 3 4 10" xfId="23056"/>
    <cellStyle name="Calculation 2 3 4 11" xfId="24028"/>
    <cellStyle name="Calculation 2 3 4 12" xfId="25027"/>
    <cellStyle name="Calculation 2 3 4 13" xfId="27972"/>
    <cellStyle name="Calculation 2 3 4 14" xfId="28941"/>
    <cellStyle name="Calculation 2 3 4 15" xfId="29980"/>
    <cellStyle name="Calculation 2 3 4 16" xfId="30973"/>
    <cellStyle name="Calculation 2 3 4 17" xfId="31982"/>
    <cellStyle name="Calculation 2 3 4 18" xfId="32985"/>
    <cellStyle name="Calculation 2 3 4 19" xfId="33984"/>
    <cellStyle name="Calculation 2 3 4 2" xfId="720"/>
    <cellStyle name="Calculation 2 3 4 2 10" xfId="24029"/>
    <cellStyle name="Calculation 2 3 4 2 11" xfId="25028"/>
    <cellStyle name="Calculation 2 3 4 2 12" xfId="27973"/>
    <cellStyle name="Calculation 2 3 4 2 13" xfId="28942"/>
    <cellStyle name="Calculation 2 3 4 2 14" xfId="29981"/>
    <cellStyle name="Calculation 2 3 4 2 15" xfId="30974"/>
    <cellStyle name="Calculation 2 3 4 2 16" xfId="31983"/>
    <cellStyle name="Calculation 2 3 4 2 17" xfId="32986"/>
    <cellStyle name="Calculation 2 3 4 2 18" xfId="33985"/>
    <cellStyle name="Calculation 2 3 4 2 19" xfId="35606"/>
    <cellStyle name="Calculation 2 3 4 2 2" xfId="16009"/>
    <cellStyle name="Calculation 2 3 4 2 20" xfId="36545"/>
    <cellStyle name="Calculation 2 3 4 2 3" xfId="16987"/>
    <cellStyle name="Calculation 2 3 4 2 4" xfId="18015"/>
    <cellStyle name="Calculation 2 3 4 2 5" xfId="19047"/>
    <cellStyle name="Calculation 2 3 4 2 6" xfId="20069"/>
    <cellStyle name="Calculation 2 3 4 2 7" xfId="21078"/>
    <cellStyle name="Calculation 2 3 4 2 8" xfId="22052"/>
    <cellStyle name="Calculation 2 3 4 2 9" xfId="23057"/>
    <cellStyle name="Calculation 2 3 4 20" xfId="35605"/>
    <cellStyle name="Calculation 2 3 4 21" xfId="36544"/>
    <cellStyle name="Calculation 2 3 4 3" xfId="16008"/>
    <cellStyle name="Calculation 2 3 4 4" xfId="16986"/>
    <cellStyle name="Calculation 2 3 4 5" xfId="18014"/>
    <cellStyle name="Calculation 2 3 4 6" xfId="19046"/>
    <cellStyle name="Calculation 2 3 4 7" xfId="20068"/>
    <cellStyle name="Calculation 2 3 4 8" xfId="21077"/>
    <cellStyle name="Calculation 2 3 4 9" xfId="22051"/>
    <cellStyle name="Calculation 2 3 5" xfId="721"/>
    <cellStyle name="Calculation 2 3 5 10" xfId="23058"/>
    <cellStyle name="Calculation 2 3 5 11" xfId="24030"/>
    <cellStyle name="Calculation 2 3 5 12" xfId="25029"/>
    <cellStyle name="Calculation 2 3 5 13" xfId="27974"/>
    <cellStyle name="Calculation 2 3 5 14" xfId="28943"/>
    <cellStyle name="Calculation 2 3 5 15" xfId="29982"/>
    <cellStyle name="Calculation 2 3 5 16" xfId="30975"/>
    <cellStyle name="Calculation 2 3 5 17" xfId="31984"/>
    <cellStyle name="Calculation 2 3 5 18" xfId="32987"/>
    <cellStyle name="Calculation 2 3 5 19" xfId="33986"/>
    <cellStyle name="Calculation 2 3 5 2" xfId="722"/>
    <cellStyle name="Calculation 2 3 5 2 10" xfId="24031"/>
    <cellStyle name="Calculation 2 3 5 2 11" xfId="25030"/>
    <cellStyle name="Calculation 2 3 5 2 12" xfId="27975"/>
    <cellStyle name="Calculation 2 3 5 2 13" xfId="28944"/>
    <cellStyle name="Calculation 2 3 5 2 14" xfId="29983"/>
    <cellStyle name="Calculation 2 3 5 2 15" xfId="30976"/>
    <cellStyle name="Calculation 2 3 5 2 16" xfId="31985"/>
    <cellStyle name="Calculation 2 3 5 2 17" xfId="32988"/>
    <cellStyle name="Calculation 2 3 5 2 18" xfId="33987"/>
    <cellStyle name="Calculation 2 3 5 2 19" xfId="35608"/>
    <cellStyle name="Calculation 2 3 5 2 2" xfId="16011"/>
    <cellStyle name="Calculation 2 3 5 2 20" xfId="36547"/>
    <cellStyle name="Calculation 2 3 5 2 3" xfId="16989"/>
    <cellStyle name="Calculation 2 3 5 2 4" xfId="18017"/>
    <cellStyle name="Calculation 2 3 5 2 5" xfId="19049"/>
    <cellStyle name="Calculation 2 3 5 2 6" xfId="20071"/>
    <cellStyle name="Calculation 2 3 5 2 7" xfId="21080"/>
    <cellStyle name="Calculation 2 3 5 2 8" xfId="22054"/>
    <cellStyle name="Calculation 2 3 5 2 9" xfId="23059"/>
    <cellStyle name="Calculation 2 3 5 20" xfId="35607"/>
    <cellStyle name="Calculation 2 3 5 21" xfId="36546"/>
    <cellStyle name="Calculation 2 3 5 3" xfId="16010"/>
    <cellStyle name="Calculation 2 3 5 4" xfId="16988"/>
    <cellStyle name="Calculation 2 3 5 5" xfId="18016"/>
    <cellStyle name="Calculation 2 3 5 6" xfId="19048"/>
    <cellStyle name="Calculation 2 3 5 7" xfId="20070"/>
    <cellStyle name="Calculation 2 3 5 8" xfId="21079"/>
    <cellStyle name="Calculation 2 3 5 9" xfId="22053"/>
    <cellStyle name="Calculation 2 3 6" xfId="723"/>
    <cellStyle name="Calculation 2 3 6 10" xfId="23060"/>
    <cellStyle name="Calculation 2 3 6 11" xfId="24032"/>
    <cellStyle name="Calculation 2 3 6 12" xfId="25031"/>
    <cellStyle name="Calculation 2 3 6 13" xfId="27976"/>
    <cellStyle name="Calculation 2 3 6 14" xfId="28945"/>
    <cellStyle name="Calculation 2 3 6 15" xfId="29984"/>
    <cellStyle name="Calculation 2 3 6 16" xfId="30977"/>
    <cellStyle name="Calculation 2 3 6 17" xfId="31986"/>
    <cellStyle name="Calculation 2 3 6 18" xfId="32989"/>
    <cellStyle name="Calculation 2 3 6 19" xfId="33988"/>
    <cellStyle name="Calculation 2 3 6 2" xfId="724"/>
    <cellStyle name="Calculation 2 3 6 2 10" xfId="24033"/>
    <cellStyle name="Calculation 2 3 6 2 11" xfId="25032"/>
    <cellStyle name="Calculation 2 3 6 2 12" xfId="27977"/>
    <cellStyle name="Calculation 2 3 6 2 13" xfId="28946"/>
    <cellStyle name="Calculation 2 3 6 2 14" xfId="29985"/>
    <cellStyle name="Calculation 2 3 6 2 15" xfId="30978"/>
    <cellStyle name="Calculation 2 3 6 2 16" xfId="31987"/>
    <cellStyle name="Calculation 2 3 6 2 17" xfId="32990"/>
    <cellStyle name="Calculation 2 3 6 2 18" xfId="33989"/>
    <cellStyle name="Calculation 2 3 6 2 19" xfId="35610"/>
    <cellStyle name="Calculation 2 3 6 2 2" xfId="16013"/>
    <cellStyle name="Calculation 2 3 6 2 20" xfId="36549"/>
    <cellStyle name="Calculation 2 3 6 2 3" xfId="16991"/>
    <cellStyle name="Calculation 2 3 6 2 4" xfId="18019"/>
    <cellStyle name="Calculation 2 3 6 2 5" xfId="19051"/>
    <cellStyle name="Calculation 2 3 6 2 6" xfId="20073"/>
    <cellStyle name="Calculation 2 3 6 2 7" xfId="21082"/>
    <cellStyle name="Calculation 2 3 6 2 8" xfId="22056"/>
    <cellStyle name="Calculation 2 3 6 2 9" xfId="23061"/>
    <cellStyle name="Calculation 2 3 6 20" xfId="35609"/>
    <cellStyle name="Calculation 2 3 6 21" xfId="36548"/>
    <cellStyle name="Calculation 2 3 6 3" xfId="16012"/>
    <cellStyle name="Calculation 2 3 6 4" xfId="16990"/>
    <cellStyle name="Calculation 2 3 6 5" xfId="18018"/>
    <cellStyle name="Calculation 2 3 6 6" xfId="19050"/>
    <cellStyle name="Calculation 2 3 6 7" xfId="20072"/>
    <cellStyle name="Calculation 2 3 6 8" xfId="21081"/>
    <cellStyle name="Calculation 2 3 6 9" xfId="22055"/>
    <cellStyle name="Calculation 2 3 7" xfId="725"/>
    <cellStyle name="Calculation 2 3 7 10" xfId="24034"/>
    <cellStyle name="Calculation 2 3 7 11" xfId="25033"/>
    <cellStyle name="Calculation 2 3 7 12" xfId="27978"/>
    <cellStyle name="Calculation 2 3 7 13" xfId="28947"/>
    <cellStyle name="Calculation 2 3 7 14" xfId="29986"/>
    <cellStyle name="Calculation 2 3 7 15" xfId="30979"/>
    <cellStyle name="Calculation 2 3 7 16" xfId="31988"/>
    <cellStyle name="Calculation 2 3 7 17" xfId="32991"/>
    <cellStyle name="Calculation 2 3 7 18" xfId="33990"/>
    <cellStyle name="Calculation 2 3 7 19" xfId="35611"/>
    <cellStyle name="Calculation 2 3 7 2" xfId="16014"/>
    <cellStyle name="Calculation 2 3 7 20" xfId="36550"/>
    <cellStyle name="Calculation 2 3 7 3" xfId="16992"/>
    <cellStyle name="Calculation 2 3 7 4" xfId="18020"/>
    <cellStyle name="Calculation 2 3 7 5" xfId="19052"/>
    <cellStyle name="Calculation 2 3 7 6" xfId="20074"/>
    <cellStyle name="Calculation 2 3 7 7" xfId="21083"/>
    <cellStyle name="Calculation 2 3 7 8" xfId="22057"/>
    <cellStyle name="Calculation 2 3 7 9" xfId="23062"/>
    <cellStyle name="Calculation 2 3 8" xfId="13519"/>
    <cellStyle name="Calculation 2 3 9" xfId="14374"/>
    <cellStyle name="Calculation 2 4" xfId="726"/>
    <cellStyle name="Calculation 2 4 10" xfId="15814"/>
    <cellStyle name="Calculation 2 4 11" xfId="20932"/>
    <cellStyle name="Calculation 2 4 12" xfId="15006"/>
    <cellStyle name="Calculation 2 4 13" xfId="23905"/>
    <cellStyle name="Calculation 2 4 14" xfId="25962"/>
    <cellStyle name="Calculation 2 4 15" xfId="27812"/>
    <cellStyle name="Calculation 2 4 16" xfId="25915"/>
    <cellStyle name="Calculation 2 4 17" xfId="27210"/>
    <cellStyle name="Calculation 2 4 18" xfId="26672"/>
    <cellStyle name="Calculation 2 4 19" xfId="26695"/>
    <cellStyle name="Calculation 2 4 2" xfId="727"/>
    <cellStyle name="Calculation 2 4 2 10" xfId="15167"/>
    <cellStyle name="Calculation 2 4 2 11" xfId="13464"/>
    <cellStyle name="Calculation 2 4 2 12" xfId="13831"/>
    <cellStyle name="Calculation 2 4 2 13" xfId="13793"/>
    <cellStyle name="Calculation 2 4 2 14" xfId="21858"/>
    <cellStyle name="Calculation 2 4 2 15" xfId="14747"/>
    <cellStyle name="Calculation 2 4 2 16" xfId="26089"/>
    <cellStyle name="Calculation 2 4 2 17" xfId="27777"/>
    <cellStyle name="Calculation 2 4 2 18" xfId="28753"/>
    <cellStyle name="Calculation 2 4 2 19" xfId="29771"/>
    <cellStyle name="Calculation 2 4 2 2" xfId="728"/>
    <cellStyle name="Calculation 2 4 2 2 10" xfId="14143"/>
    <cellStyle name="Calculation 2 4 2 2 11" xfId="13800"/>
    <cellStyle name="Calculation 2 4 2 2 12" xfId="26310"/>
    <cellStyle name="Calculation 2 4 2 2 13" xfId="27730"/>
    <cellStyle name="Calculation 2 4 2 2 14" xfId="27516"/>
    <cellStyle name="Calculation 2 4 2 2 15" xfId="26195"/>
    <cellStyle name="Calculation 2 4 2 2 16" xfId="26625"/>
    <cellStyle name="Calculation 2 4 2 2 17" xfId="27610"/>
    <cellStyle name="Calculation 2 4 2 2 18" xfId="35006"/>
    <cellStyle name="Calculation 2 4 2 2 19" xfId="35327"/>
    <cellStyle name="Calculation 2 4 2 2 2" xfId="729"/>
    <cellStyle name="Calculation 2 4 2 2 2 10" xfId="23063"/>
    <cellStyle name="Calculation 2 4 2 2 2 11" xfId="24035"/>
    <cellStyle name="Calculation 2 4 2 2 2 12" xfId="25034"/>
    <cellStyle name="Calculation 2 4 2 2 2 13" xfId="27979"/>
    <cellStyle name="Calculation 2 4 2 2 2 14" xfId="28948"/>
    <cellStyle name="Calculation 2 4 2 2 2 15" xfId="29987"/>
    <cellStyle name="Calculation 2 4 2 2 2 16" xfId="30980"/>
    <cellStyle name="Calculation 2 4 2 2 2 17" xfId="31989"/>
    <cellStyle name="Calculation 2 4 2 2 2 18" xfId="32992"/>
    <cellStyle name="Calculation 2 4 2 2 2 19" xfId="33991"/>
    <cellStyle name="Calculation 2 4 2 2 2 2" xfId="730"/>
    <cellStyle name="Calculation 2 4 2 2 2 2 10" xfId="24036"/>
    <cellStyle name="Calculation 2 4 2 2 2 2 11" xfId="25035"/>
    <cellStyle name="Calculation 2 4 2 2 2 2 12" xfId="27980"/>
    <cellStyle name="Calculation 2 4 2 2 2 2 13" xfId="28949"/>
    <cellStyle name="Calculation 2 4 2 2 2 2 14" xfId="29988"/>
    <cellStyle name="Calculation 2 4 2 2 2 2 15" xfId="30981"/>
    <cellStyle name="Calculation 2 4 2 2 2 2 16" xfId="31990"/>
    <cellStyle name="Calculation 2 4 2 2 2 2 17" xfId="32993"/>
    <cellStyle name="Calculation 2 4 2 2 2 2 18" xfId="33992"/>
    <cellStyle name="Calculation 2 4 2 2 2 2 19" xfId="35613"/>
    <cellStyle name="Calculation 2 4 2 2 2 2 2" xfId="16016"/>
    <cellStyle name="Calculation 2 4 2 2 2 2 20" xfId="36552"/>
    <cellStyle name="Calculation 2 4 2 2 2 2 3" xfId="16994"/>
    <cellStyle name="Calculation 2 4 2 2 2 2 4" xfId="18022"/>
    <cellStyle name="Calculation 2 4 2 2 2 2 5" xfId="19054"/>
    <cellStyle name="Calculation 2 4 2 2 2 2 6" xfId="20076"/>
    <cellStyle name="Calculation 2 4 2 2 2 2 7" xfId="21085"/>
    <cellStyle name="Calculation 2 4 2 2 2 2 8" xfId="22059"/>
    <cellStyle name="Calculation 2 4 2 2 2 2 9" xfId="23064"/>
    <cellStyle name="Calculation 2 4 2 2 2 20" xfId="35612"/>
    <cellStyle name="Calculation 2 4 2 2 2 21" xfId="36551"/>
    <cellStyle name="Calculation 2 4 2 2 2 3" xfId="16015"/>
    <cellStyle name="Calculation 2 4 2 2 2 4" xfId="16993"/>
    <cellStyle name="Calculation 2 4 2 2 2 5" xfId="18021"/>
    <cellStyle name="Calculation 2 4 2 2 2 6" xfId="19053"/>
    <cellStyle name="Calculation 2 4 2 2 2 7" xfId="20075"/>
    <cellStyle name="Calculation 2 4 2 2 2 8" xfId="21084"/>
    <cellStyle name="Calculation 2 4 2 2 2 9" xfId="22058"/>
    <cellStyle name="Calculation 2 4 2 2 3" xfId="731"/>
    <cellStyle name="Calculation 2 4 2 2 3 10" xfId="23065"/>
    <cellStyle name="Calculation 2 4 2 2 3 11" xfId="24037"/>
    <cellStyle name="Calculation 2 4 2 2 3 12" xfId="25036"/>
    <cellStyle name="Calculation 2 4 2 2 3 13" xfId="27981"/>
    <cellStyle name="Calculation 2 4 2 2 3 14" xfId="28950"/>
    <cellStyle name="Calculation 2 4 2 2 3 15" xfId="29989"/>
    <cellStyle name="Calculation 2 4 2 2 3 16" xfId="30982"/>
    <cellStyle name="Calculation 2 4 2 2 3 17" xfId="31991"/>
    <cellStyle name="Calculation 2 4 2 2 3 18" xfId="32994"/>
    <cellStyle name="Calculation 2 4 2 2 3 19" xfId="33993"/>
    <cellStyle name="Calculation 2 4 2 2 3 2" xfId="732"/>
    <cellStyle name="Calculation 2 4 2 2 3 2 10" xfId="24038"/>
    <cellStyle name="Calculation 2 4 2 2 3 2 11" xfId="25037"/>
    <cellStyle name="Calculation 2 4 2 2 3 2 12" xfId="27982"/>
    <cellStyle name="Calculation 2 4 2 2 3 2 13" xfId="28951"/>
    <cellStyle name="Calculation 2 4 2 2 3 2 14" xfId="29990"/>
    <cellStyle name="Calculation 2 4 2 2 3 2 15" xfId="30983"/>
    <cellStyle name="Calculation 2 4 2 2 3 2 16" xfId="31992"/>
    <cellStyle name="Calculation 2 4 2 2 3 2 17" xfId="32995"/>
    <cellStyle name="Calculation 2 4 2 2 3 2 18" xfId="33994"/>
    <cellStyle name="Calculation 2 4 2 2 3 2 19" xfId="35615"/>
    <cellStyle name="Calculation 2 4 2 2 3 2 2" xfId="16018"/>
    <cellStyle name="Calculation 2 4 2 2 3 2 20" xfId="36554"/>
    <cellStyle name="Calculation 2 4 2 2 3 2 3" xfId="16996"/>
    <cellStyle name="Calculation 2 4 2 2 3 2 4" xfId="18024"/>
    <cellStyle name="Calculation 2 4 2 2 3 2 5" xfId="19056"/>
    <cellStyle name="Calculation 2 4 2 2 3 2 6" xfId="20078"/>
    <cellStyle name="Calculation 2 4 2 2 3 2 7" xfId="21087"/>
    <cellStyle name="Calculation 2 4 2 2 3 2 8" xfId="22061"/>
    <cellStyle name="Calculation 2 4 2 2 3 2 9" xfId="23066"/>
    <cellStyle name="Calculation 2 4 2 2 3 20" xfId="35614"/>
    <cellStyle name="Calculation 2 4 2 2 3 21" xfId="36553"/>
    <cellStyle name="Calculation 2 4 2 2 3 3" xfId="16017"/>
    <cellStyle name="Calculation 2 4 2 2 3 4" xfId="16995"/>
    <cellStyle name="Calculation 2 4 2 2 3 5" xfId="18023"/>
    <cellStyle name="Calculation 2 4 2 2 3 6" xfId="19055"/>
    <cellStyle name="Calculation 2 4 2 2 3 7" xfId="20077"/>
    <cellStyle name="Calculation 2 4 2 2 3 8" xfId="21086"/>
    <cellStyle name="Calculation 2 4 2 2 3 9" xfId="22060"/>
    <cellStyle name="Calculation 2 4 2 2 4" xfId="733"/>
    <cellStyle name="Calculation 2 4 2 2 4 10" xfId="23067"/>
    <cellStyle name="Calculation 2 4 2 2 4 11" xfId="24039"/>
    <cellStyle name="Calculation 2 4 2 2 4 12" xfId="25038"/>
    <cellStyle name="Calculation 2 4 2 2 4 13" xfId="27983"/>
    <cellStyle name="Calculation 2 4 2 2 4 14" xfId="28952"/>
    <cellStyle name="Calculation 2 4 2 2 4 15" xfId="29991"/>
    <cellStyle name="Calculation 2 4 2 2 4 16" xfId="30984"/>
    <cellStyle name="Calculation 2 4 2 2 4 17" xfId="31993"/>
    <cellStyle name="Calculation 2 4 2 2 4 18" xfId="32996"/>
    <cellStyle name="Calculation 2 4 2 2 4 19" xfId="33995"/>
    <cellStyle name="Calculation 2 4 2 2 4 2" xfId="734"/>
    <cellStyle name="Calculation 2 4 2 2 4 2 10" xfId="24040"/>
    <cellStyle name="Calculation 2 4 2 2 4 2 11" xfId="25039"/>
    <cellStyle name="Calculation 2 4 2 2 4 2 12" xfId="27984"/>
    <cellStyle name="Calculation 2 4 2 2 4 2 13" xfId="28953"/>
    <cellStyle name="Calculation 2 4 2 2 4 2 14" xfId="29992"/>
    <cellStyle name="Calculation 2 4 2 2 4 2 15" xfId="30985"/>
    <cellStyle name="Calculation 2 4 2 2 4 2 16" xfId="31994"/>
    <cellStyle name="Calculation 2 4 2 2 4 2 17" xfId="32997"/>
    <cellStyle name="Calculation 2 4 2 2 4 2 18" xfId="33996"/>
    <cellStyle name="Calculation 2 4 2 2 4 2 19" xfId="35617"/>
    <cellStyle name="Calculation 2 4 2 2 4 2 2" xfId="16020"/>
    <cellStyle name="Calculation 2 4 2 2 4 2 20" xfId="36556"/>
    <cellStyle name="Calculation 2 4 2 2 4 2 3" xfId="16998"/>
    <cellStyle name="Calculation 2 4 2 2 4 2 4" xfId="18026"/>
    <cellStyle name="Calculation 2 4 2 2 4 2 5" xfId="19058"/>
    <cellStyle name="Calculation 2 4 2 2 4 2 6" xfId="20080"/>
    <cellStyle name="Calculation 2 4 2 2 4 2 7" xfId="21089"/>
    <cellStyle name="Calculation 2 4 2 2 4 2 8" xfId="22063"/>
    <cellStyle name="Calculation 2 4 2 2 4 2 9" xfId="23068"/>
    <cellStyle name="Calculation 2 4 2 2 4 20" xfId="35616"/>
    <cellStyle name="Calculation 2 4 2 2 4 21" xfId="36555"/>
    <cellStyle name="Calculation 2 4 2 2 4 3" xfId="16019"/>
    <cellStyle name="Calculation 2 4 2 2 4 4" xfId="16997"/>
    <cellStyle name="Calculation 2 4 2 2 4 5" xfId="18025"/>
    <cellStyle name="Calculation 2 4 2 2 4 6" xfId="19057"/>
    <cellStyle name="Calculation 2 4 2 2 4 7" xfId="20079"/>
    <cellStyle name="Calculation 2 4 2 2 4 8" xfId="21088"/>
    <cellStyle name="Calculation 2 4 2 2 4 9" xfId="22062"/>
    <cellStyle name="Calculation 2 4 2 2 5" xfId="735"/>
    <cellStyle name="Calculation 2 4 2 2 5 10" xfId="24041"/>
    <cellStyle name="Calculation 2 4 2 2 5 11" xfId="25040"/>
    <cellStyle name="Calculation 2 4 2 2 5 12" xfId="27985"/>
    <cellStyle name="Calculation 2 4 2 2 5 13" xfId="28954"/>
    <cellStyle name="Calculation 2 4 2 2 5 14" xfId="29993"/>
    <cellStyle name="Calculation 2 4 2 2 5 15" xfId="30986"/>
    <cellStyle name="Calculation 2 4 2 2 5 16" xfId="31995"/>
    <cellStyle name="Calculation 2 4 2 2 5 17" xfId="32998"/>
    <cellStyle name="Calculation 2 4 2 2 5 18" xfId="33997"/>
    <cellStyle name="Calculation 2 4 2 2 5 19" xfId="35618"/>
    <cellStyle name="Calculation 2 4 2 2 5 2" xfId="16021"/>
    <cellStyle name="Calculation 2 4 2 2 5 20" xfId="36557"/>
    <cellStyle name="Calculation 2 4 2 2 5 3" xfId="16999"/>
    <cellStyle name="Calculation 2 4 2 2 5 4" xfId="18027"/>
    <cellStyle name="Calculation 2 4 2 2 5 5" xfId="19059"/>
    <cellStyle name="Calculation 2 4 2 2 5 6" xfId="20081"/>
    <cellStyle name="Calculation 2 4 2 2 5 7" xfId="21090"/>
    <cellStyle name="Calculation 2 4 2 2 5 8" xfId="22064"/>
    <cellStyle name="Calculation 2 4 2 2 5 9" xfId="23069"/>
    <cellStyle name="Calculation 2 4 2 2 6" xfId="14032"/>
    <cellStyle name="Calculation 2 4 2 2 7" xfId="15218"/>
    <cellStyle name="Calculation 2 4 2 2 8" xfId="13465"/>
    <cellStyle name="Calculation 2 4 2 2 9" xfId="15515"/>
    <cellStyle name="Calculation 2 4 2 20" xfId="27409"/>
    <cellStyle name="Calculation 2 4 2 21" xfId="29815"/>
    <cellStyle name="Calculation 2 4 2 22" xfId="34949"/>
    <cellStyle name="Calculation 2 4 2 23" xfId="34882"/>
    <cellStyle name="Calculation 2 4 2 3" xfId="736"/>
    <cellStyle name="Calculation 2 4 2 3 10" xfId="14366"/>
    <cellStyle name="Calculation 2 4 2 3 11" xfId="14774"/>
    <cellStyle name="Calculation 2 4 2 3 12" xfId="26390"/>
    <cellStyle name="Calculation 2 4 2 3 13" xfId="27121"/>
    <cellStyle name="Calculation 2 4 2 3 14" xfId="26497"/>
    <cellStyle name="Calculation 2 4 2 3 15" xfId="26580"/>
    <cellStyle name="Calculation 2 4 2 3 16" xfId="26630"/>
    <cellStyle name="Calculation 2 4 2 3 17" xfId="26981"/>
    <cellStyle name="Calculation 2 4 2 3 18" xfId="35081"/>
    <cellStyle name="Calculation 2 4 2 3 19" xfId="35276"/>
    <cellStyle name="Calculation 2 4 2 3 2" xfId="737"/>
    <cellStyle name="Calculation 2 4 2 3 2 10" xfId="23070"/>
    <cellStyle name="Calculation 2 4 2 3 2 11" xfId="24042"/>
    <cellStyle name="Calculation 2 4 2 3 2 12" xfId="25041"/>
    <cellStyle name="Calculation 2 4 2 3 2 13" xfId="27986"/>
    <cellStyle name="Calculation 2 4 2 3 2 14" xfId="28955"/>
    <cellStyle name="Calculation 2 4 2 3 2 15" xfId="29994"/>
    <cellStyle name="Calculation 2 4 2 3 2 16" xfId="30987"/>
    <cellStyle name="Calculation 2 4 2 3 2 17" xfId="31996"/>
    <cellStyle name="Calculation 2 4 2 3 2 18" xfId="32999"/>
    <cellStyle name="Calculation 2 4 2 3 2 19" xfId="33998"/>
    <cellStyle name="Calculation 2 4 2 3 2 2" xfId="738"/>
    <cellStyle name="Calculation 2 4 2 3 2 2 10" xfId="24043"/>
    <cellStyle name="Calculation 2 4 2 3 2 2 11" xfId="25042"/>
    <cellStyle name="Calculation 2 4 2 3 2 2 12" xfId="27987"/>
    <cellStyle name="Calculation 2 4 2 3 2 2 13" xfId="28956"/>
    <cellStyle name="Calculation 2 4 2 3 2 2 14" xfId="29995"/>
    <cellStyle name="Calculation 2 4 2 3 2 2 15" xfId="30988"/>
    <cellStyle name="Calculation 2 4 2 3 2 2 16" xfId="31997"/>
    <cellStyle name="Calculation 2 4 2 3 2 2 17" xfId="33000"/>
    <cellStyle name="Calculation 2 4 2 3 2 2 18" xfId="33999"/>
    <cellStyle name="Calculation 2 4 2 3 2 2 19" xfId="35620"/>
    <cellStyle name="Calculation 2 4 2 3 2 2 2" xfId="16023"/>
    <cellStyle name="Calculation 2 4 2 3 2 2 20" xfId="36559"/>
    <cellStyle name="Calculation 2 4 2 3 2 2 3" xfId="17001"/>
    <cellStyle name="Calculation 2 4 2 3 2 2 4" xfId="18029"/>
    <cellStyle name="Calculation 2 4 2 3 2 2 5" xfId="19061"/>
    <cellStyle name="Calculation 2 4 2 3 2 2 6" xfId="20083"/>
    <cellStyle name="Calculation 2 4 2 3 2 2 7" xfId="21092"/>
    <cellStyle name="Calculation 2 4 2 3 2 2 8" xfId="22066"/>
    <cellStyle name="Calculation 2 4 2 3 2 2 9" xfId="23071"/>
    <cellStyle name="Calculation 2 4 2 3 2 20" xfId="35619"/>
    <cellStyle name="Calculation 2 4 2 3 2 21" xfId="36558"/>
    <cellStyle name="Calculation 2 4 2 3 2 3" xfId="16022"/>
    <cellStyle name="Calculation 2 4 2 3 2 4" xfId="17000"/>
    <cellStyle name="Calculation 2 4 2 3 2 5" xfId="18028"/>
    <cellStyle name="Calculation 2 4 2 3 2 6" xfId="19060"/>
    <cellStyle name="Calculation 2 4 2 3 2 7" xfId="20082"/>
    <cellStyle name="Calculation 2 4 2 3 2 8" xfId="21091"/>
    <cellStyle name="Calculation 2 4 2 3 2 9" xfId="22065"/>
    <cellStyle name="Calculation 2 4 2 3 3" xfId="739"/>
    <cellStyle name="Calculation 2 4 2 3 3 10" xfId="23072"/>
    <cellStyle name="Calculation 2 4 2 3 3 11" xfId="24044"/>
    <cellStyle name="Calculation 2 4 2 3 3 12" xfId="25043"/>
    <cellStyle name="Calculation 2 4 2 3 3 13" xfId="27988"/>
    <cellStyle name="Calculation 2 4 2 3 3 14" xfId="28957"/>
    <cellStyle name="Calculation 2 4 2 3 3 15" xfId="29996"/>
    <cellStyle name="Calculation 2 4 2 3 3 16" xfId="30989"/>
    <cellStyle name="Calculation 2 4 2 3 3 17" xfId="31998"/>
    <cellStyle name="Calculation 2 4 2 3 3 18" xfId="33001"/>
    <cellStyle name="Calculation 2 4 2 3 3 19" xfId="34000"/>
    <cellStyle name="Calculation 2 4 2 3 3 2" xfId="740"/>
    <cellStyle name="Calculation 2 4 2 3 3 2 10" xfId="24045"/>
    <cellStyle name="Calculation 2 4 2 3 3 2 11" xfId="25044"/>
    <cellStyle name="Calculation 2 4 2 3 3 2 12" xfId="27989"/>
    <cellStyle name="Calculation 2 4 2 3 3 2 13" xfId="28958"/>
    <cellStyle name="Calculation 2 4 2 3 3 2 14" xfId="29997"/>
    <cellStyle name="Calculation 2 4 2 3 3 2 15" xfId="30990"/>
    <cellStyle name="Calculation 2 4 2 3 3 2 16" xfId="31999"/>
    <cellStyle name="Calculation 2 4 2 3 3 2 17" xfId="33002"/>
    <cellStyle name="Calculation 2 4 2 3 3 2 18" xfId="34001"/>
    <cellStyle name="Calculation 2 4 2 3 3 2 19" xfId="35622"/>
    <cellStyle name="Calculation 2 4 2 3 3 2 2" xfId="16025"/>
    <cellStyle name="Calculation 2 4 2 3 3 2 20" xfId="36561"/>
    <cellStyle name="Calculation 2 4 2 3 3 2 3" xfId="17003"/>
    <cellStyle name="Calculation 2 4 2 3 3 2 4" xfId="18031"/>
    <cellStyle name="Calculation 2 4 2 3 3 2 5" xfId="19063"/>
    <cellStyle name="Calculation 2 4 2 3 3 2 6" xfId="20085"/>
    <cellStyle name="Calculation 2 4 2 3 3 2 7" xfId="21094"/>
    <cellStyle name="Calculation 2 4 2 3 3 2 8" xfId="22068"/>
    <cellStyle name="Calculation 2 4 2 3 3 2 9" xfId="23073"/>
    <cellStyle name="Calculation 2 4 2 3 3 20" xfId="35621"/>
    <cellStyle name="Calculation 2 4 2 3 3 21" xfId="36560"/>
    <cellStyle name="Calculation 2 4 2 3 3 3" xfId="16024"/>
    <cellStyle name="Calculation 2 4 2 3 3 4" xfId="17002"/>
    <cellStyle name="Calculation 2 4 2 3 3 5" xfId="18030"/>
    <cellStyle name="Calculation 2 4 2 3 3 6" xfId="19062"/>
    <cellStyle name="Calculation 2 4 2 3 3 7" xfId="20084"/>
    <cellStyle name="Calculation 2 4 2 3 3 8" xfId="21093"/>
    <cellStyle name="Calculation 2 4 2 3 3 9" xfId="22067"/>
    <cellStyle name="Calculation 2 4 2 3 4" xfId="741"/>
    <cellStyle name="Calculation 2 4 2 3 4 10" xfId="23074"/>
    <cellStyle name="Calculation 2 4 2 3 4 11" xfId="24046"/>
    <cellStyle name="Calculation 2 4 2 3 4 12" xfId="25045"/>
    <cellStyle name="Calculation 2 4 2 3 4 13" xfId="27990"/>
    <cellStyle name="Calculation 2 4 2 3 4 14" xfId="28959"/>
    <cellStyle name="Calculation 2 4 2 3 4 15" xfId="29998"/>
    <cellStyle name="Calculation 2 4 2 3 4 16" xfId="30991"/>
    <cellStyle name="Calculation 2 4 2 3 4 17" xfId="32000"/>
    <cellStyle name="Calculation 2 4 2 3 4 18" xfId="33003"/>
    <cellStyle name="Calculation 2 4 2 3 4 19" xfId="34002"/>
    <cellStyle name="Calculation 2 4 2 3 4 2" xfId="742"/>
    <cellStyle name="Calculation 2 4 2 3 4 2 10" xfId="24047"/>
    <cellStyle name="Calculation 2 4 2 3 4 2 11" xfId="25046"/>
    <cellStyle name="Calculation 2 4 2 3 4 2 12" xfId="27991"/>
    <cellStyle name="Calculation 2 4 2 3 4 2 13" xfId="28960"/>
    <cellStyle name="Calculation 2 4 2 3 4 2 14" xfId="29999"/>
    <cellStyle name="Calculation 2 4 2 3 4 2 15" xfId="30992"/>
    <cellStyle name="Calculation 2 4 2 3 4 2 16" xfId="32001"/>
    <cellStyle name="Calculation 2 4 2 3 4 2 17" xfId="33004"/>
    <cellStyle name="Calculation 2 4 2 3 4 2 18" xfId="34003"/>
    <cellStyle name="Calculation 2 4 2 3 4 2 19" xfId="35624"/>
    <cellStyle name="Calculation 2 4 2 3 4 2 2" xfId="16027"/>
    <cellStyle name="Calculation 2 4 2 3 4 2 20" xfId="36563"/>
    <cellStyle name="Calculation 2 4 2 3 4 2 3" xfId="17005"/>
    <cellStyle name="Calculation 2 4 2 3 4 2 4" xfId="18033"/>
    <cellStyle name="Calculation 2 4 2 3 4 2 5" xfId="19065"/>
    <cellStyle name="Calculation 2 4 2 3 4 2 6" xfId="20087"/>
    <cellStyle name="Calculation 2 4 2 3 4 2 7" xfId="21096"/>
    <cellStyle name="Calculation 2 4 2 3 4 2 8" xfId="22070"/>
    <cellStyle name="Calculation 2 4 2 3 4 2 9" xfId="23075"/>
    <cellStyle name="Calculation 2 4 2 3 4 20" xfId="35623"/>
    <cellStyle name="Calculation 2 4 2 3 4 21" xfId="36562"/>
    <cellStyle name="Calculation 2 4 2 3 4 3" xfId="16026"/>
    <cellStyle name="Calculation 2 4 2 3 4 4" xfId="17004"/>
    <cellStyle name="Calculation 2 4 2 3 4 5" xfId="18032"/>
    <cellStyle name="Calculation 2 4 2 3 4 6" xfId="19064"/>
    <cellStyle name="Calculation 2 4 2 3 4 7" xfId="20086"/>
    <cellStyle name="Calculation 2 4 2 3 4 8" xfId="21095"/>
    <cellStyle name="Calculation 2 4 2 3 4 9" xfId="22069"/>
    <cellStyle name="Calculation 2 4 2 3 5" xfId="743"/>
    <cellStyle name="Calculation 2 4 2 3 5 10" xfId="24048"/>
    <cellStyle name="Calculation 2 4 2 3 5 11" xfId="25047"/>
    <cellStyle name="Calculation 2 4 2 3 5 12" xfId="27992"/>
    <cellStyle name="Calculation 2 4 2 3 5 13" xfId="28961"/>
    <cellStyle name="Calculation 2 4 2 3 5 14" xfId="30000"/>
    <cellStyle name="Calculation 2 4 2 3 5 15" xfId="30993"/>
    <cellStyle name="Calculation 2 4 2 3 5 16" xfId="32002"/>
    <cellStyle name="Calculation 2 4 2 3 5 17" xfId="33005"/>
    <cellStyle name="Calculation 2 4 2 3 5 18" xfId="34004"/>
    <cellStyle name="Calculation 2 4 2 3 5 19" xfId="35625"/>
    <cellStyle name="Calculation 2 4 2 3 5 2" xfId="16028"/>
    <cellStyle name="Calculation 2 4 2 3 5 20" xfId="36564"/>
    <cellStyle name="Calculation 2 4 2 3 5 3" xfId="17006"/>
    <cellStyle name="Calculation 2 4 2 3 5 4" xfId="18034"/>
    <cellStyle name="Calculation 2 4 2 3 5 5" xfId="19066"/>
    <cellStyle name="Calculation 2 4 2 3 5 6" xfId="20088"/>
    <cellStyle name="Calculation 2 4 2 3 5 7" xfId="21097"/>
    <cellStyle name="Calculation 2 4 2 3 5 8" xfId="22071"/>
    <cellStyle name="Calculation 2 4 2 3 5 9" xfId="23076"/>
    <cellStyle name="Calculation 2 4 2 3 6" xfId="14050"/>
    <cellStyle name="Calculation 2 4 2 3 7" xfId="14469"/>
    <cellStyle name="Calculation 2 4 2 3 8" xfId="14176"/>
    <cellStyle name="Calculation 2 4 2 3 9" xfId="15559"/>
    <cellStyle name="Calculation 2 4 2 4" xfId="744"/>
    <cellStyle name="Calculation 2 4 2 4 10" xfId="13689"/>
    <cellStyle name="Calculation 2 4 2 4 11" xfId="13516"/>
    <cellStyle name="Calculation 2 4 2 4 12" xfId="26408"/>
    <cellStyle name="Calculation 2 4 2 4 13" xfId="27107"/>
    <cellStyle name="Calculation 2 4 2 4 14" xfId="26148"/>
    <cellStyle name="Calculation 2 4 2 4 15" xfId="26549"/>
    <cellStyle name="Calculation 2 4 2 4 16" xfId="27539"/>
    <cellStyle name="Calculation 2 4 2 4 17" xfId="27436"/>
    <cellStyle name="Calculation 2 4 2 4 18" xfId="35098"/>
    <cellStyle name="Calculation 2 4 2 4 19" xfId="35418"/>
    <cellStyle name="Calculation 2 4 2 4 2" xfId="745"/>
    <cellStyle name="Calculation 2 4 2 4 2 10" xfId="23077"/>
    <cellStyle name="Calculation 2 4 2 4 2 11" xfId="24049"/>
    <cellStyle name="Calculation 2 4 2 4 2 12" xfId="25048"/>
    <cellStyle name="Calculation 2 4 2 4 2 13" xfId="27993"/>
    <cellStyle name="Calculation 2 4 2 4 2 14" xfId="28962"/>
    <cellStyle name="Calculation 2 4 2 4 2 15" xfId="30001"/>
    <cellStyle name="Calculation 2 4 2 4 2 16" xfId="30994"/>
    <cellStyle name="Calculation 2 4 2 4 2 17" xfId="32003"/>
    <cellStyle name="Calculation 2 4 2 4 2 18" xfId="33006"/>
    <cellStyle name="Calculation 2 4 2 4 2 19" xfId="34005"/>
    <cellStyle name="Calculation 2 4 2 4 2 2" xfId="746"/>
    <cellStyle name="Calculation 2 4 2 4 2 2 10" xfId="24050"/>
    <cellStyle name="Calculation 2 4 2 4 2 2 11" xfId="25049"/>
    <cellStyle name="Calculation 2 4 2 4 2 2 12" xfId="27994"/>
    <cellStyle name="Calculation 2 4 2 4 2 2 13" xfId="28963"/>
    <cellStyle name="Calculation 2 4 2 4 2 2 14" xfId="30002"/>
    <cellStyle name="Calculation 2 4 2 4 2 2 15" xfId="30995"/>
    <cellStyle name="Calculation 2 4 2 4 2 2 16" xfId="32004"/>
    <cellStyle name="Calculation 2 4 2 4 2 2 17" xfId="33007"/>
    <cellStyle name="Calculation 2 4 2 4 2 2 18" xfId="34006"/>
    <cellStyle name="Calculation 2 4 2 4 2 2 19" xfId="35627"/>
    <cellStyle name="Calculation 2 4 2 4 2 2 2" xfId="16030"/>
    <cellStyle name="Calculation 2 4 2 4 2 2 20" xfId="36566"/>
    <cellStyle name="Calculation 2 4 2 4 2 2 3" xfId="17008"/>
    <cellStyle name="Calculation 2 4 2 4 2 2 4" xfId="18036"/>
    <cellStyle name="Calculation 2 4 2 4 2 2 5" xfId="19068"/>
    <cellStyle name="Calculation 2 4 2 4 2 2 6" xfId="20090"/>
    <cellStyle name="Calculation 2 4 2 4 2 2 7" xfId="21099"/>
    <cellStyle name="Calculation 2 4 2 4 2 2 8" xfId="22073"/>
    <cellStyle name="Calculation 2 4 2 4 2 2 9" xfId="23078"/>
    <cellStyle name="Calculation 2 4 2 4 2 20" xfId="35626"/>
    <cellStyle name="Calculation 2 4 2 4 2 21" xfId="36565"/>
    <cellStyle name="Calculation 2 4 2 4 2 3" xfId="16029"/>
    <cellStyle name="Calculation 2 4 2 4 2 4" xfId="17007"/>
    <cellStyle name="Calculation 2 4 2 4 2 5" xfId="18035"/>
    <cellStyle name="Calculation 2 4 2 4 2 6" xfId="19067"/>
    <cellStyle name="Calculation 2 4 2 4 2 7" xfId="20089"/>
    <cellStyle name="Calculation 2 4 2 4 2 8" xfId="21098"/>
    <cellStyle name="Calculation 2 4 2 4 2 9" xfId="22072"/>
    <cellStyle name="Calculation 2 4 2 4 3" xfId="747"/>
    <cellStyle name="Calculation 2 4 2 4 3 10" xfId="23079"/>
    <cellStyle name="Calculation 2 4 2 4 3 11" xfId="24051"/>
    <cellStyle name="Calculation 2 4 2 4 3 12" xfId="25050"/>
    <cellStyle name="Calculation 2 4 2 4 3 13" xfId="27995"/>
    <cellStyle name="Calculation 2 4 2 4 3 14" xfId="28964"/>
    <cellStyle name="Calculation 2 4 2 4 3 15" xfId="30003"/>
    <cellStyle name="Calculation 2 4 2 4 3 16" xfId="30996"/>
    <cellStyle name="Calculation 2 4 2 4 3 17" xfId="32005"/>
    <cellStyle name="Calculation 2 4 2 4 3 18" xfId="33008"/>
    <cellStyle name="Calculation 2 4 2 4 3 19" xfId="34007"/>
    <cellStyle name="Calculation 2 4 2 4 3 2" xfId="748"/>
    <cellStyle name="Calculation 2 4 2 4 3 2 10" xfId="24052"/>
    <cellStyle name="Calculation 2 4 2 4 3 2 11" xfId="25051"/>
    <cellStyle name="Calculation 2 4 2 4 3 2 12" xfId="27996"/>
    <cellStyle name="Calculation 2 4 2 4 3 2 13" xfId="28965"/>
    <cellStyle name="Calculation 2 4 2 4 3 2 14" xfId="30004"/>
    <cellStyle name="Calculation 2 4 2 4 3 2 15" xfId="30997"/>
    <cellStyle name="Calculation 2 4 2 4 3 2 16" xfId="32006"/>
    <cellStyle name="Calculation 2 4 2 4 3 2 17" xfId="33009"/>
    <cellStyle name="Calculation 2 4 2 4 3 2 18" xfId="34008"/>
    <cellStyle name="Calculation 2 4 2 4 3 2 19" xfId="35629"/>
    <cellStyle name="Calculation 2 4 2 4 3 2 2" xfId="16032"/>
    <cellStyle name="Calculation 2 4 2 4 3 2 20" xfId="36568"/>
    <cellStyle name="Calculation 2 4 2 4 3 2 3" xfId="17010"/>
    <cellStyle name="Calculation 2 4 2 4 3 2 4" xfId="18038"/>
    <cellStyle name="Calculation 2 4 2 4 3 2 5" xfId="19070"/>
    <cellStyle name="Calculation 2 4 2 4 3 2 6" xfId="20092"/>
    <cellStyle name="Calculation 2 4 2 4 3 2 7" xfId="21101"/>
    <cellStyle name="Calculation 2 4 2 4 3 2 8" xfId="22075"/>
    <cellStyle name="Calculation 2 4 2 4 3 2 9" xfId="23080"/>
    <cellStyle name="Calculation 2 4 2 4 3 20" xfId="35628"/>
    <cellStyle name="Calculation 2 4 2 4 3 21" xfId="36567"/>
    <cellStyle name="Calculation 2 4 2 4 3 3" xfId="16031"/>
    <cellStyle name="Calculation 2 4 2 4 3 4" xfId="17009"/>
    <cellStyle name="Calculation 2 4 2 4 3 5" xfId="18037"/>
    <cellStyle name="Calculation 2 4 2 4 3 6" xfId="19069"/>
    <cellStyle name="Calculation 2 4 2 4 3 7" xfId="20091"/>
    <cellStyle name="Calculation 2 4 2 4 3 8" xfId="21100"/>
    <cellStyle name="Calculation 2 4 2 4 3 9" xfId="22074"/>
    <cellStyle name="Calculation 2 4 2 4 4" xfId="749"/>
    <cellStyle name="Calculation 2 4 2 4 4 10" xfId="23081"/>
    <cellStyle name="Calculation 2 4 2 4 4 11" xfId="24053"/>
    <cellStyle name="Calculation 2 4 2 4 4 12" xfId="25052"/>
    <cellStyle name="Calculation 2 4 2 4 4 13" xfId="27997"/>
    <cellStyle name="Calculation 2 4 2 4 4 14" xfId="28966"/>
    <cellStyle name="Calculation 2 4 2 4 4 15" xfId="30005"/>
    <cellStyle name="Calculation 2 4 2 4 4 16" xfId="30998"/>
    <cellStyle name="Calculation 2 4 2 4 4 17" xfId="32007"/>
    <cellStyle name="Calculation 2 4 2 4 4 18" xfId="33010"/>
    <cellStyle name="Calculation 2 4 2 4 4 19" xfId="34009"/>
    <cellStyle name="Calculation 2 4 2 4 4 2" xfId="750"/>
    <cellStyle name="Calculation 2 4 2 4 4 2 10" xfId="24054"/>
    <cellStyle name="Calculation 2 4 2 4 4 2 11" xfId="25053"/>
    <cellStyle name="Calculation 2 4 2 4 4 2 12" xfId="27998"/>
    <cellStyle name="Calculation 2 4 2 4 4 2 13" xfId="28967"/>
    <cellStyle name="Calculation 2 4 2 4 4 2 14" xfId="30006"/>
    <cellStyle name="Calculation 2 4 2 4 4 2 15" xfId="30999"/>
    <cellStyle name="Calculation 2 4 2 4 4 2 16" xfId="32008"/>
    <cellStyle name="Calculation 2 4 2 4 4 2 17" xfId="33011"/>
    <cellStyle name="Calculation 2 4 2 4 4 2 18" xfId="34010"/>
    <cellStyle name="Calculation 2 4 2 4 4 2 19" xfId="35631"/>
    <cellStyle name="Calculation 2 4 2 4 4 2 2" xfId="16034"/>
    <cellStyle name="Calculation 2 4 2 4 4 2 20" xfId="36570"/>
    <cellStyle name="Calculation 2 4 2 4 4 2 3" xfId="17012"/>
    <cellStyle name="Calculation 2 4 2 4 4 2 4" xfId="18040"/>
    <cellStyle name="Calculation 2 4 2 4 4 2 5" xfId="19072"/>
    <cellStyle name="Calculation 2 4 2 4 4 2 6" xfId="20094"/>
    <cellStyle name="Calculation 2 4 2 4 4 2 7" xfId="21103"/>
    <cellStyle name="Calculation 2 4 2 4 4 2 8" xfId="22077"/>
    <cellStyle name="Calculation 2 4 2 4 4 2 9" xfId="23082"/>
    <cellStyle name="Calculation 2 4 2 4 4 20" xfId="35630"/>
    <cellStyle name="Calculation 2 4 2 4 4 21" xfId="36569"/>
    <cellStyle name="Calculation 2 4 2 4 4 3" xfId="16033"/>
    <cellStyle name="Calculation 2 4 2 4 4 4" xfId="17011"/>
    <cellStyle name="Calculation 2 4 2 4 4 5" xfId="18039"/>
    <cellStyle name="Calculation 2 4 2 4 4 6" xfId="19071"/>
    <cellStyle name="Calculation 2 4 2 4 4 7" xfId="20093"/>
    <cellStyle name="Calculation 2 4 2 4 4 8" xfId="21102"/>
    <cellStyle name="Calculation 2 4 2 4 4 9" xfId="22076"/>
    <cellStyle name="Calculation 2 4 2 4 5" xfId="751"/>
    <cellStyle name="Calculation 2 4 2 4 5 10" xfId="24055"/>
    <cellStyle name="Calculation 2 4 2 4 5 11" xfId="25054"/>
    <cellStyle name="Calculation 2 4 2 4 5 12" xfId="27999"/>
    <cellStyle name="Calculation 2 4 2 4 5 13" xfId="28968"/>
    <cellStyle name="Calculation 2 4 2 4 5 14" xfId="30007"/>
    <cellStyle name="Calculation 2 4 2 4 5 15" xfId="31000"/>
    <cellStyle name="Calculation 2 4 2 4 5 16" xfId="32009"/>
    <cellStyle name="Calculation 2 4 2 4 5 17" xfId="33012"/>
    <cellStyle name="Calculation 2 4 2 4 5 18" xfId="34011"/>
    <cellStyle name="Calculation 2 4 2 4 5 19" xfId="35632"/>
    <cellStyle name="Calculation 2 4 2 4 5 2" xfId="16035"/>
    <cellStyle name="Calculation 2 4 2 4 5 20" xfId="36571"/>
    <cellStyle name="Calculation 2 4 2 4 5 3" xfId="17013"/>
    <cellStyle name="Calculation 2 4 2 4 5 4" xfId="18041"/>
    <cellStyle name="Calculation 2 4 2 4 5 5" xfId="19073"/>
    <cellStyle name="Calculation 2 4 2 4 5 6" xfId="20095"/>
    <cellStyle name="Calculation 2 4 2 4 5 7" xfId="21104"/>
    <cellStyle name="Calculation 2 4 2 4 5 8" xfId="22078"/>
    <cellStyle name="Calculation 2 4 2 4 5 9" xfId="23083"/>
    <cellStyle name="Calculation 2 4 2 4 6" xfId="13775"/>
    <cellStyle name="Calculation 2 4 2 4 7" xfId="15492"/>
    <cellStyle name="Calculation 2 4 2 4 8" xfId="15308"/>
    <cellStyle name="Calculation 2 4 2 4 9" xfId="15442"/>
    <cellStyle name="Calculation 2 4 2 5" xfId="752"/>
    <cellStyle name="Calculation 2 4 2 5 10" xfId="15130"/>
    <cellStyle name="Calculation 2 4 2 5 11" xfId="15822"/>
    <cellStyle name="Calculation 2 4 2 5 12" xfId="26457"/>
    <cellStyle name="Calculation 2 4 2 5 13" xfId="27677"/>
    <cellStyle name="Calculation 2 4 2 5 14" xfId="26341"/>
    <cellStyle name="Calculation 2 4 2 5 15" xfId="25996"/>
    <cellStyle name="Calculation 2 4 2 5 16" xfId="26952"/>
    <cellStyle name="Calculation 2 4 2 5 17" xfId="27279"/>
    <cellStyle name="Calculation 2 4 2 5 18" xfId="35140"/>
    <cellStyle name="Calculation 2 4 2 5 19" xfId="35401"/>
    <cellStyle name="Calculation 2 4 2 5 2" xfId="753"/>
    <cellStyle name="Calculation 2 4 2 5 2 10" xfId="23084"/>
    <cellStyle name="Calculation 2 4 2 5 2 11" xfId="24056"/>
    <cellStyle name="Calculation 2 4 2 5 2 12" xfId="25055"/>
    <cellStyle name="Calculation 2 4 2 5 2 13" xfId="28000"/>
    <cellStyle name="Calculation 2 4 2 5 2 14" xfId="28969"/>
    <cellStyle name="Calculation 2 4 2 5 2 15" xfId="30008"/>
    <cellStyle name="Calculation 2 4 2 5 2 16" xfId="31001"/>
    <cellStyle name="Calculation 2 4 2 5 2 17" xfId="32010"/>
    <cellStyle name="Calculation 2 4 2 5 2 18" xfId="33013"/>
    <cellStyle name="Calculation 2 4 2 5 2 19" xfId="34012"/>
    <cellStyle name="Calculation 2 4 2 5 2 2" xfId="754"/>
    <cellStyle name="Calculation 2 4 2 5 2 2 10" xfId="24057"/>
    <cellStyle name="Calculation 2 4 2 5 2 2 11" xfId="25056"/>
    <cellStyle name="Calculation 2 4 2 5 2 2 12" xfId="28001"/>
    <cellStyle name="Calculation 2 4 2 5 2 2 13" xfId="28970"/>
    <cellStyle name="Calculation 2 4 2 5 2 2 14" xfId="30009"/>
    <cellStyle name="Calculation 2 4 2 5 2 2 15" xfId="31002"/>
    <cellStyle name="Calculation 2 4 2 5 2 2 16" xfId="32011"/>
    <cellStyle name="Calculation 2 4 2 5 2 2 17" xfId="33014"/>
    <cellStyle name="Calculation 2 4 2 5 2 2 18" xfId="34013"/>
    <cellStyle name="Calculation 2 4 2 5 2 2 19" xfId="35634"/>
    <cellStyle name="Calculation 2 4 2 5 2 2 2" xfId="16037"/>
    <cellStyle name="Calculation 2 4 2 5 2 2 20" xfId="36573"/>
    <cellStyle name="Calculation 2 4 2 5 2 2 3" xfId="17015"/>
    <cellStyle name="Calculation 2 4 2 5 2 2 4" xfId="18043"/>
    <cellStyle name="Calculation 2 4 2 5 2 2 5" xfId="19075"/>
    <cellStyle name="Calculation 2 4 2 5 2 2 6" xfId="20097"/>
    <cellStyle name="Calculation 2 4 2 5 2 2 7" xfId="21106"/>
    <cellStyle name="Calculation 2 4 2 5 2 2 8" xfId="22080"/>
    <cellStyle name="Calculation 2 4 2 5 2 2 9" xfId="23085"/>
    <cellStyle name="Calculation 2 4 2 5 2 20" xfId="35633"/>
    <cellStyle name="Calculation 2 4 2 5 2 21" xfId="36572"/>
    <cellStyle name="Calculation 2 4 2 5 2 3" xfId="16036"/>
    <cellStyle name="Calculation 2 4 2 5 2 4" xfId="17014"/>
    <cellStyle name="Calculation 2 4 2 5 2 5" xfId="18042"/>
    <cellStyle name="Calculation 2 4 2 5 2 6" xfId="19074"/>
    <cellStyle name="Calculation 2 4 2 5 2 7" xfId="20096"/>
    <cellStyle name="Calculation 2 4 2 5 2 8" xfId="21105"/>
    <cellStyle name="Calculation 2 4 2 5 2 9" xfId="22079"/>
    <cellStyle name="Calculation 2 4 2 5 3" xfId="755"/>
    <cellStyle name="Calculation 2 4 2 5 3 10" xfId="23086"/>
    <cellStyle name="Calculation 2 4 2 5 3 11" xfId="24058"/>
    <cellStyle name="Calculation 2 4 2 5 3 12" xfId="25057"/>
    <cellStyle name="Calculation 2 4 2 5 3 13" xfId="28002"/>
    <cellStyle name="Calculation 2 4 2 5 3 14" xfId="28971"/>
    <cellStyle name="Calculation 2 4 2 5 3 15" xfId="30010"/>
    <cellStyle name="Calculation 2 4 2 5 3 16" xfId="31003"/>
    <cellStyle name="Calculation 2 4 2 5 3 17" xfId="32012"/>
    <cellStyle name="Calculation 2 4 2 5 3 18" xfId="33015"/>
    <cellStyle name="Calculation 2 4 2 5 3 19" xfId="34014"/>
    <cellStyle name="Calculation 2 4 2 5 3 2" xfId="756"/>
    <cellStyle name="Calculation 2 4 2 5 3 2 10" xfId="24059"/>
    <cellStyle name="Calculation 2 4 2 5 3 2 11" xfId="25058"/>
    <cellStyle name="Calculation 2 4 2 5 3 2 12" xfId="28003"/>
    <cellStyle name="Calculation 2 4 2 5 3 2 13" xfId="28972"/>
    <cellStyle name="Calculation 2 4 2 5 3 2 14" xfId="30011"/>
    <cellStyle name="Calculation 2 4 2 5 3 2 15" xfId="31004"/>
    <cellStyle name="Calculation 2 4 2 5 3 2 16" xfId="32013"/>
    <cellStyle name="Calculation 2 4 2 5 3 2 17" xfId="33016"/>
    <cellStyle name="Calculation 2 4 2 5 3 2 18" xfId="34015"/>
    <cellStyle name="Calculation 2 4 2 5 3 2 19" xfId="35636"/>
    <cellStyle name="Calculation 2 4 2 5 3 2 2" xfId="16039"/>
    <cellStyle name="Calculation 2 4 2 5 3 2 20" xfId="36575"/>
    <cellStyle name="Calculation 2 4 2 5 3 2 3" xfId="17017"/>
    <cellStyle name="Calculation 2 4 2 5 3 2 4" xfId="18045"/>
    <cellStyle name="Calculation 2 4 2 5 3 2 5" xfId="19077"/>
    <cellStyle name="Calculation 2 4 2 5 3 2 6" xfId="20099"/>
    <cellStyle name="Calculation 2 4 2 5 3 2 7" xfId="21108"/>
    <cellStyle name="Calculation 2 4 2 5 3 2 8" xfId="22082"/>
    <cellStyle name="Calculation 2 4 2 5 3 2 9" xfId="23087"/>
    <cellStyle name="Calculation 2 4 2 5 3 20" xfId="35635"/>
    <cellStyle name="Calculation 2 4 2 5 3 21" xfId="36574"/>
    <cellStyle name="Calculation 2 4 2 5 3 3" xfId="16038"/>
    <cellStyle name="Calculation 2 4 2 5 3 4" xfId="17016"/>
    <cellStyle name="Calculation 2 4 2 5 3 5" xfId="18044"/>
    <cellStyle name="Calculation 2 4 2 5 3 6" xfId="19076"/>
    <cellStyle name="Calculation 2 4 2 5 3 7" xfId="20098"/>
    <cellStyle name="Calculation 2 4 2 5 3 8" xfId="21107"/>
    <cellStyle name="Calculation 2 4 2 5 3 9" xfId="22081"/>
    <cellStyle name="Calculation 2 4 2 5 4" xfId="757"/>
    <cellStyle name="Calculation 2 4 2 5 4 10" xfId="23088"/>
    <cellStyle name="Calculation 2 4 2 5 4 11" xfId="24060"/>
    <cellStyle name="Calculation 2 4 2 5 4 12" xfId="25059"/>
    <cellStyle name="Calculation 2 4 2 5 4 13" xfId="28004"/>
    <cellStyle name="Calculation 2 4 2 5 4 14" xfId="28973"/>
    <cellStyle name="Calculation 2 4 2 5 4 15" xfId="30012"/>
    <cellStyle name="Calculation 2 4 2 5 4 16" xfId="31005"/>
    <cellStyle name="Calculation 2 4 2 5 4 17" xfId="32014"/>
    <cellStyle name="Calculation 2 4 2 5 4 18" xfId="33017"/>
    <cellStyle name="Calculation 2 4 2 5 4 19" xfId="34016"/>
    <cellStyle name="Calculation 2 4 2 5 4 2" xfId="758"/>
    <cellStyle name="Calculation 2 4 2 5 4 2 10" xfId="24061"/>
    <cellStyle name="Calculation 2 4 2 5 4 2 11" xfId="25060"/>
    <cellStyle name="Calculation 2 4 2 5 4 2 12" xfId="28005"/>
    <cellStyle name="Calculation 2 4 2 5 4 2 13" xfId="28974"/>
    <cellStyle name="Calculation 2 4 2 5 4 2 14" xfId="30013"/>
    <cellStyle name="Calculation 2 4 2 5 4 2 15" xfId="31006"/>
    <cellStyle name="Calculation 2 4 2 5 4 2 16" xfId="32015"/>
    <cellStyle name="Calculation 2 4 2 5 4 2 17" xfId="33018"/>
    <cellStyle name="Calculation 2 4 2 5 4 2 18" xfId="34017"/>
    <cellStyle name="Calculation 2 4 2 5 4 2 19" xfId="35638"/>
    <cellStyle name="Calculation 2 4 2 5 4 2 2" xfId="16041"/>
    <cellStyle name="Calculation 2 4 2 5 4 2 20" xfId="36577"/>
    <cellStyle name="Calculation 2 4 2 5 4 2 3" xfId="17019"/>
    <cellStyle name="Calculation 2 4 2 5 4 2 4" xfId="18047"/>
    <cellStyle name="Calculation 2 4 2 5 4 2 5" xfId="19079"/>
    <cellStyle name="Calculation 2 4 2 5 4 2 6" xfId="20101"/>
    <cellStyle name="Calculation 2 4 2 5 4 2 7" xfId="21110"/>
    <cellStyle name="Calculation 2 4 2 5 4 2 8" xfId="22084"/>
    <cellStyle name="Calculation 2 4 2 5 4 2 9" xfId="23089"/>
    <cellStyle name="Calculation 2 4 2 5 4 20" xfId="35637"/>
    <cellStyle name="Calculation 2 4 2 5 4 21" xfId="36576"/>
    <cellStyle name="Calculation 2 4 2 5 4 3" xfId="16040"/>
    <cellStyle name="Calculation 2 4 2 5 4 4" xfId="17018"/>
    <cellStyle name="Calculation 2 4 2 5 4 5" xfId="18046"/>
    <cellStyle name="Calculation 2 4 2 5 4 6" xfId="19078"/>
    <cellStyle name="Calculation 2 4 2 5 4 7" xfId="20100"/>
    <cellStyle name="Calculation 2 4 2 5 4 8" xfId="21109"/>
    <cellStyle name="Calculation 2 4 2 5 4 9" xfId="22083"/>
    <cellStyle name="Calculation 2 4 2 5 5" xfId="759"/>
    <cellStyle name="Calculation 2 4 2 5 5 10" xfId="24062"/>
    <cellStyle name="Calculation 2 4 2 5 5 11" xfId="25061"/>
    <cellStyle name="Calculation 2 4 2 5 5 12" xfId="28006"/>
    <cellStyle name="Calculation 2 4 2 5 5 13" xfId="28975"/>
    <cellStyle name="Calculation 2 4 2 5 5 14" xfId="30014"/>
    <cellStyle name="Calculation 2 4 2 5 5 15" xfId="31007"/>
    <cellStyle name="Calculation 2 4 2 5 5 16" xfId="32016"/>
    <cellStyle name="Calculation 2 4 2 5 5 17" xfId="33019"/>
    <cellStyle name="Calculation 2 4 2 5 5 18" xfId="34018"/>
    <cellStyle name="Calculation 2 4 2 5 5 19" xfId="35639"/>
    <cellStyle name="Calculation 2 4 2 5 5 2" xfId="16042"/>
    <cellStyle name="Calculation 2 4 2 5 5 20" xfId="36578"/>
    <cellStyle name="Calculation 2 4 2 5 5 3" xfId="17020"/>
    <cellStyle name="Calculation 2 4 2 5 5 4" xfId="18048"/>
    <cellStyle name="Calculation 2 4 2 5 5 5" xfId="19080"/>
    <cellStyle name="Calculation 2 4 2 5 5 6" xfId="20102"/>
    <cellStyle name="Calculation 2 4 2 5 5 7" xfId="21111"/>
    <cellStyle name="Calculation 2 4 2 5 5 8" xfId="22085"/>
    <cellStyle name="Calculation 2 4 2 5 5 9" xfId="23090"/>
    <cellStyle name="Calculation 2 4 2 5 6" xfId="14427"/>
    <cellStyle name="Calculation 2 4 2 5 7" xfId="14388"/>
    <cellStyle name="Calculation 2 4 2 5 8" xfId="15813"/>
    <cellStyle name="Calculation 2 4 2 5 9" xfId="14512"/>
    <cellStyle name="Calculation 2 4 2 6" xfId="760"/>
    <cellStyle name="Calculation 2 4 2 6 10" xfId="23091"/>
    <cellStyle name="Calculation 2 4 2 6 11" xfId="24063"/>
    <cellStyle name="Calculation 2 4 2 6 12" xfId="25062"/>
    <cellStyle name="Calculation 2 4 2 6 13" xfId="28007"/>
    <cellStyle name="Calculation 2 4 2 6 14" xfId="28976"/>
    <cellStyle name="Calculation 2 4 2 6 15" xfId="30015"/>
    <cellStyle name="Calculation 2 4 2 6 16" xfId="31008"/>
    <cellStyle name="Calculation 2 4 2 6 17" xfId="32017"/>
    <cellStyle name="Calculation 2 4 2 6 18" xfId="33020"/>
    <cellStyle name="Calculation 2 4 2 6 19" xfId="34019"/>
    <cellStyle name="Calculation 2 4 2 6 2" xfId="761"/>
    <cellStyle name="Calculation 2 4 2 6 2 10" xfId="24064"/>
    <cellStyle name="Calculation 2 4 2 6 2 11" xfId="25063"/>
    <cellStyle name="Calculation 2 4 2 6 2 12" xfId="28008"/>
    <cellStyle name="Calculation 2 4 2 6 2 13" xfId="28977"/>
    <cellStyle name="Calculation 2 4 2 6 2 14" xfId="30016"/>
    <cellStyle name="Calculation 2 4 2 6 2 15" xfId="31009"/>
    <cellStyle name="Calculation 2 4 2 6 2 16" xfId="32018"/>
    <cellStyle name="Calculation 2 4 2 6 2 17" xfId="33021"/>
    <cellStyle name="Calculation 2 4 2 6 2 18" xfId="34020"/>
    <cellStyle name="Calculation 2 4 2 6 2 19" xfId="35641"/>
    <cellStyle name="Calculation 2 4 2 6 2 2" xfId="16044"/>
    <cellStyle name="Calculation 2 4 2 6 2 20" xfId="36580"/>
    <cellStyle name="Calculation 2 4 2 6 2 3" xfId="17022"/>
    <cellStyle name="Calculation 2 4 2 6 2 4" xfId="18050"/>
    <cellStyle name="Calculation 2 4 2 6 2 5" xfId="19082"/>
    <cellStyle name="Calculation 2 4 2 6 2 6" xfId="20104"/>
    <cellStyle name="Calculation 2 4 2 6 2 7" xfId="21113"/>
    <cellStyle name="Calculation 2 4 2 6 2 8" xfId="22087"/>
    <cellStyle name="Calculation 2 4 2 6 2 9" xfId="23092"/>
    <cellStyle name="Calculation 2 4 2 6 20" xfId="35640"/>
    <cellStyle name="Calculation 2 4 2 6 21" xfId="36579"/>
    <cellStyle name="Calculation 2 4 2 6 3" xfId="16043"/>
    <cellStyle name="Calculation 2 4 2 6 4" xfId="17021"/>
    <cellStyle name="Calculation 2 4 2 6 5" xfId="18049"/>
    <cellStyle name="Calculation 2 4 2 6 6" xfId="19081"/>
    <cellStyle name="Calculation 2 4 2 6 7" xfId="20103"/>
    <cellStyle name="Calculation 2 4 2 6 8" xfId="21112"/>
    <cellStyle name="Calculation 2 4 2 6 9" xfId="22086"/>
    <cellStyle name="Calculation 2 4 2 7" xfId="762"/>
    <cellStyle name="Calculation 2 4 2 7 10" xfId="23093"/>
    <cellStyle name="Calculation 2 4 2 7 11" xfId="24065"/>
    <cellStyle name="Calculation 2 4 2 7 12" xfId="25064"/>
    <cellStyle name="Calculation 2 4 2 7 13" xfId="28009"/>
    <cellStyle name="Calculation 2 4 2 7 14" xfId="28978"/>
    <cellStyle name="Calculation 2 4 2 7 15" xfId="30017"/>
    <cellStyle name="Calculation 2 4 2 7 16" xfId="31010"/>
    <cellStyle name="Calculation 2 4 2 7 17" xfId="32019"/>
    <cellStyle name="Calculation 2 4 2 7 18" xfId="33022"/>
    <cellStyle name="Calculation 2 4 2 7 19" xfId="34021"/>
    <cellStyle name="Calculation 2 4 2 7 2" xfId="763"/>
    <cellStyle name="Calculation 2 4 2 7 2 10" xfId="24066"/>
    <cellStyle name="Calculation 2 4 2 7 2 11" xfId="25065"/>
    <cellStyle name="Calculation 2 4 2 7 2 12" xfId="28010"/>
    <cellStyle name="Calculation 2 4 2 7 2 13" xfId="28979"/>
    <cellStyle name="Calculation 2 4 2 7 2 14" xfId="30018"/>
    <cellStyle name="Calculation 2 4 2 7 2 15" xfId="31011"/>
    <cellStyle name="Calculation 2 4 2 7 2 16" xfId="32020"/>
    <cellStyle name="Calculation 2 4 2 7 2 17" xfId="33023"/>
    <cellStyle name="Calculation 2 4 2 7 2 18" xfId="34022"/>
    <cellStyle name="Calculation 2 4 2 7 2 19" xfId="35643"/>
    <cellStyle name="Calculation 2 4 2 7 2 2" xfId="16046"/>
    <cellStyle name="Calculation 2 4 2 7 2 20" xfId="36582"/>
    <cellStyle name="Calculation 2 4 2 7 2 3" xfId="17024"/>
    <cellStyle name="Calculation 2 4 2 7 2 4" xfId="18052"/>
    <cellStyle name="Calculation 2 4 2 7 2 5" xfId="19084"/>
    <cellStyle name="Calculation 2 4 2 7 2 6" xfId="20106"/>
    <cellStyle name="Calculation 2 4 2 7 2 7" xfId="21115"/>
    <cellStyle name="Calculation 2 4 2 7 2 8" xfId="22089"/>
    <cellStyle name="Calculation 2 4 2 7 2 9" xfId="23094"/>
    <cellStyle name="Calculation 2 4 2 7 20" xfId="35642"/>
    <cellStyle name="Calculation 2 4 2 7 21" xfId="36581"/>
    <cellStyle name="Calculation 2 4 2 7 3" xfId="16045"/>
    <cellStyle name="Calculation 2 4 2 7 4" xfId="17023"/>
    <cellStyle name="Calculation 2 4 2 7 5" xfId="18051"/>
    <cellStyle name="Calculation 2 4 2 7 6" xfId="19083"/>
    <cellStyle name="Calculation 2 4 2 7 7" xfId="20105"/>
    <cellStyle name="Calculation 2 4 2 7 8" xfId="21114"/>
    <cellStyle name="Calculation 2 4 2 7 9" xfId="22088"/>
    <cellStyle name="Calculation 2 4 2 8" xfId="764"/>
    <cellStyle name="Calculation 2 4 2 8 10" xfId="23095"/>
    <cellStyle name="Calculation 2 4 2 8 11" xfId="24067"/>
    <cellStyle name="Calculation 2 4 2 8 12" xfId="25066"/>
    <cellStyle name="Calculation 2 4 2 8 13" xfId="28011"/>
    <cellStyle name="Calculation 2 4 2 8 14" xfId="28980"/>
    <cellStyle name="Calculation 2 4 2 8 15" xfId="30019"/>
    <cellStyle name="Calculation 2 4 2 8 16" xfId="31012"/>
    <cellStyle name="Calculation 2 4 2 8 17" xfId="32021"/>
    <cellStyle name="Calculation 2 4 2 8 18" xfId="33024"/>
    <cellStyle name="Calculation 2 4 2 8 19" xfId="34023"/>
    <cellStyle name="Calculation 2 4 2 8 2" xfId="765"/>
    <cellStyle name="Calculation 2 4 2 8 2 10" xfId="24068"/>
    <cellStyle name="Calculation 2 4 2 8 2 11" xfId="25067"/>
    <cellStyle name="Calculation 2 4 2 8 2 12" xfId="28012"/>
    <cellStyle name="Calculation 2 4 2 8 2 13" xfId="28981"/>
    <cellStyle name="Calculation 2 4 2 8 2 14" xfId="30020"/>
    <cellStyle name="Calculation 2 4 2 8 2 15" xfId="31013"/>
    <cellStyle name="Calculation 2 4 2 8 2 16" xfId="32022"/>
    <cellStyle name="Calculation 2 4 2 8 2 17" xfId="33025"/>
    <cellStyle name="Calculation 2 4 2 8 2 18" xfId="34024"/>
    <cellStyle name="Calculation 2 4 2 8 2 19" xfId="35645"/>
    <cellStyle name="Calculation 2 4 2 8 2 2" xfId="16048"/>
    <cellStyle name="Calculation 2 4 2 8 2 20" xfId="36584"/>
    <cellStyle name="Calculation 2 4 2 8 2 3" xfId="17026"/>
    <cellStyle name="Calculation 2 4 2 8 2 4" xfId="18054"/>
    <cellStyle name="Calculation 2 4 2 8 2 5" xfId="19086"/>
    <cellStyle name="Calculation 2 4 2 8 2 6" xfId="20108"/>
    <cellStyle name="Calculation 2 4 2 8 2 7" xfId="21117"/>
    <cellStyle name="Calculation 2 4 2 8 2 8" xfId="22091"/>
    <cellStyle name="Calculation 2 4 2 8 2 9" xfId="23096"/>
    <cellStyle name="Calculation 2 4 2 8 20" xfId="35644"/>
    <cellStyle name="Calculation 2 4 2 8 21" xfId="36583"/>
    <cellStyle name="Calculation 2 4 2 8 3" xfId="16047"/>
    <cellStyle name="Calculation 2 4 2 8 4" xfId="17025"/>
    <cellStyle name="Calculation 2 4 2 8 5" xfId="18053"/>
    <cellStyle name="Calculation 2 4 2 8 6" xfId="19085"/>
    <cellStyle name="Calculation 2 4 2 8 7" xfId="20107"/>
    <cellStyle name="Calculation 2 4 2 8 8" xfId="21116"/>
    <cellStyle name="Calculation 2 4 2 8 9" xfId="22090"/>
    <cellStyle name="Calculation 2 4 2 9" xfId="766"/>
    <cellStyle name="Calculation 2 4 2 9 10" xfId="24069"/>
    <cellStyle name="Calculation 2 4 2 9 11" xfId="25068"/>
    <cellStyle name="Calculation 2 4 2 9 12" xfId="28013"/>
    <cellStyle name="Calculation 2 4 2 9 13" xfId="28982"/>
    <cellStyle name="Calculation 2 4 2 9 14" xfId="30021"/>
    <cellStyle name="Calculation 2 4 2 9 15" xfId="31014"/>
    <cellStyle name="Calculation 2 4 2 9 16" xfId="32023"/>
    <cellStyle name="Calculation 2 4 2 9 17" xfId="33026"/>
    <cellStyle name="Calculation 2 4 2 9 18" xfId="34025"/>
    <cellStyle name="Calculation 2 4 2 9 19" xfId="35646"/>
    <cellStyle name="Calculation 2 4 2 9 2" xfId="16049"/>
    <cellStyle name="Calculation 2 4 2 9 20" xfId="36585"/>
    <cellStyle name="Calculation 2 4 2 9 3" xfId="17027"/>
    <cellStyle name="Calculation 2 4 2 9 4" xfId="18055"/>
    <cellStyle name="Calculation 2 4 2 9 5" xfId="19087"/>
    <cellStyle name="Calculation 2 4 2 9 6" xfId="20109"/>
    <cellStyle name="Calculation 2 4 2 9 7" xfId="21118"/>
    <cellStyle name="Calculation 2 4 2 9 8" xfId="22092"/>
    <cellStyle name="Calculation 2 4 2 9 9" xfId="23097"/>
    <cellStyle name="Calculation 2 4 20" xfId="34852"/>
    <cellStyle name="Calculation 2 4 21" xfId="34873"/>
    <cellStyle name="Calculation 2 4 22" xfId="35483"/>
    <cellStyle name="Calculation 2 4 23" xfId="37470"/>
    <cellStyle name="Calculation 2 4 3" xfId="767"/>
    <cellStyle name="Calculation 2 4 3 10" xfId="14396"/>
    <cellStyle name="Calculation 2 4 3 11" xfId="15114"/>
    <cellStyle name="Calculation 2 4 3 12" xfId="13869"/>
    <cellStyle name="Calculation 2 4 3 13" xfId="14675"/>
    <cellStyle name="Calculation 2 4 3 14" xfId="14231"/>
    <cellStyle name="Calculation 2 4 3 15" xfId="15067"/>
    <cellStyle name="Calculation 2 4 3 16" xfId="26507"/>
    <cellStyle name="Calculation 2 4 3 17" xfId="27050"/>
    <cellStyle name="Calculation 2 4 3 18" xfId="26192"/>
    <cellStyle name="Calculation 2 4 3 19" xfId="27574"/>
    <cellStyle name="Calculation 2 4 3 2" xfId="768"/>
    <cellStyle name="Calculation 2 4 3 2 10" xfId="23098"/>
    <cellStyle name="Calculation 2 4 3 2 11" xfId="24070"/>
    <cellStyle name="Calculation 2 4 3 2 12" xfId="25069"/>
    <cellStyle name="Calculation 2 4 3 2 13" xfId="28014"/>
    <cellStyle name="Calculation 2 4 3 2 14" xfId="28983"/>
    <cellStyle name="Calculation 2 4 3 2 15" xfId="30022"/>
    <cellStyle name="Calculation 2 4 3 2 16" xfId="31015"/>
    <cellStyle name="Calculation 2 4 3 2 17" xfId="32024"/>
    <cellStyle name="Calculation 2 4 3 2 18" xfId="33027"/>
    <cellStyle name="Calculation 2 4 3 2 19" xfId="34026"/>
    <cellStyle name="Calculation 2 4 3 2 2" xfId="769"/>
    <cellStyle name="Calculation 2 4 3 2 2 10" xfId="24071"/>
    <cellStyle name="Calculation 2 4 3 2 2 11" xfId="25070"/>
    <cellStyle name="Calculation 2 4 3 2 2 12" xfId="28015"/>
    <cellStyle name="Calculation 2 4 3 2 2 13" xfId="28984"/>
    <cellStyle name="Calculation 2 4 3 2 2 14" xfId="30023"/>
    <cellStyle name="Calculation 2 4 3 2 2 15" xfId="31016"/>
    <cellStyle name="Calculation 2 4 3 2 2 16" xfId="32025"/>
    <cellStyle name="Calculation 2 4 3 2 2 17" xfId="33028"/>
    <cellStyle name="Calculation 2 4 3 2 2 18" xfId="34027"/>
    <cellStyle name="Calculation 2 4 3 2 2 19" xfId="35648"/>
    <cellStyle name="Calculation 2 4 3 2 2 2" xfId="16051"/>
    <cellStyle name="Calculation 2 4 3 2 2 20" xfId="36587"/>
    <cellStyle name="Calculation 2 4 3 2 2 3" xfId="17029"/>
    <cellStyle name="Calculation 2 4 3 2 2 4" xfId="18057"/>
    <cellStyle name="Calculation 2 4 3 2 2 5" xfId="19089"/>
    <cellStyle name="Calculation 2 4 3 2 2 6" xfId="20111"/>
    <cellStyle name="Calculation 2 4 3 2 2 7" xfId="21120"/>
    <cellStyle name="Calculation 2 4 3 2 2 8" xfId="22094"/>
    <cellStyle name="Calculation 2 4 3 2 2 9" xfId="23099"/>
    <cellStyle name="Calculation 2 4 3 2 20" xfId="35647"/>
    <cellStyle name="Calculation 2 4 3 2 21" xfId="36586"/>
    <cellStyle name="Calculation 2 4 3 2 3" xfId="16050"/>
    <cellStyle name="Calculation 2 4 3 2 4" xfId="17028"/>
    <cellStyle name="Calculation 2 4 3 2 5" xfId="18056"/>
    <cellStyle name="Calculation 2 4 3 2 6" xfId="19088"/>
    <cellStyle name="Calculation 2 4 3 2 7" xfId="20110"/>
    <cellStyle name="Calculation 2 4 3 2 8" xfId="21119"/>
    <cellStyle name="Calculation 2 4 3 2 9" xfId="22093"/>
    <cellStyle name="Calculation 2 4 3 20" xfId="27040"/>
    <cellStyle name="Calculation 2 4 3 21" xfId="27418"/>
    <cellStyle name="Calculation 2 4 3 22" xfId="26657"/>
    <cellStyle name="Calculation 2 4 3 23" xfId="35178"/>
    <cellStyle name="Calculation 2 4 3 24" xfId="35206"/>
    <cellStyle name="Calculation 2 4 3 3" xfId="770"/>
    <cellStyle name="Calculation 2 4 3 3 10" xfId="23100"/>
    <cellStyle name="Calculation 2 4 3 3 11" xfId="24072"/>
    <cellStyle name="Calculation 2 4 3 3 12" xfId="25071"/>
    <cellStyle name="Calculation 2 4 3 3 13" xfId="28016"/>
    <cellStyle name="Calculation 2 4 3 3 14" xfId="28985"/>
    <cellStyle name="Calculation 2 4 3 3 15" xfId="30024"/>
    <cellStyle name="Calculation 2 4 3 3 16" xfId="31017"/>
    <cellStyle name="Calculation 2 4 3 3 17" xfId="32026"/>
    <cellStyle name="Calculation 2 4 3 3 18" xfId="33029"/>
    <cellStyle name="Calculation 2 4 3 3 19" xfId="34028"/>
    <cellStyle name="Calculation 2 4 3 3 2" xfId="771"/>
    <cellStyle name="Calculation 2 4 3 3 2 10" xfId="24073"/>
    <cellStyle name="Calculation 2 4 3 3 2 11" xfId="25072"/>
    <cellStyle name="Calculation 2 4 3 3 2 12" xfId="28017"/>
    <cellStyle name="Calculation 2 4 3 3 2 13" xfId="28986"/>
    <cellStyle name="Calculation 2 4 3 3 2 14" xfId="30025"/>
    <cellStyle name="Calculation 2 4 3 3 2 15" xfId="31018"/>
    <cellStyle name="Calculation 2 4 3 3 2 16" xfId="32027"/>
    <cellStyle name="Calculation 2 4 3 3 2 17" xfId="33030"/>
    <cellStyle name="Calculation 2 4 3 3 2 18" xfId="34029"/>
    <cellStyle name="Calculation 2 4 3 3 2 19" xfId="35650"/>
    <cellStyle name="Calculation 2 4 3 3 2 2" xfId="16053"/>
    <cellStyle name="Calculation 2 4 3 3 2 20" xfId="36589"/>
    <cellStyle name="Calculation 2 4 3 3 2 3" xfId="17031"/>
    <cellStyle name="Calculation 2 4 3 3 2 4" xfId="18059"/>
    <cellStyle name="Calculation 2 4 3 3 2 5" xfId="19091"/>
    <cellStyle name="Calculation 2 4 3 3 2 6" xfId="20113"/>
    <cellStyle name="Calculation 2 4 3 3 2 7" xfId="21122"/>
    <cellStyle name="Calculation 2 4 3 3 2 8" xfId="22096"/>
    <cellStyle name="Calculation 2 4 3 3 2 9" xfId="23101"/>
    <cellStyle name="Calculation 2 4 3 3 20" xfId="35649"/>
    <cellStyle name="Calculation 2 4 3 3 21" xfId="36588"/>
    <cellStyle name="Calculation 2 4 3 3 3" xfId="16052"/>
    <cellStyle name="Calculation 2 4 3 3 4" xfId="17030"/>
    <cellStyle name="Calculation 2 4 3 3 5" xfId="18058"/>
    <cellStyle name="Calculation 2 4 3 3 6" xfId="19090"/>
    <cellStyle name="Calculation 2 4 3 3 7" xfId="20112"/>
    <cellStyle name="Calculation 2 4 3 3 8" xfId="21121"/>
    <cellStyle name="Calculation 2 4 3 3 9" xfId="22095"/>
    <cellStyle name="Calculation 2 4 3 4" xfId="772"/>
    <cellStyle name="Calculation 2 4 3 4 10" xfId="23102"/>
    <cellStyle name="Calculation 2 4 3 4 11" xfId="24074"/>
    <cellStyle name="Calculation 2 4 3 4 12" xfId="25073"/>
    <cellStyle name="Calculation 2 4 3 4 13" xfId="28018"/>
    <cellStyle name="Calculation 2 4 3 4 14" xfId="28987"/>
    <cellStyle name="Calculation 2 4 3 4 15" xfId="30026"/>
    <cellStyle name="Calculation 2 4 3 4 16" xfId="31019"/>
    <cellStyle name="Calculation 2 4 3 4 17" xfId="32028"/>
    <cellStyle name="Calculation 2 4 3 4 18" xfId="33031"/>
    <cellStyle name="Calculation 2 4 3 4 19" xfId="34030"/>
    <cellStyle name="Calculation 2 4 3 4 2" xfId="773"/>
    <cellStyle name="Calculation 2 4 3 4 2 10" xfId="24075"/>
    <cellStyle name="Calculation 2 4 3 4 2 11" xfId="25074"/>
    <cellStyle name="Calculation 2 4 3 4 2 12" xfId="28019"/>
    <cellStyle name="Calculation 2 4 3 4 2 13" xfId="28988"/>
    <cellStyle name="Calculation 2 4 3 4 2 14" xfId="30027"/>
    <cellStyle name="Calculation 2 4 3 4 2 15" xfId="31020"/>
    <cellStyle name="Calculation 2 4 3 4 2 16" xfId="32029"/>
    <cellStyle name="Calculation 2 4 3 4 2 17" xfId="33032"/>
    <cellStyle name="Calculation 2 4 3 4 2 18" xfId="34031"/>
    <cellStyle name="Calculation 2 4 3 4 2 19" xfId="35652"/>
    <cellStyle name="Calculation 2 4 3 4 2 2" xfId="16055"/>
    <cellStyle name="Calculation 2 4 3 4 2 20" xfId="36591"/>
    <cellStyle name="Calculation 2 4 3 4 2 3" xfId="17033"/>
    <cellStyle name="Calculation 2 4 3 4 2 4" xfId="18061"/>
    <cellStyle name="Calculation 2 4 3 4 2 5" xfId="19093"/>
    <cellStyle name="Calculation 2 4 3 4 2 6" xfId="20115"/>
    <cellStyle name="Calculation 2 4 3 4 2 7" xfId="21124"/>
    <cellStyle name="Calculation 2 4 3 4 2 8" xfId="22098"/>
    <cellStyle name="Calculation 2 4 3 4 2 9" xfId="23103"/>
    <cellStyle name="Calculation 2 4 3 4 20" xfId="35651"/>
    <cellStyle name="Calculation 2 4 3 4 21" xfId="36590"/>
    <cellStyle name="Calculation 2 4 3 4 3" xfId="16054"/>
    <cellStyle name="Calculation 2 4 3 4 4" xfId="17032"/>
    <cellStyle name="Calculation 2 4 3 4 5" xfId="18060"/>
    <cellStyle name="Calculation 2 4 3 4 6" xfId="19092"/>
    <cellStyle name="Calculation 2 4 3 4 7" xfId="20114"/>
    <cellStyle name="Calculation 2 4 3 4 8" xfId="21123"/>
    <cellStyle name="Calculation 2 4 3 4 9" xfId="22097"/>
    <cellStyle name="Calculation 2 4 3 5" xfId="774"/>
    <cellStyle name="Calculation 2 4 3 5 10" xfId="24076"/>
    <cellStyle name="Calculation 2 4 3 5 11" xfId="25075"/>
    <cellStyle name="Calculation 2 4 3 5 12" xfId="28020"/>
    <cellStyle name="Calculation 2 4 3 5 13" xfId="28989"/>
    <cellStyle name="Calculation 2 4 3 5 14" xfId="30028"/>
    <cellStyle name="Calculation 2 4 3 5 15" xfId="31021"/>
    <cellStyle name="Calculation 2 4 3 5 16" xfId="32030"/>
    <cellStyle name="Calculation 2 4 3 5 17" xfId="33033"/>
    <cellStyle name="Calculation 2 4 3 5 18" xfId="34032"/>
    <cellStyle name="Calculation 2 4 3 5 19" xfId="35653"/>
    <cellStyle name="Calculation 2 4 3 5 2" xfId="16056"/>
    <cellStyle name="Calculation 2 4 3 5 20" xfId="36592"/>
    <cellStyle name="Calculation 2 4 3 5 3" xfId="17034"/>
    <cellStyle name="Calculation 2 4 3 5 4" xfId="18062"/>
    <cellStyle name="Calculation 2 4 3 5 5" xfId="19094"/>
    <cellStyle name="Calculation 2 4 3 5 6" xfId="20116"/>
    <cellStyle name="Calculation 2 4 3 5 7" xfId="21125"/>
    <cellStyle name="Calculation 2 4 3 5 8" xfId="22099"/>
    <cellStyle name="Calculation 2 4 3 5 9" xfId="23104"/>
    <cellStyle name="Calculation 2 4 3 6" xfId="13946"/>
    <cellStyle name="Calculation 2 4 3 7" xfId="15647"/>
    <cellStyle name="Calculation 2 4 3 8" xfId="14443"/>
    <cellStyle name="Calculation 2 4 3 9" xfId="13619"/>
    <cellStyle name="Calculation 2 4 4" xfId="775"/>
    <cellStyle name="Calculation 2 4 4 10" xfId="23105"/>
    <cellStyle name="Calculation 2 4 4 11" xfId="24077"/>
    <cellStyle name="Calculation 2 4 4 12" xfId="25076"/>
    <cellStyle name="Calculation 2 4 4 13" xfId="28021"/>
    <cellStyle name="Calculation 2 4 4 14" xfId="28990"/>
    <cellStyle name="Calculation 2 4 4 15" xfId="30029"/>
    <cellStyle name="Calculation 2 4 4 16" xfId="31022"/>
    <cellStyle name="Calculation 2 4 4 17" xfId="32031"/>
    <cellStyle name="Calculation 2 4 4 18" xfId="33034"/>
    <cellStyle name="Calculation 2 4 4 19" xfId="34033"/>
    <cellStyle name="Calculation 2 4 4 2" xfId="776"/>
    <cellStyle name="Calculation 2 4 4 2 10" xfId="24078"/>
    <cellStyle name="Calculation 2 4 4 2 11" xfId="25077"/>
    <cellStyle name="Calculation 2 4 4 2 12" xfId="28022"/>
    <cellStyle name="Calculation 2 4 4 2 13" xfId="28991"/>
    <cellStyle name="Calculation 2 4 4 2 14" xfId="30030"/>
    <cellStyle name="Calculation 2 4 4 2 15" xfId="31023"/>
    <cellStyle name="Calculation 2 4 4 2 16" xfId="32032"/>
    <cellStyle name="Calculation 2 4 4 2 17" xfId="33035"/>
    <cellStyle name="Calculation 2 4 4 2 18" xfId="34034"/>
    <cellStyle name="Calculation 2 4 4 2 19" xfId="35655"/>
    <cellStyle name="Calculation 2 4 4 2 2" xfId="16058"/>
    <cellStyle name="Calculation 2 4 4 2 20" xfId="36594"/>
    <cellStyle name="Calculation 2 4 4 2 3" xfId="17036"/>
    <cellStyle name="Calculation 2 4 4 2 4" xfId="18064"/>
    <cellStyle name="Calculation 2 4 4 2 5" xfId="19096"/>
    <cellStyle name="Calculation 2 4 4 2 6" xfId="20118"/>
    <cellStyle name="Calculation 2 4 4 2 7" xfId="21127"/>
    <cellStyle name="Calculation 2 4 4 2 8" xfId="22101"/>
    <cellStyle name="Calculation 2 4 4 2 9" xfId="23106"/>
    <cellStyle name="Calculation 2 4 4 20" xfId="35654"/>
    <cellStyle name="Calculation 2 4 4 21" xfId="36593"/>
    <cellStyle name="Calculation 2 4 4 3" xfId="16057"/>
    <cellStyle name="Calculation 2 4 4 4" xfId="17035"/>
    <cellStyle name="Calculation 2 4 4 5" xfId="18063"/>
    <cellStyle name="Calculation 2 4 4 6" xfId="19095"/>
    <cellStyle name="Calculation 2 4 4 7" xfId="20117"/>
    <cellStyle name="Calculation 2 4 4 8" xfId="21126"/>
    <cellStyle name="Calculation 2 4 4 9" xfId="22100"/>
    <cellStyle name="Calculation 2 4 5" xfId="777"/>
    <cellStyle name="Calculation 2 4 5 10" xfId="23107"/>
    <cellStyle name="Calculation 2 4 5 11" xfId="24079"/>
    <cellStyle name="Calculation 2 4 5 12" xfId="25078"/>
    <cellStyle name="Calculation 2 4 5 13" xfId="28023"/>
    <cellStyle name="Calculation 2 4 5 14" xfId="28992"/>
    <cellStyle name="Calculation 2 4 5 15" xfId="30031"/>
    <cellStyle name="Calculation 2 4 5 16" xfId="31024"/>
    <cellStyle name="Calculation 2 4 5 17" xfId="32033"/>
    <cellStyle name="Calculation 2 4 5 18" xfId="33036"/>
    <cellStyle name="Calculation 2 4 5 19" xfId="34035"/>
    <cellStyle name="Calculation 2 4 5 2" xfId="778"/>
    <cellStyle name="Calculation 2 4 5 2 10" xfId="24080"/>
    <cellStyle name="Calculation 2 4 5 2 11" xfId="25079"/>
    <cellStyle name="Calculation 2 4 5 2 12" xfId="28024"/>
    <cellStyle name="Calculation 2 4 5 2 13" xfId="28993"/>
    <cellStyle name="Calculation 2 4 5 2 14" xfId="30032"/>
    <cellStyle name="Calculation 2 4 5 2 15" xfId="31025"/>
    <cellStyle name="Calculation 2 4 5 2 16" xfId="32034"/>
    <cellStyle name="Calculation 2 4 5 2 17" xfId="33037"/>
    <cellStyle name="Calculation 2 4 5 2 18" xfId="34036"/>
    <cellStyle name="Calculation 2 4 5 2 19" xfId="35657"/>
    <cellStyle name="Calculation 2 4 5 2 2" xfId="16060"/>
    <cellStyle name="Calculation 2 4 5 2 20" xfId="36596"/>
    <cellStyle name="Calculation 2 4 5 2 3" xfId="17038"/>
    <cellStyle name="Calculation 2 4 5 2 4" xfId="18066"/>
    <cellStyle name="Calculation 2 4 5 2 5" xfId="19098"/>
    <cellStyle name="Calculation 2 4 5 2 6" xfId="20120"/>
    <cellStyle name="Calculation 2 4 5 2 7" xfId="21129"/>
    <cellStyle name="Calculation 2 4 5 2 8" xfId="22103"/>
    <cellStyle name="Calculation 2 4 5 2 9" xfId="23108"/>
    <cellStyle name="Calculation 2 4 5 20" xfId="35656"/>
    <cellStyle name="Calculation 2 4 5 21" xfId="36595"/>
    <cellStyle name="Calculation 2 4 5 3" xfId="16059"/>
    <cellStyle name="Calculation 2 4 5 4" xfId="17037"/>
    <cellStyle name="Calculation 2 4 5 5" xfId="18065"/>
    <cellStyle name="Calculation 2 4 5 6" xfId="19097"/>
    <cellStyle name="Calculation 2 4 5 7" xfId="20119"/>
    <cellStyle name="Calculation 2 4 5 8" xfId="21128"/>
    <cellStyle name="Calculation 2 4 5 9" xfId="22102"/>
    <cellStyle name="Calculation 2 4 6" xfId="779"/>
    <cellStyle name="Calculation 2 4 6 10" xfId="23109"/>
    <cellStyle name="Calculation 2 4 6 11" xfId="24081"/>
    <cellStyle name="Calculation 2 4 6 12" xfId="25080"/>
    <cellStyle name="Calculation 2 4 6 13" xfId="28025"/>
    <cellStyle name="Calculation 2 4 6 14" xfId="28994"/>
    <cellStyle name="Calculation 2 4 6 15" xfId="30033"/>
    <cellStyle name="Calculation 2 4 6 16" xfId="31026"/>
    <cellStyle name="Calculation 2 4 6 17" xfId="32035"/>
    <cellStyle name="Calculation 2 4 6 18" xfId="33038"/>
    <cellStyle name="Calculation 2 4 6 19" xfId="34037"/>
    <cellStyle name="Calculation 2 4 6 2" xfId="780"/>
    <cellStyle name="Calculation 2 4 6 2 10" xfId="24082"/>
    <cellStyle name="Calculation 2 4 6 2 11" xfId="25081"/>
    <cellStyle name="Calculation 2 4 6 2 12" xfId="28026"/>
    <cellStyle name="Calculation 2 4 6 2 13" xfId="28995"/>
    <cellStyle name="Calculation 2 4 6 2 14" xfId="30034"/>
    <cellStyle name="Calculation 2 4 6 2 15" xfId="31027"/>
    <cellStyle name="Calculation 2 4 6 2 16" xfId="32036"/>
    <cellStyle name="Calculation 2 4 6 2 17" xfId="33039"/>
    <cellStyle name="Calculation 2 4 6 2 18" xfId="34038"/>
    <cellStyle name="Calculation 2 4 6 2 19" xfId="35659"/>
    <cellStyle name="Calculation 2 4 6 2 2" xfId="16062"/>
    <cellStyle name="Calculation 2 4 6 2 20" xfId="36598"/>
    <cellStyle name="Calculation 2 4 6 2 3" xfId="17040"/>
    <cellStyle name="Calculation 2 4 6 2 4" xfId="18068"/>
    <cellStyle name="Calculation 2 4 6 2 5" xfId="19100"/>
    <cellStyle name="Calculation 2 4 6 2 6" xfId="20122"/>
    <cellStyle name="Calculation 2 4 6 2 7" xfId="21131"/>
    <cellStyle name="Calculation 2 4 6 2 8" xfId="22105"/>
    <cellStyle name="Calculation 2 4 6 2 9" xfId="23110"/>
    <cellStyle name="Calculation 2 4 6 20" xfId="35658"/>
    <cellStyle name="Calculation 2 4 6 21" xfId="36597"/>
    <cellStyle name="Calculation 2 4 6 3" xfId="16061"/>
    <cellStyle name="Calculation 2 4 6 4" xfId="17039"/>
    <cellStyle name="Calculation 2 4 6 5" xfId="18067"/>
    <cellStyle name="Calculation 2 4 6 6" xfId="19099"/>
    <cellStyle name="Calculation 2 4 6 7" xfId="20121"/>
    <cellStyle name="Calculation 2 4 6 8" xfId="21130"/>
    <cellStyle name="Calculation 2 4 6 9" xfId="22104"/>
    <cellStyle name="Calculation 2 4 7" xfId="781"/>
    <cellStyle name="Calculation 2 4 7 10" xfId="24083"/>
    <cellStyle name="Calculation 2 4 7 11" xfId="25082"/>
    <cellStyle name="Calculation 2 4 7 12" xfId="28027"/>
    <cellStyle name="Calculation 2 4 7 13" xfId="28996"/>
    <cellStyle name="Calculation 2 4 7 14" xfId="30035"/>
    <cellStyle name="Calculation 2 4 7 15" xfId="31028"/>
    <cellStyle name="Calculation 2 4 7 16" xfId="32037"/>
    <cellStyle name="Calculation 2 4 7 17" xfId="33040"/>
    <cellStyle name="Calculation 2 4 7 18" xfId="34039"/>
    <cellStyle name="Calculation 2 4 7 19" xfId="35660"/>
    <cellStyle name="Calculation 2 4 7 2" xfId="16063"/>
    <cellStyle name="Calculation 2 4 7 20" xfId="36599"/>
    <cellStyle name="Calculation 2 4 7 3" xfId="17041"/>
    <cellStyle name="Calculation 2 4 7 4" xfId="18069"/>
    <cellStyle name="Calculation 2 4 7 5" xfId="19101"/>
    <cellStyle name="Calculation 2 4 7 6" xfId="20123"/>
    <cellStyle name="Calculation 2 4 7 7" xfId="21132"/>
    <cellStyle name="Calculation 2 4 7 8" xfId="22106"/>
    <cellStyle name="Calculation 2 4 7 9" xfId="23111"/>
    <cellStyle name="Calculation 2 4 8" xfId="13472"/>
    <cellStyle name="Calculation 2 4 9" xfId="18880"/>
    <cellStyle name="Calculation 2 5" xfId="782"/>
    <cellStyle name="Calculation 2 5 10" xfId="15063"/>
    <cellStyle name="Calculation 2 5 11" xfId="13981"/>
    <cellStyle name="Calculation 2 5 12" xfId="14219"/>
    <cellStyle name="Calculation 2 5 13" xfId="14825"/>
    <cellStyle name="Calculation 2 5 14" xfId="15459"/>
    <cellStyle name="Calculation 2 5 15" xfId="14719"/>
    <cellStyle name="Calculation 2 5 16" xfId="26070"/>
    <cellStyle name="Calculation 2 5 17" xfId="26053"/>
    <cellStyle name="Calculation 2 5 18" xfId="28746"/>
    <cellStyle name="Calculation 2 5 19" xfId="26572"/>
    <cellStyle name="Calculation 2 5 2" xfId="783"/>
    <cellStyle name="Calculation 2 5 2 10" xfId="15296"/>
    <cellStyle name="Calculation 2 5 2 11" xfId="14721"/>
    <cellStyle name="Calculation 2 5 2 12" xfId="26293"/>
    <cellStyle name="Calculation 2 5 2 13" xfId="27736"/>
    <cellStyle name="Calculation 2 5 2 14" xfId="26810"/>
    <cellStyle name="Calculation 2 5 2 15" xfId="26752"/>
    <cellStyle name="Calculation 2 5 2 16" xfId="26626"/>
    <cellStyle name="Calculation 2 5 2 17" xfId="27216"/>
    <cellStyle name="Calculation 2 5 2 18" xfId="34989"/>
    <cellStyle name="Calculation 2 5 2 19" xfId="35337"/>
    <cellStyle name="Calculation 2 5 2 2" xfId="784"/>
    <cellStyle name="Calculation 2 5 2 2 10" xfId="23112"/>
    <cellStyle name="Calculation 2 5 2 2 11" xfId="24084"/>
    <cellStyle name="Calculation 2 5 2 2 12" xfId="25083"/>
    <cellStyle name="Calculation 2 5 2 2 13" xfId="28028"/>
    <cellStyle name="Calculation 2 5 2 2 14" xfId="28997"/>
    <cellStyle name="Calculation 2 5 2 2 15" xfId="30036"/>
    <cellStyle name="Calculation 2 5 2 2 16" xfId="31029"/>
    <cellStyle name="Calculation 2 5 2 2 17" xfId="32038"/>
    <cellStyle name="Calculation 2 5 2 2 18" xfId="33041"/>
    <cellStyle name="Calculation 2 5 2 2 19" xfId="34040"/>
    <cellStyle name="Calculation 2 5 2 2 2" xfId="785"/>
    <cellStyle name="Calculation 2 5 2 2 2 10" xfId="24085"/>
    <cellStyle name="Calculation 2 5 2 2 2 11" xfId="25084"/>
    <cellStyle name="Calculation 2 5 2 2 2 12" xfId="28029"/>
    <cellStyle name="Calculation 2 5 2 2 2 13" xfId="28998"/>
    <cellStyle name="Calculation 2 5 2 2 2 14" xfId="30037"/>
    <cellStyle name="Calculation 2 5 2 2 2 15" xfId="31030"/>
    <cellStyle name="Calculation 2 5 2 2 2 16" xfId="32039"/>
    <cellStyle name="Calculation 2 5 2 2 2 17" xfId="33042"/>
    <cellStyle name="Calculation 2 5 2 2 2 18" xfId="34041"/>
    <cellStyle name="Calculation 2 5 2 2 2 19" xfId="35662"/>
    <cellStyle name="Calculation 2 5 2 2 2 2" xfId="16065"/>
    <cellStyle name="Calculation 2 5 2 2 2 20" xfId="36601"/>
    <cellStyle name="Calculation 2 5 2 2 2 3" xfId="17043"/>
    <cellStyle name="Calculation 2 5 2 2 2 4" xfId="18071"/>
    <cellStyle name="Calculation 2 5 2 2 2 5" xfId="19103"/>
    <cellStyle name="Calculation 2 5 2 2 2 6" xfId="20125"/>
    <cellStyle name="Calculation 2 5 2 2 2 7" xfId="21134"/>
    <cellStyle name="Calculation 2 5 2 2 2 8" xfId="22108"/>
    <cellStyle name="Calculation 2 5 2 2 2 9" xfId="23113"/>
    <cellStyle name="Calculation 2 5 2 2 20" xfId="35661"/>
    <cellStyle name="Calculation 2 5 2 2 21" xfId="36600"/>
    <cellStyle name="Calculation 2 5 2 2 3" xfId="16064"/>
    <cellStyle name="Calculation 2 5 2 2 4" xfId="17042"/>
    <cellStyle name="Calculation 2 5 2 2 5" xfId="18070"/>
    <cellStyle name="Calculation 2 5 2 2 6" xfId="19102"/>
    <cellStyle name="Calculation 2 5 2 2 7" xfId="20124"/>
    <cellStyle name="Calculation 2 5 2 2 8" xfId="21133"/>
    <cellStyle name="Calculation 2 5 2 2 9" xfId="22107"/>
    <cellStyle name="Calculation 2 5 2 3" xfId="786"/>
    <cellStyle name="Calculation 2 5 2 3 10" xfId="23114"/>
    <cellStyle name="Calculation 2 5 2 3 11" xfId="24086"/>
    <cellStyle name="Calculation 2 5 2 3 12" xfId="25085"/>
    <cellStyle name="Calculation 2 5 2 3 13" xfId="28030"/>
    <cellStyle name="Calculation 2 5 2 3 14" xfId="28999"/>
    <cellStyle name="Calculation 2 5 2 3 15" xfId="30038"/>
    <cellStyle name="Calculation 2 5 2 3 16" xfId="31031"/>
    <cellStyle name="Calculation 2 5 2 3 17" xfId="32040"/>
    <cellStyle name="Calculation 2 5 2 3 18" xfId="33043"/>
    <cellStyle name="Calculation 2 5 2 3 19" xfId="34042"/>
    <cellStyle name="Calculation 2 5 2 3 2" xfId="787"/>
    <cellStyle name="Calculation 2 5 2 3 2 10" xfId="24087"/>
    <cellStyle name="Calculation 2 5 2 3 2 11" xfId="25086"/>
    <cellStyle name="Calculation 2 5 2 3 2 12" xfId="28031"/>
    <cellStyle name="Calculation 2 5 2 3 2 13" xfId="29000"/>
    <cellStyle name="Calculation 2 5 2 3 2 14" xfId="30039"/>
    <cellStyle name="Calculation 2 5 2 3 2 15" xfId="31032"/>
    <cellStyle name="Calculation 2 5 2 3 2 16" xfId="32041"/>
    <cellStyle name="Calculation 2 5 2 3 2 17" xfId="33044"/>
    <cellStyle name="Calculation 2 5 2 3 2 18" xfId="34043"/>
    <cellStyle name="Calculation 2 5 2 3 2 19" xfId="35664"/>
    <cellStyle name="Calculation 2 5 2 3 2 2" xfId="16067"/>
    <cellStyle name="Calculation 2 5 2 3 2 20" xfId="36603"/>
    <cellStyle name="Calculation 2 5 2 3 2 3" xfId="17045"/>
    <cellStyle name="Calculation 2 5 2 3 2 4" xfId="18073"/>
    <cellStyle name="Calculation 2 5 2 3 2 5" xfId="19105"/>
    <cellStyle name="Calculation 2 5 2 3 2 6" xfId="20127"/>
    <cellStyle name="Calculation 2 5 2 3 2 7" xfId="21136"/>
    <cellStyle name="Calculation 2 5 2 3 2 8" xfId="22110"/>
    <cellStyle name="Calculation 2 5 2 3 2 9" xfId="23115"/>
    <cellStyle name="Calculation 2 5 2 3 20" xfId="35663"/>
    <cellStyle name="Calculation 2 5 2 3 21" xfId="36602"/>
    <cellStyle name="Calculation 2 5 2 3 3" xfId="16066"/>
    <cellStyle name="Calculation 2 5 2 3 4" xfId="17044"/>
    <cellStyle name="Calculation 2 5 2 3 5" xfId="18072"/>
    <cellStyle name="Calculation 2 5 2 3 6" xfId="19104"/>
    <cellStyle name="Calculation 2 5 2 3 7" xfId="20126"/>
    <cellStyle name="Calculation 2 5 2 3 8" xfId="21135"/>
    <cellStyle name="Calculation 2 5 2 3 9" xfId="22109"/>
    <cellStyle name="Calculation 2 5 2 4" xfId="788"/>
    <cellStyle name="Calculation 2 5 2 4 10" xfId="23116"/>
    <cellStyle name="Calculation 2 5 2 4 11" xfId="24088"/>
    <cellStyle name="Calculation 2 5 2 4 12" xfId="25087"/>
    <cellStyle name="Calculation 2 5 2 4 13" xfId="28032"/>
    <cellStyle name="Calculation 2 5 2 4 14" xfId="29001"/>
    <cellStyle name="Calculation 2 5 2 4 15" xfId="30040"/>
    <cellStyle name="Calculation 2 5 2 4 16" xfId="31033"/>
    <cellStyle name="Calculation 2 5 2 4 17" xfId="32042"/>
    <cellStyle name="Calculation 2 5 2 4 18" xfId="33045"/>
    <cellStyle name="Calculation 2 5 2 4 19" xfId="34044"/>
    <cellStyle name="Calculation 2 5 2 4 2" xfId="789"/>
    <cellStyle name="Calculation 2 5 2 4 2 10" xfId="24089"/>
    <cellStyle name="Calculation 2 5 2 4 2 11" xfId="25088"/>
    <cellStyle name="Calculation 2 5 2 4 2 12" xfId="28033"/>
    <cellStyle name="Calculation 2 5 2 4 2 13" xfId="29002"/>
    <cellStyle name="Calculation 2 5 2 4 2 14" xfId="30041"/>
    <cellStyle name="Calculation 2 5 2 4 2 15" xfId="31034"/>
    <cellStyle name="Calculation 2 5 2 4 2 16" xfId="32043"/>
    <cellStyle name="Calculation 2 5 2 4 2 17" xfId="33046"/>
    <cellStyle name="Calculation 2 5 2 4 2 18" xfId="34045"/>
    <cellStyle name="Calculation 2 5 2 4 2 19" xfId="35666"/>
    <cellStyle name="Calculation 2 5 2 4 2 2" xfId="16069"/>
    <cellStyle name="Calculation 2 5 2 4 2 20" xfId="36605"/>
    <cellStyle name="Calculation 2 5 2 4 2 3" xfId="17047"/>
    <cellStyle name="Calculation 2 5 2 4 2 4" xfId="18075"/>
    <cellStyle name="Calculation 2 5 2 4 2 5" xfId="19107"/>
    <cellStyle name="Calculation 2 5 2 4 2 6" xfId="20129"/>
    <cellStyle name="Calculation 2 5 2 4 2 7" xfId="21138"/>
    <cellStyle name="Calculation 2 5 2 4 2 8" xfId="22112"/>
    <cellStyle name="Calculation 2 5 2 4 2 9" xfId="23117"/>
    <cellStyle name="Calculation 2 5 2 4 20" xfId="35665"/>
    <cellStyle name="Calculation 2 5 2 4 21" xfId="36604"/>
    <cellStyle name="Calculation 2 5 2 4 3" xfId="16068"/>
    <cellStyle name="Calculation 2 5 2 4 4" xfId="17046"/>
    <cellStyle name="Calculation 2 5 2 4 5" xfId="18074"/>
    <cellStyle name="Calculation 2 5 2 4 6" xfId="19106"/>
    <cellStyle name="Calculation 2 5 2 4 7" xfId="20128"/>
    <cellStyle name="Calculation 2 5 2 4 8" xfId="21137"/>
    <cellStyle name="Calculation 2 5 2 4 9" xfId="22111"/>
    <cellStyle name="Calculation 2 5 2 5" xfId="790"/>
    <cellStyle name="Calculation 2 5 2 5 10" xfId="24090"/>
    <cellStyle name="Calculation 2 5 2 5 11" xfId="25089"/>
    <cellStyle name="Calculation 2 5 2 5 12" xfId="28034"/>
    <cellStyle name="Calculation 2 5 2 5 13" xfId="29003"/>
    <cellStyle name="Calculation 2 5 2 5 14" xfId="30042"/>
    <cellStyle name="Calculation 2 5 2 5 15" xfId="31035"/>
    <cellStyle name="Calculation 2 5 2 5 16" xfId="32044"/>
    <cellStyle name="Calculation 2 5 2 5 17" xfId="33047"/>
    <cellStyle name="Calculation 2 5 2 5 18" xfId="34046"/>
    <cellStyle name="Calculation 2 5 2 5 19" xfId="35667"/>
    <cellStyle name="Calculation 2 5 2 5 2" xfId="16070"/>
    <cellStyle name="Calculation 2 5 2 5 20" xfId="36606"/>
    <cellStyle name="Calculation 2 5 2 5 3" xfId="17048"/>
    <cellStyle name="Calculation 2 5 2 5 4" xfId="18076"/>
    <cellStyle name="Calculation 2 5 2 5 5" xfId="19108"/>
    <cellStyle name="Calculation 2 5 2 5 6" xfId="20130"/>
    <cellStyle name="Calculation 2 5 2 5 7" xfId="21139"/>
    <cellStyle name="Calculation 2 5 2 5 8" xfId="22113"/>
    <cellStyle name="Calculation 2 5 2 5 9" xfId="23118"/>
    <cellStyle name="Calculation 2 5 2 6" xfId="13713"/>
    <cellStyle name="Calculation 2 5 2 7" xfId="14726"/>
    <cellStyle name="Calculation 2 5 2 8" xfId="14574"/>
    <cellStyle name="Calculation 2 5 2 9" xfId="14824"/>
    <cellStyle name="Calculation 2 5 20" xfId="26292"/>
    <cellStyle name="Calculation 2 5 21" xfId="26512"/>
    <cellStyle name="Calculation 2 5 22" xfId="34932"/>
    <cellStyle name="Calculation 2 5 23" xfId="35478"/>
    <cellStyle name="Calculation 2 5 3" xfId="791"/>
    <cellStyle name="Calculation 2 5 3 10" xfId="14494"/>
    <cellStyle name="Calculation 2 5 3 11" xfId="15159"/>
    <cellStyle name="Calculation 2 5 3 12" xfId="26373"/>
    <cellStyle name="Calculation 2 5 3 13" xfId="27132"/>
    <cellStyle name="Calculation 2 5 3 14" xfId="25973"/>
    <cellStyle name="Calculation 2 5 3 15" xfId="26189"/>
    <cellStyle name="Calculation 2 5 3 16" xfId="26902"/>
    <cellStyle name="Calculation 2 5 3 17" xfId="27358"/>
    <cellStyle name="Calculation 2 5 3 18" xfId="35064"/>
    <cellStyle name="Calculation 2 5 3 19" xfId="35287"/>
    <cellStyle name="Calculation 2 5 3 2" xfId="792"/>
    <cellStyle name="Calculation 2 5 3 2 10" xfId="23119"/>
    <cellStyle name="Calculation 2 5 3 2 11" xfId="24091"/>
    <cellStyle name="Calculation 2 5 3 2 12" xfId="25090"/>
    <cellStyle name="Calculation 2 5 3 2 13" xfId="28035"/>
    <cellStyle name="Calculation 2 5 3 2 14" xfId="29004"/>
    <cellStyle name="Calculation 2 5 3 2 15" xfId="30043"/>
    <cellStyle name="Calculation 2 5 3 2 16" xfId="31036"/>
    <cellStyle name="Calculation 2 5 3 2 17" xfId="32045"/>
    <cellStyle name="Calculation 2 5 3 2 18" xfId="33048"/>
    <cellStyle name="Calculation 2 5 3 2 19" xfId="34047"/>
    <cellStyle name="Calculation 2 5 3 2 2" xfId="793"/>
    <cellStyle name="Calculation 2 5 3 2 2 10" xfId="24092"/>
    <cellStyle name="Calculation 2 5 3 2 2 11" xfId="25091"/>
    <cellStyle name="Calculation 2 5 3 2 2 12" xfId="28036"/>
    <cellStyle name="Calculation 2 5 3 2 2 13" xfId="29005"/>
    <cellStyle name="Calculation 2 5 3 2 2 14" xfId="30044"/>
    <cellStyle name="Calculation 2 5 3 2 2 15" xfId="31037"/>
    <cellStyle name="Calculation 2 5 3 2 2 16" xfId="32046"/>
    <cellStyle name="Calculation 2 5 3 2 2 17" xfId="33049"/>
    <cellStyle name="Calculation 2 5 3 2 2 18" xfId="34048"/>
    <cellStyle name="Calculation 2 5 3 2 2 19" xfId="35669"/>
    <cellStyle name="Calculation 2 5 3 2 2 2" xfId="16072"/>
    <cellStyle name="Calculation 2 5 3 2 2 20" xfId="36608"/>
    <cellStyle name="Calculation 2 5 3 2 2 3" xfId="17050"/>
    <cellStyle name="Calculation 2 5 3 2 2 4" xfId="18078"/>
    <cellStyle name="Calculation 2 5 3 2 2 5" xfId="19110"/>
    <cellStyle name="Calculation 2 5 3 2 2 6" xfId="20132"/>
    <cellStyle name="Calculation 2 5 3 2 2 7" xfId="21141"/>
    <cellStyle name="Calculation 2 5 3 2 2 8" xfId="22115"/>
    <cellStyle name="Calculation 2 5 3 2 2 9" xfId="23120"/>
    <cellStyle name="Calculation 2 5 3 2 20" xfId="35668"/>
    <cellStyle name="Calculation 2 5 3 2 21" xfId="36607"/>
    <cellStyle name="Calculation 2 5 3 2 3" xfId="16071"/>
    <cellStyle name="Calculation 2 5 3 2 4" xfId="17049"/>
    <cellStyle name="Calculation 2 5 3 2 5" xfId="18077"/>
    <cellStyle name="Calculation 2 5 3 2 6" xfId="19109"/>
    <cellStyle name="Calculation 2 5 3 2 7" xfId="20131"/>
    <cellStyle name="Calculation 2 5 3 2 8" xfId="21140"/>
    <cellStyle name="Calculation 2 5 3 2 9" xfId="22114"/>
    <cellStyle name="Calculation 2 5 3 3" xfId="794"/>
    <cellStyle name="Calculation 2 5 3 3 10" xfId="23121"/>
    <cellStyle name="Calculation 2 5 3 3 11" xfId="24093"/>
    <cellStyle name="Calculation 2 5 3 3 12" xfId="25092"/>
    <cellStyle name="Calculation 2 5 3 3 13" xfId="28037"/>
    <cellStyle name="Calculation 2 5 3 3 14" xfId="29006"/>
    <cellStyle name="Calculation 2 5 3 3 15" xfId="30045"/>
    <cellStyle name="Calculation 2 5 3 3 16" xfId="31038"/>
    <cellStyle name="Calculation 2 5 3 3 17" xfId="32047"/>
    <cellStyle name="Calculation 2 5 3 3 18" xfId="33050"/>
    <cellStyle name="Calculation 2 5 3 3 19" xfId="34049"/>
    <cellStyle name="Calculation 2 5 3 3 2" xfId="795"/>
    <cellStyle name="Calculation 2 5 3 3 2 10" xfId="24094"/>
    <cellStyle name="Calculation 2 5 3 3 2 11" xfId="25093"/>
    <cellStyle name="Calculation 2 5 3 3 2 12" xfId="28038"/>
    <cellStyle name="Calculation 2 5 3 3 2 13" xfId="29007"/>
    <cellStyle name="Calculation 2 5 3 3 2 14" xfId="30046"/>
    <cellStyle name="Calculation 2 5 3 3 2 15" xfId="31039"/>
    <cellStyle name="Calculation 2 5 3 3 2 16" xfId="32048"/>
    <cellStyle name="Calculation 2 5 3 3 2 17" xfId="33051"/>
    <cellStyle name="Calculation 2 5 3 3 2 18" xfId="34050"/>
    <cellStyle name="Calculation 2 5 3 3 2 19" xfId="35671"/>
    <cellStyle name="Calculation 2 5 3 3 2 2" xfId="16074"/>
    <cellStyle name="Calculation 2 5 3 3 2 20" xfId="36610"/>
    <cellStyle name="Calculation 2 5 3 3 2 3" xfId="17052"/>
    <cellStyle name="Calculation 2 5 3 3 2 4" xfId="18080"/>
    <cellStyle name="Calculation 2 5 3 3 2 5" xfId="19112"/>
    <cellStyle name="Calculation 2 5 3 3 2 6" xfId="20134"/>
    <cellStyle name="Calculation 2 5 3 3 2 7" xfId="21143"/>
    <cellStyle name="Calculation 2 5 3 3 2 8" xfId="22117"/>
    <cellStyle name="Calculation 2 5 3 3 2 9" xfId="23122"/>
    <cellStyle name="Calculation 2 5 3 3 20" xfId="35670"/>
    <cellStyle name="Calculation 2 5 3 3 21" xfId="36609"/>
    <cellStyle name="Calculation 2 5 3 3 3" xfId="16073"/>
    <cellStyle name="Calculation 2 5 3 3 4" xfId="17051"/>
    <cellStyle name="Calculation 2 5 3 3 5" xfId="18079"/>
    <cellStyle name="Calculation 2 5 3 3 6" xfId="19111"/>
    <cellStyle name="Calculation 2 5 3 3 7" xfId="20133"/>
    <cellStyle name="Calculation 2 5 3 3 8" xfId="21142"/>
    <cellStyle name="Calculation 2 5 3 3 9" xfId="22116"/>
    <cellStyle name="Calculation 2 5 3 4" xfId="796"/>
    <cellStyle name="Calculation 2 5 3 4 10" xfId="23123"/>
    <cellStyle name="Calculation 2 5 3 4 11" xfId="24095"/>
    <cellStyle name="Calculation 2 5 3 4 12" xfId="25094"/>
    <cellStyle name="Calculation 2 5 3 4 13" xfId="28039"/>
    <cellStyle name="Calculation 2 5 3 4 14" xfId="29008"/>
    <cellStyle name="Calculation 2 5 3 4 15" xfId="30047"/>
    <cellStyle name="Calculation 2 5 3 4 16" xfId="31040"/>
    <cellStyle name="Calculation 2 5 3 4 17" xfId="32049"/>
    <cellStyle name="Calculation 2 5 3 4 18" xfId="33052"/>
    <cellStyle name="Calculation 2 5 3 4 19" xfId="34051"/>
    <cellStyle name="Calculation 2 5 3 4 2" xfId="797"/>
    <cellStyle name="Calculation 2 5 3 4 2 10" xfId="24096"/>
    <cellStyle name="Calculation 2 5 3 4 2 11" xfId="25095"/>
    <cellStyle name="Calculation 2 5 3 4 2 12" xfId="28040"/>
    <cellStyle name="Calculation 2 5 3 4 2 13" xfId="29009"/>
    <cellStyle name="Calculation 2 5 3 4 2 14" xfId="30048"/>
    <cellStyle name="Calculation 2 5 3 4 2 15" xfId="31041"/>
    <cellStyle name="Calculation 2 5 3 4 2 16" xfId="32050"/>
    <cellStyle name="Calculation 2 5 3 4 2 17" xfId="33053"/>
    <cellStyle name="Calculation 2 5 3 4 2 18" xfId="34052"/>
    <cellStyle name="Calculation 2 5 3 4 2 19" xfId="35673"/>
    <cellStyle name="Calculation 2 5 3 4 2 2" xfId="16076"/>
    <cellStyle name="Calculation 2 5 3 4 2 20" xfId="36612"/>
    <cellStyle name="Calculation 2 5 3 4 2 3" xfId="17054"/>
    <cellStyle name="Calculation 2 5 3 4 2 4" xfId="18082"/>
    <cellStyle name="Calculation 2 5 3 4 2 5" xfId="19114"/>
    <cellStyle name="Calculation 2 5 3 4 2 6" xfId="20136"/>
    <cellStyle name="Calculation 2 5 3 4 2 7" xfId="21145"/>
    <cellStyle name="Calculation 2 5 3 4 2 8" xfId="22119"/>
    <cellStyle name="Calculation 2 5 3 4 2 9" xfId="23124"/>
    <cellStyle name="Calculation 2 5 3 4 20" xfId="35672"/>
    <cellStyle name="Calculation 2 5 3 4 21" xfId="36611"/>
    <cellStyle name="Calculation 2 5 3 4 3" xfId="16075"/>
    <cellStyle name="Calculation 2 5 3 4 4" xfId="17053"/>
    <cellStyle name="Calculation 2 5 3 4 5" xfId="18081"/>
    <cellStyle name="Calculation 2 5 3 4 6" xfId="19113"/>
    <cellStyle name="Calculation 2 5 3 4 7" xfId="20135"/>
    <cellStyle name="Calculation 2 5 3 4 8" xfId="21144"/>
    <cellStyle name="Calculation 2 5 3 4 9" xfId="22118"/>
    <cellStyle name="Calculation 2 5 3 5" xfId="798"/>
    <cellStyle name="Calculation 2 5 3 5 10" xfId="24097"/>
    <cellStyle name="Calculation 2 5 3 5 11" xfId="25096"/>
    <cellStyle name="Calculation 2 5 3 5 12" xfId="28041"/>
    <cellStyle name="Calculation 2 5 3 5 13" xfId="29010"/>
    <cellStyle name="Calculation 2 5 3 5 14" xfId="30049"/>
    <cellStyle name="Calculation 2 5 3 5 15" xfId="31042"/>
    <cellStyle name="Calculation 2 5 3 5 16" xfId="32051"/>
    <cellStyle name="Calculation 2 5 3 5 17" xfId="33054"/>
    <cellStyle name="Calculation 2 5 3 5 18" xfId="34053"/>
    <cellStyle name="Calculation 2 5 3 5 19" xfId="35674"/>
    <cellStyle name="Calculation 2 5 3 5 2" xfId="16077"/>
    <cellStyle name="Calculation 2 5 3 5 20" xfId="36613"/>
    <cellStyle name="Calculation 2 5 3 5 3" xfId="17055"/>
    <cellStyle name="Calculation 2 5 3 5 4" xfId="18083"/>
    <cellStyle name="Calculation 2 5 3 5 5" xfId="19115"/>
    <cellStyle name="Calculation 2 5 3 5 6" xfId="20137"/>
    <cellStyle name="Calculation 2 5 3 5 7" xfId="21146"/>
    <cellStyle name="Calculation 2 5 3 5 8" xfId="22120"/>
    <cellStyle name="Calculation 2 5 3 5 9" xfId="23125"/>
    <cellStyle name="Calculation 2 5 3 6" xfId="15200"/>
    <cellStyle name="Calculation 2 5 3 7" xfId="13491"/>
    <cellStyle name="Calculation 2 5 3 8" xfId="15623"/>
    <cellStyle name="Calculation 2 5 3 9" xfId="15496"/>
    <cellStyle name="Calculation 2 5 4" xfId="799"/>
    <cellStyle name="Calculation 2 5 4 10" xfId="14816"/>
    <cellStyle name="Calculation 2 5 4 11" xfId="22902"/>
    <cellStyle name="Calculation 2 5 4 12" xfId="26354"/>
    <cellStyle name="Calculation 2 5 4 13" xfId="25904"/>
    <cellStyle name="Calculation 2 5 4 14" xfId="25885"/>
    <cellStyle name="Calculation 2 5 4 15" xfId="28782"/>
    <cellStyle name="Calculation 2 5 4 16" xfId="27515"/>
    <cellStyle name="Calculation 2 5 4 17" xfId="26263"/>
    <cellStyle name="Calculation 2 5 4 18" xfId="35046"/>
    <cellStyle name="Calculation 2 5 4 19" xfId="35436"/>
    <cellStyle name="Calculation 2 5 4 2" xfId="800"/>
    <cellStyle name="Calculation 2 5 4 2 10" xfId="23126"/>
    <cellStyle name="Calculation 2 5 4 2 11" xfId="24098"/>
    <cellStyle name="Calculation 2 5 4 2 12" xfId="25097"/>
    <cellStyle name="Calculation 2 5 4 2 13" xfId="28042"/>
    <cellStyle name="Calculation 2 5 4 2 14" xfId="29011"/>
    <cellStyle name="Calculation 2 5 4 2 15" xfId="30050"/>
    <cellStyle name="Calculation 2 5 4 2 16" xfId="31043"/>
    <cellStyle name="Calculation 2 5 4 2 17" xfId="32052"/>
    <cellStyle name="Calculation 2 5 4 2 18" xfId="33055"/>
    <cellStyle name="Calculation 2 5 4 2 19" xfId="34054"/>
    <cellStyle name="Calculation 2 5 4 2 2" xfId="801"/>
    <cellStyle name="Calculation 2 5 4 2 2 10" xfId="24099"/>
    <cellStyle name="Calculation 2 5 4 2 2 11" xfId="25098"/>
    <cellStyle name="Calculation 2 5 4 2 2 12" xfId="28043"/>
    <cellStyle name="Calculation 2 5 4 2 2 13" xfId="29012"/>
    <cellStyle name="Calculation 2 5 4 2 2 14" xfId="30051"/>
    <cellStyle name="Calculation 2 5 4 2 2 15" xfId="31044"/>
    <cellStyle name="Calculation 2 5 4 2 2 16" xfId="32053"/>
    <cellStyle name="Calculation 2 5 4 2 2 17" xfId="33056"/>
    <cellStyle name="Calculation 2 5 4 2 2 18" xfId="34055"/>
    <cellStyle name="Calculation 2 5 4 2 2 19" xfId="35676"/>
    <cellStyle name="Calculation 2 5 4 2 2 2" xfId="16079"/>
    <cellStyle name="Calculation 2 5 4 2 2 20" xfId="36615"/>
    <cellStyle name="Calculation 2 5 4 2 2 3" xfId="17057"/>
    <cellStyle name="Calculation 2 5 4 2 2 4" xfId="18085"/>
    <cellStyle name="Calculation 2 5 4 2 2 5" xfId="19117"/>
    <cellStyle name="Calculation 2 5 4 2 2 6" xfId="20139"/>
    <cellStyle name="Calculation 2 5 4 2 2 7" xfId="21148"/>
    <cellStyle name="Calculation 2 5 4 2 2 8" xfId="22122"/>
    <cellStyle name="Calculation 2 5 4 2 2 9" xfId="23127"/>
    <cellStyle name="Calculation 2 5 4 2 20" xfId="35675"/>
    <cellStyle name="Calculation 2 5 4 2 21" xfId="36614"/>
    <cellStyle name="Calculation 2 5 4 2 3" xfId="16078"/>
    <cellStyle name="Calculation 2 5 4 2 4" xfId="17056"/>
    <cellStyle name="Calculation 2 5 4 2 5" xfId="18084"/>
    <cellStyle name="Calculation 2 5 4 2 6" xfId="19116"/>
    <cellStyle name="Calculation 2 5 4 2 7" xfId="20138"/>
    <cellStyle name="Calculation 2 5 4 2 8" xfId="21147"/>
    <cellStyle name="Calculation 2 5 4 2 9" xfId="22121"/>
    <cellStyle name="Calculation 2 5 4 3" xfId="802"/>
    <cellStyle name="Calculation 2 5 4 3 10" xfId="23128"/>
    <cellStyle name="Calculation 2 5 4 3 11" xfId="24100"/>
    <cellStyle name="Calculation 2 5 4 3 12" xfId="25099"/>
    <cellStyle name="Calculation 2 5 4 3 13" xfId="28044"/>
    <cellStyle name="Calculation 2 5 4 3 14" xfId="29013"/>
    <cellStyle name="Calculation 2 5 4 3 15" xfId="30052"/>
    <cellStyle name="Calculation 2 5 4 3 16" xfId="31045"/>
    <cellStyle name="Calculation 2 5 4 3 17" xfId="32054"/>
    <cellStyle name="Calculation 2 5 4 3 18" xfId="33057"/>
    <cellStyle name="Calculation 2 5 4 3 19" xfId="34056"/>
    <cellStyle name="Calculation 2 5 4 3 2" xfId="803"/>
    <cellStyle name="Calculation 2 5 4 3 2 10" xfId="24101"/>
    <cellStyle name="Calculation 2 5 4 3 2 11" xfId="25100"/>
    <cellStyle name="Calculation 2 5 4 3 2 12" xfId="28045"/>
    <cellStyle name="Calculation 2 5 4 3 2 13" xfId="29014"/>
    <cellStyle name="Calculation 2 5 4 3 2 14" xfId="30053"/>
    <cellStyle name="Calculation 2 5 4 3 2 15" xfId="31046"/>
    <cellStyle name="Calculation 2 5 4 3 2 16" xfId="32055"/>
    <cellStyle name="Calculation 2 5 4 3 2 17" xfId="33058"/>
    <cellStyle name="Calculation 2 5 4 3 2 18" xfId="34057"/>
    <cellStyle name="Calculation 2 5 4 3 2 19" xfId="35678"/>
    <cellStyle name="Calculation 2 5 4 3 2 2" xfId="16081"/>
    <cellStyle name="Calculation 2 5 4 3 2 20" xfId="36617"/>
    <cellStyle name="Calculation 2 5 4 3 2 3" xfId="17059"/>
    <cellStyle name="Calculation 2 5 4 3 2 4" xfId="18087"/>
    <cellStyle name="Calculation 2 5 4 3 2 5" xfId="19119"/>
    <cellStyle name="Calculation 2 5 4 3 2 6" xfId="20141"/>
    <cellStyle name="Calculation 2 5 4 3 2 7" xfId="21150"/>
    <cellStyle name="Calculation 2 5 4 3 2 8" xfId="22124"/>
    <cellStyle name="Calculation 2 5 4 3 2 9" xfId="23129"/>
    <cellStyle name="Calculation 2 5 4 3 20" xfId="35677"/>
    <cellStyle name="Calculation 2 5 4 3 21" xfId="36616"/>
    <cellStyle name="Calculation 2 5 4 3 3" xfId="16080"/>
    <cellStyle name="Calculation 2 5 4 3 4" xfId="17058"/>
    <cellStyle name="Calculation 2 5 4 3 5" xfId="18086"/>
    <cellStyle name="Calculation 2 5 4 3 6" xfId="19118"/>
    <cellStyle name="Calculation 2 5 4 3 7" xfId="20140"/>
    <cellStyle name="Calculation 2 5 4 3 8" xfId="21149"/>
    <cellStyle name="Calculation 2 5 4 3 9" xfId="22123"/>
    <cellStyle name="Calculation 2 5 4 4" xfId="804"/>
    <cellStyle name="Calculation 2 5 4 4 10" xfId="23130"/>
    <cellStyle name="Calculation 2 5 4 4 11" xfId="24102"/>
    <cellStyle name="Calculation 2 5 4 4 12" xfId="25101"/>
    <cellStyle name="Calculation 2 5 4 4 13" xfId="28046"/>
    <cellStyle name="Calculation 2 5 4 4 14" xfId="29015"/>
    <cellStyle name="Calculation 2 5 4 4 15" xfId="30054"/>
    <cellStyle name="Calculation 2 5 4 4 16" xfId="31047"/>
    <cellStyle name="Calculation 2 5 4 4 17" xfId="32056"/>
    <cellStyle name="Calculation 2 5 4 4 18" xfId="33059"/>
    <cellStyle name="Calculation 2 5 4 4 19" xfId="34058"/>
    <cellStyle name="Calculation 2 5 4 4 2" xfId="805"/>
    <cellStyle name="Calculation 2 5 4 4 2 10" xfId="24103"/>
    <cellStyle name="Calculation 2 5 4 4 2 11" xfId="25102"/>
    <cellStyle name="Calculation 2 5 4 4 2 12" xfId="28047"/>
    <cellStyle name="Calculation 2 5 4 4 2 13" xfId="29016"/>
    <cellStyle name="Calculation 2 5 4 4 2 14" xfId="30055"/>
    <cellStyle name="Calculation 2 5 4 4 2 15" xfId="31048"/>
    <cellStyle name="Calculation 2 5 4 4 2 16" xfId="32057"/>
    <cellStyle name="Calculation 2 5 4 4 2 17" xfId="33060"/>
    <cellStyle name="Calculation 2 5 4 4 2 18" xfId="34059"/>
    <cellStyle name="Calculation 2 5 4 4 2 19" xfId="35680"/>
    <cellStyle name="Calculation 2 5 4 4 2 2" xfId="16083"/>
    <cellStyle name="Calculation 2 5 4 4 2 20" xfId="36619"/>
    <cellStyle name="Calculation 2 5 4 4 2 3" xfId="17061"/>
    <cellStyle name="Calculation 2 5 4 4 2 4" xfId="18089"/>
    <cellStyle name="Calculation 2 5 4 4 2 5" xfId="19121"/>
    <cellStyle name="Calculation 2 5 4 4 2 6" xfId="20143"/>
    <cellStyle name="Calculation 2 5 4 4 2 7" xfId="21152"/>
    <cellStyle name="Calculation 2 5 4 4 2 8" xfId="22126"/>
    <cellStyle name="Calculation 2 5 4 4 2 9" xfId="23131"/>
    <cellStyle name="Calculation 2 5 4 4 20" xfId="35679"/>
    <cellStyle name="Calculation 2 5 4 4 21" xfId="36618"/>
    <cellStyle name="Calculation 2 5 4 4 3" xfId="16082"/>
    <cellStyle name="Calculation 2 5 4 4 4" xfId="17060"/>
    <cellStyle name="Calculation 2 5 4 4 5" xfId="18088"/>
    <cellStyle name="Calculation 2 5 4 4 6" xfId="19120"/>
    <cellStyle name="Calculation 2 5 4 4 7" xfId="20142"/>
    <cellStyle name="Calculation 2 5 4 4 8" xfId="21151"/>
    <cellStyle name="Calculation 2 5 4 4 9" xfId="22125"/>
    <cellStyle name="Calculation 2 5 4 5" xfId="806"/>
    <cellStyle name="Calculation 2 5 4 5 10" xfId="24104"/>
    <cellStyle name="Calculation 2 5 4 5 11" xfId="25103"/>
    <cellStyle name="Calculation 2 5 4 5 12" xfId="28048"/>
    <cellStyle name="Calculation 2 5 4 5 13" xfId="29017"/>
    <cellStyle name="Calculation 2 5 4 5 14" xfId="30056"/>
    <cellStyle name="Calculation 2 5 4 5 15" xfId="31049"/>
    <cellStyle name="Calculation 2 5 4 5 16" xfId="32058"/>
    <cellStyle name="Calculation 2 5 4 5 17" xfId="33061"/>
    <cellStyle name="Calculation 2 5 4 5 18" xfId="34060"/>
    <cellStyle name="Calculation 2 5 4 5 19" xfId="35681"/>
    <cellStyle name="Calculation 2 5 4 5 2" xfId="16084"/>
    <cellStyle name="Calculation 2 5 4 5 20" xfId="36620"/>
    <cellStyle name="Calculation 2 5 4 5 3" xfId="17062"/>
    <cellStyle name="Calculation 2 5 4 5 4" xfId="18090"/>
    <cellStyle name="Calculation 2 5 4 5 5" xfId="19122"/>
    <cellStyle name="Calculation 2 5 4 5 6" xfId="20144"/>
    <cellStyle name="Calculation 2 5 4 5 7" xfId="21153"/>
    <cellStyle name="Calculation 2 5 4 5 8" xfId="22127"/>
    <cellStyle name="Calculation 2 5 4 5 9" xfId="23132"/>
    <cellStyle name="Calculation 2 5 4 6" xfId="15197"/>
    <cellStyle name="Calculation 2 5 4 7" xfId="13661"/>
    <cellStyle name="Calculation 2 5 4 8" xfId="15344"/>
    <cellStyle name="Calculation 2 5 4 9" xfId="14947"/>
    <cellStyle name="Calculation 2 5 5" xfId="807"/>
    <cellStyle name="Calculation 2 5 5 10" xfId="17846"/>
    <cellStyle name="Calculation 2 5 5 11" xfId="14740"/>
    <cellStyle name="Calculation 2 5 5 12" xfId="26449"/>
    <cellStyle name="Calculation 2 5 5 13" xfId="27083"/>
    <cellStyle name="Calculation 2 5 5 14" xfId="26165"/>
    <cellStyle name="Calculation 2 5 5 15" xfId="26553"/>
    <cellStyle name="Calculation 2 5 5 16" xfId="26935"/>
    <cellStyle name="Calculation 2 5 5 17" xfId="27442"/>
    <cellStyle name="Calculation 2 5 5 18" xfId="35132"/>
    <cellStyle name="Calculation 2 5 5 19" xfId="35238"/>
    <cellStyle name="Calculation 2 5 5 2" xfId="808"/>
    <cellStyle name="Calculation 2 5 5 2 10" xfId="23133"/>
    <cellStyle name="Calculation 2 5 5 2 11" xfId="24105"/>
    <cellStyle name="Calculation 2 5 5 2 12" xfId="25104"/>
    <cellStyle name="Calculation 2 5 5 2 13" xfId="28049"/>
    <cellStyle name="Calculation 2 5 5 2 14" xfId="29018"/>
    <cellStyle name="Calculation 2 5 5 2 15" xfId="30057"/>
    <cellStyle name="Calculation 2 5 5 2 16" xfId="31050"/>
    <cellStyle name="Calculation 2 5 5 2 17" xfId="32059"/>
    <cellStyle name="Calculation 2 5 5 2 18" xfId="33062"/>
    <cellStyle name="Calculation 2 5 5 2 19" xfId="34061"/>
    <cellStyle name="Calculation 2 5 5 2 2" xfId="809"/>
    <cellStyle name="Calculation 2 5 5 2 2 10" xfId="24106"/>
    <cellStyle name="Calculation 2 5 5 2 2 11" xfId="25105"/>
    <cellStyle name="Calculation 2 5 5 2 2 12" xfId="28050"/>
    <cellStyle name="Calculation 2 5 5 2 2 13" xfId="29019"/>
    <cellStyle name="Calculation 2 5 5 2 2 14" xfId="30058"/>
    <cellStyle name="Calculation 2 5 5 2 2 15" xfId="31051"/>
    <cellStyle name="Calculation 2 5 5 2 2 16" xfId="32060"/>
    <cellStyle name="Calculation 2 5 5 2 2 17" xfId="33063"/>
    <cellStyle name="Calculation 2 5 5 2 2 18" xfId="34062"/>
    <cellStyle name="Calculation 2 5 5 2 2 19" xfId="35683"/>
    <cellStyle name="Calculation 2 5 5 2 2 2" xfId="16086"/>
    <cellStyle name="Calculation 2 5 5 2 2 20" xfId="36622"/>
    <cellStyle name="Calculation 2 5 5 2 2 3" xfId="17064"/>
    <cellStyle name="Calculation 2 5 5 2 2 4" xfId="18092"/>
    <cellStyle name="Calculation 2 5 5 2 2 5" xfId="19124"/>
    <cellStyle name="Calculation 2 5 5 2 2 6" xfId="20146"/>
    <cellStyle name="Calculation 2 5 5 2 2 7" xfId="21155"/>
    <cellStyle name="Calculation 2 5 5 2 2 8" xfId="22129"/>
    <cellStyle name="Calculation 2 5 5 2 2 9" xfId="23134"/>
    <cellStyle name="Calculation 2 5 5 2 20" xfId="35682"/>
    <cellStyle name="Calculation 2 5 5 2 21" xfId="36621"/>
    <cellStyle name="Calculation 2 5 5 2 3" xfId="16085"/>
    <cellStyle name="Calculation 2 5 5 2 4" xfId="17063"/>
    <cellStyle name="Calculation 2 5 5 2 5" xfId="18091"/>
    <cellStyle name="Calculation 2 5 5 2 6" xfId="19123"/>
    <cellStyle name="Calculation 2 5 5 2 7" xfId="20145"/>
    <cellStyle name="Calculation 2 5 5 2 8" xfId="21154"/>
    <cellStyle name="Calculation 2 5 5 2 9" xfId="22128"/>
    <cellStyle name="Calculation 2 5 5 3" xfId="810"/>
    <cellStyle name="Calculation 2 5 5 3 10" xfId="23135"/>
    <cellStyle name="Calculation 2 5 5 3 11" xfId="24107"/>
    <cellStyle name="Calculation 2 5 5 3 12" xfId="25106"/>
    <cellStyle name="Calculation 2 5 5 3 13" xfId="28051"/>
    <cellStyle name="Calculation 2 5 5 3 14" xfId="29020"/>
    <cellStyle name="Calculation 2 5 5 3 15" xfId="30059"/>
    <cellStyle name="Calculation 2 5 5 3 16" xfId="31052"/>
    <cellStyle name="Calculation 2 5 5 3 17" xfId="32061"/>
    <cellStyle name="Calculation 2 5 5 3 18" xfId="33064"/>
    <cellStyle name="Calculation 2 5 5 3 19" xfId="34063"/>
    <cellStyle name="Calculation 2 5 5 3 2" xfId="811"/>
    <cellStyle name="Calculation 2 5 5 3 2 10" xfId="24108"/>
    <cellStyle name="Calculation 2 5 5 3 2 11" xfId="25107"/>
    <cellStyle name="Calculation 2 5 5 3 2 12" xfId="28052"/>
    <cellStyle name="Calculation 2 5 5 3 2 13" xfId="29021"/>
    <cellStyle name="Calculation 2 5 5 3 2 14" xfId="30060"/>
    <cellStyle name="Calculation 2 5 5 3 2 15" xfId="31053"/>
    <cellStyle name="Calculation 2 5 5 3 2 16" xfId="32062"/>
    <cellStyle name="Calculation 2 5 5 3 2 17" xfId="33065"/>
    <cellStyle name="Calculation 2 5 5 3 2 18" xfId="34064"/>
    <cellStyle name="Calculation 2 5 5 3 2 19" xfId="35685"/>
    <cellStyle name="Calculation 2 5 5 3 2 2" xfId="16088"/>
    <cellStyle name="Calculation 2 5 5 3 2 20" xfId="36624"/>
    <cellStyle name="Calculation 2 5 5 3 2 3" xfId="17066"/>
    <cellStyle name="Calculation 2 5 5 3 2 4" xfId="18094"/>
    <cellStyle name="Calculation 2 5 5 3 2 5" xfId="19126"/>
    <cellStyle name="Calculation 2 5 5 3 2 6" xfId="20148"/>
    <cellStyle name="Calculation 2 5 5 3 2 7" xfId="21157"/>
    <cellStyle name="Calculation 2 5 5 3 2 8" xfId="22131"/>
    <cellStyle name="Calculation 2 5 5 3 2 9" xfId="23136"/>
    <cellStyle name="Calculation 2 5 5 3 20" xfId="35684"/>
    <cellStyle name="Calculation 2 5 5 3 21" xfId="36623"/>
    <cellStyle name="Calculation 2 5 5 3 3" xfId="16087"/>
    <cellStyle name="Calculation 2 5 5 3 4" xfId="17065"/>
    <cellStyle name="Calculation 2 5 5 3 5" xfId="18093"/>
    <cellStyle name="Calculation 2 5 5 3 6" xfId="19125"/>
    <cellStyle name="Calculation 2 5 5 3 7" xfId="20147"/>
    <cellStyle name="Calculation 2 5 5 3 8" xfId="21156"/>
    <cellStyle name="Calculation 2 5 5 3 9" xfId="22130"/>
    <cellStyle name="Calculation 2 5 5 4" xfId="812"/>
    <cellStyle name="Calculation 2 5 5 4 10" xfId="23137"/>
    <cellStyle name="Calculation 2 5 5 4 11" xfId="24109"/>
    <cellStyle name="Calculation 2 5 5 4 12" xfId="25108"/>
    <cellStyle name="Calculation 2 5 5 4 13" xfId="28053"/>
    <cellStyle name="Calculation 2 5 5 4 14" xfId="29022"/>
    <cellStyle name="Calculation 2 5 5 4 15" xfId="30061"/>
    <cellStyle name="Calculation 2 5 5 4 16" xfId="31054"/>
    <cellStyle name="Calculation 2 5 5 4 17" xfId="32063"/>
    <cellStyle name="Calculation 2 5 5 4 18" xfId="33066"/>
    <cellStyle name="Calculation 2 5 5 4 19" xfId="34065"/>
    <cellStyle name="Calculation 2 5 5 4 2" xfId="813"/>
    <cellStyle name="Calculation 2 5 5 4 2 10" xfId="24110"/>
    <cellStyle name="Calculation 2 5 5 4 2 11" xfId="25109"/>
    <cellStyle name="Calculation 2 5 5 4 2 12" xfId="28054"/>
    <cellStyle name="Calculation 2 5 5 4 2 13" xfId="29023"/>
    <cellStyle name="Calculation 2 5 5 4 2 14" xfId="30062"/>
    <cellStyle name="Calculation 2 5 5 4 2 15" xfId="31055"/>
    <cellStyle name="Calculation 2 5 5 4 2 16" xfId="32064"/>
    <cellStyle name="Calculation 2 5 5 4 2 17" xfId="33067"/>
    <cellStyle name="Calculation 2 5 5 4 2 18" xfId="34066"/>
    <cellStyle name="Calculation 2 5 5 4 2 19" xfId="35687"/>
    <cellStyle name="Calculation 2 5 5 4 2 2" xfId="16090"/>
    <cellStyle name="Calculation 2 5 5 4 2 20" xfId="36626"/>
    <cellStyle name="Calculation 2 5 5 4 2 3" xfId="17068"/>
    <cellStyle name="Calculation 2 5 5 4 2 4" xfId="18096"/>
    <cellStyle name="Calculation 2 5 5 4 2 5" xfId="19128"/>
    <cellStyle name="Calculation 2 5 5 4 2 6" xfId="20150"/>
    <cellStyle name="Calculation 2 5 5 4 2 7" xfId="21159"/>
    <cellStyle name="Calculation 2 5 5 4 2 8" xfId="22133"/>
    <cellStyle name="Calculation 2 5 5 4 2 9" xfId="23138"/>
    <cellStyle name="Calculation 2 5 5 4 20" xfId="35686"/>
    <cellStyle name="Calculation 2 5 5 4 21" xfId="36625"/>
    <cellStyle name="Calculation 2 5 5 4 3" xfId="16089"/>
    <cellStyle name="Calculation 2 5 5 4 4" xfId="17067"/>
    <cellStyle name="Calculation 2 5 5 4 5" xfId="18095"/>
    <cellStyle name="Calculation 2 5 5 4 6" xfId="19127"/>
    <cellStyle name="Calculation 2 5 5 4 7" xfId="20149"/>
    <cellStyle name="Calculation 2 5 5 4 8" xfId="21158"/>
    <cellStyle name="Calculation 2 5 5 4 9" xfId="22132"/>
    <cellStyle name="Calculation 2 5 5 5" xfId="814"/>
    <cellStyle name="Calculation 2 5 5 5 10" xfId="24111"/>
    <cellStyle name="Calculation 2 5 5 5 11" xfId="25110"/>
    <cellStyle name="Calculation 2 5 5 5 12" xfId="28055"/>
    <cellStyle name="Calculation 2 5 5 5 13" xfId="29024"/>
    <cellStyle name="Calculation 2 5 5 5 14" xfId="30063"/>
    <cellStyle name="Calculation 2 5 5 5 15" xfId="31056"/>
    <cellStyle name="Calculation 2 5 5 5 16" xfId="32065"/>
    <cellStyle name="Calculation 2 5 5 5 17" xfId="33068"/>
    <cellStyle name="Calculation 2 5 5 5 18" xfId="34067"/>
    <cellStyle name="Calculation 2 5 5 5 19" xfId="35688"/>
    <cellStyle name="Calculation 2 5 5 5 2" xfId="16091"/>
    <cellStyle name="Calculation 2 5 5 5 20" xfId="36627"/>
    <cellStyle name="Calculation 2 5 5 5 3" xfId="17069"/>
    <cellStyle name="Calculation 2 5 5 5 4" xfId="18097"/>
    <cellStyle name="Calculation 2 5 5 5 5" xfId="19129"/>
    <cellStyle name="Calculation 2 5 5 5 6" xfId="20151"/>
    <cellStyle name="Calculation 2 5 5 5 7" xfId="21160"/>
    <cellStyle name="Calculation 2 5 5 5 8" xfId="22134"/>
    <cellStyle name="Calculation 2 5 5 5 9" xfId="23139"/>
    <cellStyle name="Calculation 2 5 5 6" xfId="14426"/>
    <cellStyle name="Calculation 2 5 5 7" xfId="15387"/>
    <cellStyle name="Calculation 2 5 5 8" xfId="14660"/>
    <cellStyle name="Calculation 2 5 5 9" xfId="14125"/>
    <cellStyle name="Calculation 2 5 6" xfId="815"/>
    <cellStyle name="Calculation 2 5 6 10" xfId="23140"/>
    <cellStyle name="Calculation 2 5 6 11" xfId="24112"/>
    <cellStyle name="Calculation 2 5 6 12" xfId="25111"/>
    <cellStyle name="Calculation 2 5 6 13" xfId="28056"/>
    <cellStyle name="Calculation 2 5 6 14" xfId="29025"/>
    <cellStyle name="Calculation 2 5 6 15" xfId="30064"/>
    <cellStyle name="Calculation 2 5 6 16" xfId="31057"/>
    <cellStyle name="Calculation 2 5 6 17" xfId="32066"/>
    <cellStyle name="Calculation 2 5 6 18" xfId="33069"/>
    <cellStyle name="Calculation 2 5 6 19" xfId="34068"/>
    <cellStyle name="Calculation 2 5 6 2" xfId="816"/>
    <cellStyle name="Calculation 2 5 6 2 10" xfId="24113"/>
    <cellStyle name="Calculation 2 5 6 2 11" xfId="25112"/>
    <cellStyle name="Calculation 2 5 6 2 12" xfId="28057"/>
    <cellStyle name="Calculation 2 5 6 2 13" xfId="29026"/>
    <cellStyle name="Calculation 2 5 6 2 14" xfId="30065"/>
    <cellStyle name="Calculation 2 5 6 2 15" xfId="31058"/>
    <cellStyle name="Calculation 2 5 6 2 16" xfId="32067"/>
    <cellStyle name="Calculation 2 5 6 2 17" xfId="33070"/>
    <cellStyle name="Calculation 2 5 6 2 18" xfId="34069"/>
    <cellStyle name="Calculation 2 5 6 2 19" xfId="35690"/>
    <cellStyle name="Calculation 2 5 6 2 2" xfId="16093"/>
    <cellStyle name="Calculation 2 5 6 2 20" xfId="36629"/>
    <cellStyle name="Calculation 2 5 6 2 3" xfId="17071"/>
    <cellStyle name="Calculation 2 5 6 2 4" xfId="18099"/>
    <cellStyle name="Calculation 2 5 6 2 5" xfId="19131"/>
    <cellStyle name="Calculation 2 5 6 2 6" xfId="20153"/>
    <cellStyle name="Calculation 2 5 6 2 7" xfId="21162"/>
    <cellStyle name="Calculation 2 5 6 2 8" xfId="22136"/>
    <cellStyle name="Calculation 2 5 6 2 9" xfId="23141"/>
    <cellStyle name="Calculation 2 5 6 20" xfId="35689"/>
    <cellStyle name="Calculation 2 5 6 21" xfId="36628"/>
    <cellStyle name="Calculation 2 5 6 3" xfId="16092"/>
    <cellStyle name="Calculation 2 5 6 4" xfId="17070"/>
    <cellStyle name="Calculation 2 5 6 5" xfId="18098"/>
    <cellStyle name="Calculation 2 5 6 6" xfId="19130"/>
    <cellStyle name="Calculation 2 5 6 7" xfId="20152"/>
    <cellStyle name="Calculation 2 5 6 8" xfId="21161"/>
    <cellStyle name="Calculation 2 5 6 9" xfId="22135"/>
    <cellStyle name="Calculation 2 5 7" xfId="817"/>
    <cellStyle name="Calculation 2 5 7 10" xfId="23142"/>
    <cellStyle name="Calculation 2 5 7 11" xfId="24114"/>
    <cellStyle name="Calculation 2 5 7 12" xfId="25113"/>
    <cellStyle name="Calculation 2 5 7 13" xfId="28058"/>
    <cellStyle name="Calculation 2 5 7 14" xfId="29027"/>
    <cellStyle name="Calculation 2 5 7 15" xfId="30066"/>
    <cellStyle name="Calculation 2 5 7 16" xfId="31059"/>
    <cellStyle name="Calculation 2 5 7 17" xfId="32068"/>
    <cellStyle name="Calculation 2 5 7 18" xfId="33071"/>
    <cellStyle name="Calculation 2 5 7 19" xfId="34070"/>
    <cellStyle name="Calculation 2 5 7 2" xfId="818"/>
    <cellStyle name="Calculation 2 5 7 2 10" xfId="24115"/>
    <cellStyle name="Calculation 2 5 7 2 11" xfId="25114"/>
    <cellStyle name="Calculation 2 5 7 2 12" xfId="28059"/>
    <cellStyle name="Calculation 2 5 7 2 13" xfId="29028"/>
    <cellStyle name="Calculation 2 5 7 2 14" xfId="30067"/>
    <cellStyle name="Calculation 2 5 7 2 15" xfId="31060"/>
    <cellStyle name="Calculation 2 5 7 2 16" xfId="32069"/>
    <cellStyle name="Calculation 2 5 7 2 17" xfId="33072"/>
    <cellStyle name="Calculation 2 5 7 2 18" xfId="34071"/>
    <cellStyle name="Calculation 2 5 7 2 19" xfId="35692"/>
    <cellStyle name="Calculation 2 5 7 2 2" xfId="16095"/>
    <cellStyle name="Calculation 2 5 7 2 20" xfId="36631"/>
    <cellStyle name="Calculation 2 5 7 2 3" xfId="17073"/>
    <cellStyle name="Calculation 2 5 7 2 4" xfId="18101"/>
    <cellStyle name="Calculation 2 5 7 2 5" xfId="19133"/>
    <cellStyle name="Calculation 2 5 7 2 6" xfId="20155"/>
    <cellStyle name="Calculation 2 5 7 2 7" xfId="21164"/>
    <cellStyle name="Calculation 2 5 7 2 8" xfId="22138"/>
    <cellStyle name="Calculation 2 5 7 2 9" xfId="23143"/>
    <cellStyle name="Calculation 2 5 7 20" xfId="35691"/>
    <cellStyle name="Calculation 2 5 7 21" xfId="36630"/>
    <cellStyle name="Calculation 2 5 7 3" xfId="16094"/>
    <cellStyle name="Calculation 2 5 7 4" xfId="17072"/>
    <cellStyle name="Calculation 2 5 7 5" xfId="18100"/>
    <cellStyle name="Calculation 2 5 7 6" xfId="19132"/>
    <cellStyle name="Calculation 2 5 7 7" xfId="20154"/>
    <cellStyle name="Calculation 2 5 7 8" xfId="21163"/>
    <cellStyle name="Calculation 2 5 7 9" xfId="22137"/>
    <cellStyle name="Calculation 2 5 8" xfId="819"/>
    <cellStyle name="Calculation 2 5 8 10" xfId="23144"/>
    <cellStyle name="Calculation 2 5 8 11" xfId="24116"/>
    <cellStyle name="Calculation 2 5 8 12" xfId="25115"/>
    <cellStyle name="Calculation 2 5 8 13" xfId="28060"/>
    <cellStyle name="Calculation 2 5 8 14" xfId="29029"/>
    <cellStyle name="Calculation 2 5 8 15" xfId="30068"/>
    <cellStyle name="Calculation 2 5 8 16" xfId="31061"/>
    <cellStyle name="Calculation 2 5 8 17" xfId="32070"/>
    <cellStyle name="Calculation 2 5 8 18" xfId="33073"/>
    <cellStyle name="Calculation 2 5 8 19" xfId="34072"/>
    <cellStyle name="Calculation 2 5 8 2" xfId="820"/>
    <cellStyle name="Calculation 2 5 8 2 10" xfId="24117"/>
    <cellStyle name="Calculation 2 5 8 2 11" xfId="25116"/>
    <cellStyle name="Calculation 2 5 8 2 12" xfId="28061"/>
    <cellStyle name="Calculation 2 5 8 2 13" xfId="29030"/>
    <cellStyle name="Calculation 2 5 8 2 14" xfId="30069"/>
    <cellStyle name="Calculation 2 5 8 2 15" xfId="31062"/>
    <cellStyle name="Calculation 2 5 8 2 16" xfId="32071"/>
    <cellStyle name="Calculation 2 5 8 2 17" xfId="33074"/>
    <cellStyle name="Calculation 2 5 8 2 18" xfId="34073"/>
    <cellStyle name="Calculation 2 5 8 2 19" xfId="35694"/>
    <cellStyle name="Calculation 2 5 8 2 2" xfId="16097"/>
    <cellStyle name="Calculation 2 5 8 2 20" xfId="36633"/>
    <cellStyle name="Calculation 2 5 8 2 3" xfId="17075"/>
    <cellStyle name="Calculation 2 5 8 2 4" xfId="18103"/>
    <cellStyle name="Calculation 2 5 8 2 5" xfId="19135"/>
    <cellStyle name="Calculation 2 5 8 2 6" xfId="20157"/>
    <cellStyle name="Calculation 2 5 8 2 7" xfId="21166"/>
    <cellStyle name="Calculation 2 5 8 2 8" xfId="22140"/>
    <cellStyle name="Calculation 2 5 8 2 9" xfId="23145"/>
    <cellStyle name="Calculation 2 5 8 20" xfId="35693"/>
    <cellStyle name="Calculation 2 5 8 21" xfId="36632"/>
    <cellStyle name="Calculation 2 5 8 3" xfId="16096"/>
    <cellStyle name="Calculation 2 5 8 4" xfId="17074"/>
    <cellStyle name="Calculation 2 5 8 5" xfId="18102"/>
    <cellStyle name="Calculation 2 5 8 6" xfId="19134"/>
    <cellStyle name="Calculation 2 5 8 7" xfId="20156"/>
    <cellStyle name="Calculation 2 5 8 8" xfId="21165"/>
    <cellStyle name="Calculation 2 5 8 9" xfId="22139"/>
    <cellStyle name="Calculation 2 5 9" xfId="821"/>
    <cellStyle name="Calculation 2 5 9 10" xfId="24118"/>
    <cellStyle name="Calculation 2 5 9 11" xfId="25117"/>
    <cellStyle name="Calculation 2 5 9 12" xfId="28062"/>
    <cellStyle name="Calculation 2 5 9 13" xfId="29031"/>
    <cellStyle name="Calculation 2 5 9 14" xfId="30070"/>
    <cellStyle name="Calculation 2 5 9 15" xfId="31063"/>
    <cellStyle name="Calculation 2 5 9 16" xfId="32072"/>
    <cellStyle name="Calculation 2 5 9 17" xfId="33075"/>
    <cellStyle name="Calculation 2 5 9 18" xfId="34074"/>
    <cellStyle name="Calculation 2 5 9 19" xfId="35695"/>
    <cellStyle name="Calculation 2 5 9 2" xfId="16098"/>
    <cellStyle name="Calculation 2 5 9 20" xfId="36634"/>
    <cellStyle name="Calculation 2 5 9 3" xfId="17076"/>
    <cellStyle name="Calculation 2 5 9 4" xfId="18104"/>
    <cellStyle name="Calculation 2 5 9 5" xfId="19136"/>
    <cellStyle name="Calculation 2 5 9 6" xfId="20158"/>
    <cellStyle name="Calculation 2 5 9 7" xfId="21167"/>
    <cellStyle name="Calculation 2 5 9 8" xfId="22141"/>
    <cellStyle name="Calculation 2 5 9 9" xfId="23146"/>
    <cellStyle name="Calculation 2 6" xfId="822"/>
    <cellStyle name="Calculation 2 6 10" xfId="13522"/>
    <cellStyle name="Calculation 2 6 11" xfId="13397"/>
    <cellStyle name="Calculation 2 6 12" xfId="15498"/>
    <cellStyle name="Calculation 2 6 13" xfId="15752"/>
    <cellStyle name="Calculation 2 6 14" xfId="14098"/>
    <cellStyle name="Calculation 2 6 15" xfId="14282"/>
    <cellStyle name="Calculation 2 6 16" xfId="26508"/>
    <cellStyle name="Calculation 2 6 17" xfId="27664"/>
    <cellStyle name="Calculation 2 6 18" xfId="26578"/>
    <cellStyle name="Calculation 2 6 19" xfId="27008"/>
    <cellStyle name="Calculation 2 6 2" xfId="823"/>
    <cellStyle name="Calculation 2 6 2 10" xfId="23147"/>
    <cellStyle name="Calculation 2 6 2 11" xfId="24119"/>
    <cellStyle name="Calculation 2 6 2 12" xfId="25118"/>
    <cellStyle name="Calculation 2 6 2 13" xfId="28063"/>
    <cellStyle name="Calculation 2 6 2 14" xfId="29032"/>
    <cellStyle name="Calculation 2 6 2 15" xfId="30071"/>
    <cellStyle name="Calculation 2 6 2 16" xfId="31064"/>
    <cellStyle name="Calculation 2 6 2 17" xfId="32073"/>
    <cellStyle name="Calculation 2 6 2 18" xfId="33076"/>
    <cellStyle name="Calculation 2 6 2 19" xfId="34075"/>
    <cellStyle name="Calculation 2 6 2 2" xfId="824"/>
    <cellStyle name="Calculation 2 6 2 2 10" xfId="24120"/>
    <cellStyle name="Calculation 2 6 2 2 11" xfId="25119"/>
    <cellStyle name="Calculation 2 6 2 2 12" xfId="28064"/>
    <cellStyle name="Calculation 2 6 2 2 13" xfId="29033"/>
    <cellStyle name="Calculation 2 6 2 2 14" xfId="30072"/>
    <cellStyle name="Calculation 2 6 2 2 15" xfId="31065"/>
    <cellStyle name="Calculation 2 6 2 2 16" xfId="32074"/>
    <cellStyle name="Calculation 2 6 2 2 17" xfId="33077"/>
    <cellStyle name="Calculation 2 6 2 2 18" xfId="34076"/>
    <cellStyle name="Calculation 2 6 2 2 19" xfId="35697"/>
    <cellStyle name="Calculation 2 6 2 2 2" xfId="16100"/>
    <cellStyle name="Calculation 2 6 2 2 20" xfId="36636"/>
    <cellStyle name="Calculation 2 6 2 2 3" xfId="17078"/>
    <cellStyle name="Calculation 2 6 2 2 4" xfId="18106"/>
    <cellStyle name="Calculation 2 6 2 2 5" xfId="19138"/>
    <cellStyle name="Calculation 2 6 2 2 6" xfId="20160"/>
    <cellStyle name="Calculation 2 6 2 2 7" xfId="21169"/>
    <cellStyle name="Calculation 2 6 2 2 8" xfId="22143"/>
    <cellStyle name="Calculation 2 6 2 2 9" xfId="23148"/>
    <cellStyle name="Calculation 2 6 2 20" xfId="35696"/>
    <cellStyle name="Calculation 2 6 2 21" xfId="36635"/>
    <cellStyle name="Calculation 2 6 2 3" xfId="16099"/>
    <cellStyle name="Calculation 2 6 2 4" xfId="17077"/>
    <cellStyle name="Calculation 2 6 2 5" xfId="18105"/>
    <cellStyle name="Calculation 2 6 2 6" xfId="19137"/>
    <cellStyle name="Calculation 2 6 2 7" xfId="20159"/>
    <cellStyle name="Calculation 2 6 2 8" xfId="21168"/>
    <cellStyle name="Calculation 2 6 2 9" xfId="22142"/>
    <cellStyle name="Calculation 2 6 20" xfId="26833"/>
    <cellStyle name="Calculation 2 6 21" xfId="27605"/>
    <cellStyle name="Calculation 2 6 22" xfId="26984"/>
    <cellStyle name="Calculation 2 6 23" xfId="35179"/>
    <cellStyle name="Calculation 2 6 24" xfId="35387"/>
    <cellStyle name="Calculation 2 6 3" xfId="825"/>
    <cellStyle name="Calculation 2 6 3 10" xfId="23149"/>
    <cellStyle name="Calculation 2 6 3 11" xfId="24121"/>
    <cellStyle name="Calculation 2 6 3 12" xfId="25120"/>
    <cellStyle name="Calculation 2 6 3 13" xfId="28065"/>
    <cellStyle name="Calculation 2 6 3 14" xfId="29034"/>
    <cellStyle name="Calculation 2 6 3 15" xfId="30073"/>
    <cellStyle name="Calculation 2 6 3 16" xfId="31066"/>
    <cellStyle name="Calculation 2 6 3 17" xfId="32075"/>
    <cellStyle name="Calculation 2 6 3 18" xfId="33078"/>
    <cellStyle name="Calculation 2 6 3 19" xfId="34077"/>
    <cellStyle name="Calculation 2 6 3 2" xfId="826"/>
    <cellStyle name="Calculation 2 6 3 2 10" xfId="24122"/>
    <cellStyle name="Calculation 2 6 3 2 11" xfId="25121"/>
    <cellStyle name="Calculation 2 6 3 2 12" xfId="28066"/>
    <cellStyle name="Calculation 2 6 3 2 13" xfId="29035"/>
    <cellStyle name="Calculation 2 6 3 2 14" xfId="30074"/>
    <cellStyle name="Calculation 2 6 3 2 15" xfId="31067"/>
    <cellStyle name="Calculation 2 6 3 2 16" xfId="32076"/>
    <cellStyle name="Calculation 2 6 3 2 17" xfId="33079"/>
    <cellStyle name="Calculation 2 6 3 2 18" xfId="34078"/>
    <cellStyle name="Calculation 2 6 3 2 19" xfId="35699"/>
    <cellStyle name="Calculation 2 6 3 2 2" xfId="16102"/>
    <cellStyle name="Calculation 2 6 3 2 20" xfId="36638"/>
    <cellStyle name="Calculation 2 6 3 2 3" xfId="17080"/>
    <cellStyle name="Calculation 2 6 3 2 4" xfId="18108"/>
    <cellStyle name="Calculation 2 6 3 2 5" xfId="19140"/>
    <cellStyle name="Calculation 2 6 3 2 6" xfId="20162"/>
    <cellStyle name="Calculation 2 6 3 2 7" xfId="21171"/>
    <cellStyle name="Calculation 2 6 3 2 8" xfId="22145"/>
    <cellStyle name="Calculation 2 6 3 2 9" xfId="23150"/>
    <cellStyle name="Calculation 2 6 3 20" xfId="35698"/>
    <cellStyle name="Calculation 2 6 3 21" xfId="36637"/>
    <cellStyle name="Calculation 2 6 3 3" xfId="16101"/>
    <cellStyle name="Calculation 2 6 3 4" xfId="17079"/>
    <cellStyle name="Calculation 2 6 3 5" xfId="18107"/>
    <cellStyle name="Calculation 2 6 3 6" xfId="19139"/>
    <cellStyle name="Calculation 2 6 3 7" xfId="20161"/>
    <cellStyle name="Calculation 2 6 3 8" xfId="21170"/>
    <cellStyle name="Calculation 2 6 3 9" xfId="22144"/>
    <cellStyle name="Calculation 2 6 4" xfId="827"/>
    <cellStyle name="Calculation 2 6 4 10" xfId="23151"/>
    <cellStyle name="Calculation 2 6 4 11" xfId="24123"/>
    <cellStyle name="Calculation 2 6 4 12" xfId="25122"/>
    <cellStyle name="Calculation 2 6 4 13" xfId="28067"/>
    <cellStyle name="Calculation 2 6 4 14" xfId="29036"/>
    <cellStyle name="Calculation 2 6 4 15" xfId="30075"/>
    <cellStyle name="Calculation 2 6 4 16" xfId="31068"/>
    <cellStyle name="Calculation 2 6 4 17" xfId="32077"/>
    <cellStyle name="Calculation 2 6 4 18" xfId="33080"/>
    <cellStyle name="Calculation 2 6 4 19" xfId="34079"/>
    <cellStyle name="Calculation 2 6 4 2" xfId="828"/>
    <cellStyle name="Calculation 2 6 4 2 10" xfId="24124"/>
    <cellStyle name="Calculation 2 6 4 2 11" xfId="25123"/>
    <cellStyle name="Calculation 2 6 4 2 12" xfId="28068"/>
    <cellStyle name="Calculation 2 6 4 2 13" xfId="29037"/>
    <cellStyle name="Calculation 2 6 4 2 14" xfId="30076"/>
    <cellStyle name="Calculation 2 6 4 2 15" xfId="31069"/>
    <cellStyle name="Calculation 2 6 4 2 16" xfId="32078"/>
    <cellStyle name="Calculation 2 6 4 2 17" xfId="33081"/>
    <cellStyle name="Calculation 2 6 4 2 18" xfId="34080"/>
    <cellStyle name="Calculation 2 6 4 2 19" xfId="35701"/>
    <cellStyle name="Calculation 2 6 4 2 2" xfId="16104"/>
    <cellStyle name="Calculation 2 6 4 2 20" xfId="36640"/>
    <cellStyle name="Calculation 2 6 4 2 3" xfId="17082"/>
    <cellStyle name="Calculation 2 6 4 2 4" xfId="18110"/>
    <cellStyle name="Calculation 2 6 4 2 5" xfId="19142"/>
    <cellStyle name="Calculation 2 6 4 2 6" xfId="20164"/>
    <cellStyle name="Calculation 2 6 4 2 7" xfId="21173"/>
    <cellStyle name="Calculation 2 6 4 2 8" xfId="22147"/>
    <cellStyle name="Calculation 2 6 4 2 9" xfId="23152"/>
    <cellStyle name="Calculation 2 6 4 20" xfId="35700"/>
    <cellStyle name="Calculation 2 6 4 21" xfId="36639"/>
    <cellStyle name="Calculation 2 6 4 3" xfId="16103"/>
    <cellStyle name="Calculation 2 6 4 4" xfId="17081"/>
    <cellStyle name="Calculation 2 6 4 5" xfId="18109"/>
    <cellStyle name="Calculation 2 6 4 6" xfId="19141"/>
    <cellStyle name="Calculation 2 6 4 7" xfId="20163"/>
    <cellStyle name="Calculation 2 6 4 8" xfId="21172"/>
    <cellStyle name="Calculation 2 6 4 9" xfId="22146"/>
    <cellStyle name="Calculation 2 6 5" xfId="829"/>
    <cellStyle name="Calculation 2 6 5 10" xfId="24125"/>
    <cellStyle name="Calculation 2 6 5 11" xfId="25124"/>
    <cellStyle name="Calculation 2 6 5 12" xfId="28069"/>
    <cellStyle name="Calculation 2 6 5 13" xfId="29038"/>
    <cellStyle name="Calculation 2 6 5 14" xfId="30077"/>
    <cellStyle name="Calculation 2 6 5 15" xfId="31070"/>
    <cellStyle name="Calculation 2 6 5 16" xfId="32079"/>
    <cellStyle name="Calculation 2 6 5 17" xfId="33082"/>
    <cellStyle name="Calculation 2 6 5 18" xfId="34081"/>
    <cellStyle name="Calculation 2 6 5 19" xfId="35702"/>
    <cellStyle name="Calculation 2 6 5 2" xfId="16105"/>
    <cellStyle name="Calculation 2 6 5 20" xfId="36641"/>
    <cellStyle name="Calculation 2 6 5 3" xfId="17083"/>
    <cellStyle name="Calculation 2 6 5 4" xfId="18111"/>
    <cellStyle name="Calculation 2 6 5 5" xfId="19143"/>
    <cellStyle name="Calculation 2 6 5 6" xfId="20165"/>
    <cellStyle name="Calculation 2 6 5 7" xfId="21174"/>
    <cellStyle name="Calculation 2 6 5 8" xfId="22148"/>
    <cellStyle name="Calculation 2 6 5 9" xfId="23153"/>
    <cellStyle name="Calculation 2 6 6" xfId="13947"/>
    <cellStyle name="Calculation 2 6 7" xfId="14820"/>
    <cellStyle name="Calculation 2 6 8" xfId="13490"/>
    <cellStyle name="Calculation 2 6 9" xfId="13389"/>
    <cellStyle name="Calculation 2 7" xfId="830"/>
    <cellStyle name="Calculation 2 7 10" xfId="23154"/>
    <cellStyle name="Calculation 2 7 11" xfId="24126"/>
    <cellStyle name="Calculation 2 7 12" xfId="25125"/>
    <cellStyle name="Calculation 2 7 13" xfId="28070"/>
    <cellStyle name="Calculation 2 7 14" xfId="29039"/>
    <cellStyle name="Calculation 2 7 15" xfId="30078"/>
    <cellStyle name="Calculation 2 7 16" xfId="31071"/>
    <cellStyle name="Calculation 2 7 17" xfId="32080"/>
    <cellStyle name="Calculation 2 7 18" xfId="33083"/>
    <cellStyle name="Calculation 2 7 19" xfId="34082"/>
    <cellStyle name="Calculation 2 7 2" xfId="831"/>
    <cellStyle name="Calculation 2 7 2 10" xfId="24127"/>
    <cellStyle name="Calculation 2 7 2 11" xfId="25126"/>
    <cellStyle name="Calculation 2 7 2 12" xfId="28071"/>
    <cellStyle name="Calculation 2 7 2 13" xfId="29040"/>
    <cellStyle name="Calculation 2 7 2 14" xfId="30079"/>
    <cellStyle name="Calculation 2 7 2 15" xfId="31072"/>
    <cellStyle name="Calculation 2 7 2 16" xfId="32081"/>
    <cellStyle name="Calculation 2 7 2 17" xfId="33084"/>
    <cellStyle name="Calculation 2 7 2 18" xfId="34083"/>
    <cellStyle name="Calculation 2 7 2 19" xfId="35704"/>
    <cellStyle name="Calculation 2 7 2 2" xfId="16107"/>
    <cellStyle name="Calculation 2 7 2 20" xfId="36643"/>
    <cellStyle name="Calculation 2 7 2 3" xfId="17085"/>
    <cellStyle name="Calculation 2 7 2 4" xfId="18113"/>
    <cellStyle name="Calculation 2 7 2 5" xfId="19145"/>
    <cellStyle name="Calculation 2 7 2 6" xfId="20167"/>
    <cellStyle name="Calculation 2 7 2 7" xfId="21176"/>
    <cellStyle name="Calculation 2 7 2 8" xfId="22150"/>
    <cellStyle name="Calculation 2 7 2 9" xfId="23155"/>
    <cellStyle name="Calculation 2 7 20" xfId="35703"/>
    <cellStyle name="Calculation 2 7 21" xfId="36642"/>
    <cellStyle name="Calculation 2 7 3" xfId="16106"/>
    <cellStyle name="Calculation 2 7 4" xfId="17084"/>
    <cellStyle name="Calculation 2 7 5" xfId="18112"/>
    <cellStyle name="Calculation 2 7 6" xfId="19144"/>
    <cellStyle name="Calculation 2 7 7" xfId="20166"/>
    <cellStyle name="Calculation 2 7 8" xfId="21175"/>
    <cellStyle name="Calculation 2 7 9" xfId="22149"/>
    <cellStyle name="Calculation 2 8" xfId="832"/>
    <cellStyle name="Calculation 2 8 10" xfId="23156"/>
    <cellStyle name="Calculation 2 8 11" xfId="24128"/>
    <cellStyle name="Calculation 2 8 12" xfId="25127"/>
    <cellStyle name="Calculation 2 8 13" xfId="28072"/>
    <cellStyle name="Calculation 2 8 14" xfId="29041"/>
    <cellStyle name="Calculation 2 8 15" xfId="30080"/>
    <cellStyle name="Calculation 2 8 16" xfId="31073"/>
    <cellStyle name="Calculation 2 8 17" xfId="32082"/>
    <cellStyle name="Calculation 2 8 18" xfId="33085"/>
    <cellStyle name="Calculation 2 8 19" xfId="34084"/>
    <cellStyle name="Calculation 2 8 2" xfId="833"/>
    <cellStyle name="Calculation 2 8 2 10" xfId="24129"/>
    <cellStyle name="Calculation 2 8 2 11" xfId="25128"/>
    <cellStyle name="Calculation 2 8 2 12" xfId="28073"/>
    <cellStyle name="Calculation 2 8 2 13" xfId="29042"/>
    <cellStyle name="Calculation 2 8 2 14" xfId="30081"/>
    <cellStyle name="Calculation 2 8 2 15" xfId="31074"/>
    <cellStyle name="Calculation 2 8 2 16" xfId="32083"/>
    <cellStyle name="Calculation 2 8 2 17" xfId="33086"/>
    <cellStyle name="Calculation 2 8 2 18" xfId="34085"/>
    <cellStyle name="Calculation 2 8 2 19" xfId="35706"/>
    <cellStyle name="Calculation 2 8 2 2" xfId="16109"/>
    <cellStyle name="Calculation 2 8 2 20" xfId="36645"/>
    <cellStyle name="Calculation 2 8 2 3" xfId="17087"/>
    <cellStyle name="Calculation 2 8 2 4" xfId="18115"/>
    <cellStyle name="Calculation 2 8 2 5" xfId="19147"/>
    <cellStyle name="Calculation 2 8 2 6" xfId="20169"/>
    <cellStyle name="Calculation 2 8 2 7" xfId="21178"/>
    <cellStyle name="Calculation 2 8 2 8" xfId="22152"/>
    <cellStyle name="Calculation 2 8 2 9" xfId="23157"/>
    <cellStyle name="Calculation 2 8 20" xfId="35705"/>
    <cellStyle name="Calculation 2 8 21" xfId="36644"/>
    <cellStyle name="Calculation 2 8 3" xfId="16108"/>
    <cellStyle name="Calculation 2 8 4" xfId="17086"/>
    <cellStyle name="Calculation 2 8 5" xfId="18114"/>
    <cellStyle name="Calculation 2 8 6" xfId="19146"/>
    <cellStyle name="Calculation 2 8 7" xfId="20168"/>
    <cellStyle name="Calculation 2 8 8" xfId="21177"/>
    <cellStyle name="Calculation 2 8 9" xfId="22151"/>
    <cellStyle name="Calculation 2 9" xfId="834"/>
    <cellStyle name="Calculation 2 9 10" xfId="23158"/>
    <cellStyle name="Calculation 2 9 11" xfId="24130"/>
    <cellStyle name="Calculation 2 9 12" xfId="25129"/>
    <cellStyle name="Calculation 2 9 13" xfId="28074"/>
    <cellStyle name="Calculation 2 9 14" xfId="29043"/>
    <cellStyle name="Calculation 2 9 15" xfId="30082"/>
    <cellStyle name="Calculation 2 9 16" xfId="31075"/>
    <cellStyle name="Calculation 2 9 17" xfId="32084"/>
    <cellStyle name="Calculation 2 9 18" xfId="33087"/>
    <cellStyle name="Calculation 2 9 19" xfId="34086"/>
    <cellStyle name="Calculation 2 9 2" xfId="835"/>
    <cellStyle name="Calculation 2 9 2 10" xfId="24131"/>
    <cellStyle name="Calculation 2 9 2 11" xfId="25130"/>
    <cellStyle name="Calculation 2 9 2 12" xfId="28075"/>
    <cellStyle name="Calculation 2 9 2 13" xfId="29044"/>
    <cellStyle name="Calculation 2 9 2 14" xfId="30083"/>
    <cellStyle name="Calculation 2 9 2 15" xfId="31076"/>
    <cellStyle name="Calculation 2 9 2 16" xfId="32085"/>
    <cellStyle name="Calculation 2 9 2 17" xfId="33088"/>
    <cellStyle name="Calculation 2 9 2 18" xfId="34087"/>
    <cellStyle name="Calculation 2 9 2 19" xfId="35708"/>
    <cellStyle name="Calculation 2 9 2 2" xfId="16111"/>
    <cellStyle name="Calculation 2 9 2 20" xfId="36647"/>
    <cellStyle name="Calculation 2 9 2 3" xfId="17089"/>
    <cellStyle name="Calculation 2 9 2 4" xfId="18117"/>
    <cellStyle name="Calculation 2 9 2 5" xfId="19149"/>
    <cellStyle name="Calculation 2 9 2 6" xfId="20171"/>
    <cellStyle name="Calculation 2 9 2 7" xfId="21180"/>
    <cellStyle name="Calculation 2 9 2 8" xfId="22154"/>
    <cellStyle name="Calculation 2 9 2 9" xfId="23159"/>
    <cellStyle name="Calculation 2 9 20" xfId="35707"/>
    <cellStyle name="Calculation 2 9 21" xfId="36646"/>
    <cellStyle name="Calculation 2 9 3" xfId="16110"/>
    <cellStyle name="Calculation 2 9 4" xfId="17088"/>
    <cellStyle name="Calculation 2 9 5" xfId="18116"/>
    <cellStyle name="Calculation 2 9 6" xfId="19148"/>
    <cellStyle name="Calculation 2 9 7" xfId="20170"/>
    <cellStyle name="Calculation 2 9 8" xfId="21179"/>
    <cellStyle name="Calculation 2 9 9" xfId="22153"/>
    <cellStyle name="Calculation 2_Rate Sheet" xfId="37416"/>
    <cellStyle name="Calculation 3" xfId="97"/>
    <cellStyle name="Calculation 3 10" xfId="836"/>
    <cellStyle name="Calculation 3 10 10" xfId="24864"/>
    <cellStyle name="Calculation 3 10 11" xfId="25863"/>
    <cellStyle name="Calculation 3 10 12" xfId="28769"/>
    <cellStyle name="Calculation 3 10 13" xfId="29786"/>
    <cellStyle name="Calculation 3 10 14" xfId="30819"/>
    <cellStyle name="Calculation 3 10 15" xfId="31814"/>
    <cellStyle name="Calculation 3 10 16" xfId="32818"/>
    <cellStyle name="Calculation 3 10 17" xfId="33821"/>
    <cellStyle name="Calculation 3 10 18" xfId="34820"/>
    <cellStyle name="Calculation 3 10 19" xfId="36381"/>
    <cellStyle name="Calculation 3 10 2" xfId="16853"/>
    <cellStyle name="Calculation 3 10 20" xfId="37380"/>
    <cellStyle name="Calculation 3 10 3" xfId="17833"/>
    <cellStyle name="Calculation 3 10 4" xfId="18858"/>
    <cellStyle name="Calculation 3 10 5" xfId="19892"/>
    <cellStyle name="Calculation 3 10 6" xfId="20917"/>
    <cellStyle name="Calculation 3 10 7" xfId="21877"/>
    <cellStyle name="Calculation 3 10 8" xfId="22889"/>
    <cellStyle name="Calculation 3 10 9" xfId="23892"/>
    <cellStyle name="Calculation 3 11" xfId="34904"/>
    <cellStyle name="Calculation 3 12" xfId="37394"/>
    <cellStyle name="Calculation 3 13" xfId="37418"/>
    <cellStyle name="Calculation 3 14" xfId="37554"/>
    <cellStyle name="Calculation 3 2" xfId="314"/>
    <cellStyle name="Calculation 3 2 10" xfId="37463"/>
    <cellStyle name="Calculation 3 2 11" xfId="37562"/>
    <cellStyle name="Calculation 3 2 2" xfId="837"/>
    <cellStyle name="Calculation 3 2 2 10" xfId="13703"/>
    <cellStyle name="Calculation 3 2 2 11" xfId="13572"/>
    <cellStyle name="Calculation 3 2 2 12" xfId="14278"/>
    <cellStyle name="Calculation 3 2 2 13" xfId="13419"/>
    <cellStyle name="Calculation 3 2 2 14" xfId="14233"/>
    <cellStyle name="Calculation 3 2 2 15" xfId="20937"/>
    <cellStyle name="Calculation 3 2 2 16" xfId="26283"/>
    <cellStyle name="Calculation 3 2 2 17" xfId="27740"/>
    <cellStyle name="Calculation 3 2 2 18" xfId="26809"/>
    <cellStyle name="Calculation 3 2 2 19" xfId="27441"/>
    <cellStyle name="Calculation 3 2 2 2" xfId="838"/>
    <cellStyle name="Calculation 3 2 2 2 10" xfId="19908"/>
    <cellStyle name="Calculation 3 2 2 2 11" xfId="15155"/>
    <cellStyle name="Calculation 3 2 2 2 12" xfId="26336"/>
    <cellStyle name="Calculation 3 2 2 2 13" xfId="27154"/>
    <cellStyle name="Calculation 3 2 2 2 14" xfId="27350"/>
    <cellStyle name="Calculation 3 2 2 2 15" xfId="26673"/>
    <cellStyle name="Calculation 3 2 2 2 16" xfId="29821"/>
    <cellStyle name="Calculation 3 2 2 2 17" xfId="26350"/>
    <cellStyle name="Calculation 3 2 2 2 18" xfId="35031"/>
    <cellStyle name="Calculation 3 2 2 2 19" xfId="35308"/>
    <cellStyle name="Calculation 3 2 2 2 2" xfId="839"/>
    <cellStyle name="Calculation 3 2 2 2 2 10" xfId="23160"/>
    <cellStyle name="Calculation 3 2 2 2 2 11" xfId="24132"/>
    <cellStyle name="Calculation 3 2 2 2 2 12" xfId="25131"/>
    <cellStyle name="Calculation 3 2 2 2 2 13" xfId="28076"/>
    <cellStyle name="Calculation 3 2 2 2 2 14" xfId="29045"/>
    <cellStyle name="Calculation 3 2 2 2 2 15" xfId="30084"/>
    <cellStyle name="Calculation 3 2 2 2 2 16" xfId="31077"/>
    <cellStyle name="Calculation 3 2 2 2 2 17" xfId="32086"/>
    <cellStyle name="Calculation 3 2 2 2 2 18" xfId="33089"/>
    <cellStyle name="Calculation 3 2 2 2 2 19" xfId="34088"/>
    <cellStyle name="Calculation 3 2 2 2 2 2" xfId="840"/>
    <cellStyle name="Calculation 3 2 2 2 2 2 10" xfId="24133"/>
    <cellStyle name="Calculation 3 2 2 2 2 2 11" xfId="25132"/>
    <cellStyle name="Calculation 3 2 2 2 2 2 12" xfId="28077"/>
    <cellStyle name="Calculation 3 2 2 2 2 2 13" xfId="29046"/>
    <cellStyle name="Calculation 3 2 2 2 2 2 14" xfId="30085"/>
    <cellStyle name="Calculation 3 2 2 2 2 2 15" xfId="31078"/>
    <cellStyle name="Calculation 3 2 2 2 2 2 16" xfId="32087"/>
    <cellStyle name="Calculation 3 2 2 2 2 2 17" xfId="33090"/>
    <cellStyle name="Calculation 3 2 2 2 2 2 18" xfId="34089"/>
    <cellStyle name="Calculation 3 2 2 2 2 2 19" xfId="35710"/>
    <cellStyle name="Calculation 3 2 2 2 2 2 2" xfId="16113"/>
    <cellStyle name="Calculation 3 2 2 2 2 2 20" xfId="36649"/>
    <cellStyle name="Calculation 3 2 2 2 2 2 3" xfId="17091"/>
    <cellStyle name="Calculation 3 2 2 2 2 2 4" xfId="18119"/>
    <cellStyle name="Calculation 3 2 2 2 2 2 5" xfId="19151"/>
    <cellStyle name="Calculation 3 2 2 2 2 2 6" xfId="20173"/>
    <cellStyle name="Calculation 3 2 2 2 2 2 7" xfId="21182"/>
    <cellStyle name="Calculation 3 2 2 2 2 2 8" xfId="22156"/>
    <cellStyle name="Calculation 3 2 2 2 2 2 9" xfId="23161"/>
    <cellStyle name="Calculation 3 2 2 2 2 20" xfId="35709"/>
    <cellStyle name="Calculation 3 2 2 2 2 21" xfId="36648"/>
    <cellStyle name="Calculation 3 2 2 2 2 3" xfId="16112"/>
    <cellStyle name="Calculation 3 2 2 2 2 4" xfId="17090"/>
    <cellStyle name="Calculation 3 2 2 2 2 5" xfId="18118"/>
    <cellStyle name="Calculation 3 2 2 2 2 6" xfId="19150"/>
    <cellStyle name="Calculation 3 2 2 2 2 7" xfId="20172"/>
    <cellStyle name="Calculation 3 2 2 2 2 8" xfId="21181"/>
    <cellStyle name="Calculation 3 2 2 2 2 9" xfId="22155"/>
    <cellStyle name="Calculation 3 2 2 2 3" xfId="841"/>
    <cellStyle name="Calculation 3 2 2 2 3 10" xfId="23162"/>
    <cellStyle name="Calculation 3 2 2 2 3 11" xfId="24134"/>
    <cellStyle name="Calculation 3 2 2 2 3 12" xfId="25133"/>
    <cellStyle name="Calculation 3 2 2 2 3 13" xfId="28078"/>
    <cellStyle name="Calculation 3 2 2 2 3 14" xfId="29047"/>
    <cellStyle name="Calculation 3 2 2 2 3 15" xfId="30086"/>
    <cellStyle name="Calculation 3 2 2 2 3 16" xfId="31079"/>
    <cellStyle name="Calculation 3 2 2 2 3 17" xfId="32088"/>
    <cellStyle name="Calculation 3 2 2 2 3 18" xfId="33091"/>
    <cellStyle name="Calculation 3 2 2 2 3 19" xfId="34090"/>
    <cellStyle name="Calculation 3 2 2 2 3 2" xfId="842"/>
    <cellStyle name="Calculation 3 2 2 2 3 2 10" xfId="24135"/>
    <cellStyle name="Calculation 3 2 2 2 3 2 11" xfId="25134"/>
    <cellStyle name="Calculation 3 2 2 2 3 2 12" xfId="28079"/>
    <cellStyle name="Calculation 3 2 2 2 3 2 13" xfId="29048"/>
    <cellStyle name="Calculation 3 2 2 2 3 2 14" xfId="30087"/>
    <cellStyle name="Calculation 3 2 2 2 3 2 15" xfId="31080"/>
    <cellStyle name="Calculation 3 2 2 2 3 2 16" xfId="32089"/>
    <cellStyle name="Calculation 3 2 2 2 3 2 17" xfId="33092"/>
    <cellStyle name="Calculation 3 2 2 2 3 2 18" xfId="34091"/>
    <cellStyle name="Calculation 3 2 2 2 3 2 19" xfId="35712"/>
    <cellStyle name="Calculation 3 2 2 2 3 2 2" xfId="16115"/>
    <cellStyle name="Calculation 3 2 2 2 3 2 20" xfId="36651"/>
    <cellStyle name="Calculation 3 2 2 2 3 2 3" xfId="17093"/>
    <cellStyle name="Calculation 3 2 2 2 3 2 4" xfId="18121"/>
    <cellStyle name="Calculation 3 2 2 2 3 2 5" xfId="19153"/>
    <cellStyle name="Calculation 3 2 2 2 3 2 6" xfId="20175"/>
    <cellStyle name="Calculation 3 2 2 2 3 2 7" xfId="21184"/>
    <cellStyle name="Calculation 3 2 2 2 3 2 8" xfId="22158"/>
    <cellStyle name="Calculation 3 2 2 2 3 2 9" xfId="23163"/>
    <cellStyle name="Calculation 3 2 2 2 3 20" xfId="35711"/>
    <cellStyle name="Calculation 3 2 2 2 3 21" xfId="36650"/>
    <cellStyle name="Calculation 3 2 2 2 3 3" xfId="16114"/>
    <cellStyle name="Calculation 3 2 2 2 3 4" xfId="17092"/>
    <cellStyle name="Calculation 3 2 2 2 3 5" xfId="18120"/>
    <cellStyle name="Calculation 3 2 2 2 3 6" xfId="19152"/>
    <cellStyle name="Calculation 3 2 2 2 3 7" xfId="20174"/>
    <cellStyle name="Calculation 3 2 2 2 3 8" xfId="21183"/>
    <cellStyle name="Calculation 3 2 2 2 3 9" xfId="22157"/>
    <cellStyle name="Calculation 3 2 2 2 4" xfId="843"/>
    <cellStyle name="Calculation 3 2 2 2 4 10" xfId="23164"/>
    <cellStyle name="Calculation 3 2 2 2 4 11" xfId="24136"/>
    <cellStyle name="Calculation 3 2 2 2 4 12" xfId="25135"/>
    <cellStyle name="Calculation 3 2 2 2 4 13" xfId="28080"/>
    <cellStyle name="Calculation 3 2 2 2 4 14" xfId="29049"/>
    <cellStyle name="Calculation 3 2 2 2 4 15" xfId="30088"/>
    <cellStyle name="Calculation 3 2 2 2 4 16" xfId="31081"/>
    <cellStyle name="Calculation 3 2 2 2 4 17" xfId="32090"/>
    <cellStyle name="Calculation 3 2 2 2 4 18" xfId="33093"/>
    <cellStyle name="Calculation 3 2 2 2 4 19" xfId="34092"/>
    <cellStyle name="Calculation 3 2 2 2 4 2" xfId="844"/>
    <cellStyle name="Calculation 3 2 2 2 4 2 10" xfId="24137"/>
    <cellStyle name="Calculation 3 2 2 2 4 2 11" xfId="25136"/>
    <cellStyle name="Calculation 3 2 2 2 4 2 12" xfId="28081"/>
    <cellStyle name="Calculation 3 2 2 2 4 2 13" xfId="29050"/>
    <cellStyle name="Calculation 3 2 2 2 4 2 14" xfId="30089"/>
    <cellStyle name="Calculation 3 2 2 2 4 2 15" xfId="31082"/>
    <cellStyle name="Calculation 3 2 2 2 4 2 16" xfId="32091"/>
    <cellStyle name="Calculation 3 2 2 2 4 2 17" xfId="33094"/>
    <cellStyle name="Calculation 3 2 2 2 4 2 18" xfId="34093"/>
    <cellStyle name="Calculation 3 2 2 2 4 2 19" xfId="35714"/>
    <cellStyle name="Calculation 3 2 2 2 4 2 2" xfId="16117"/>
    <cellStyle name="Calculation 3 2 2 2 4 2 20" xfId="36653"/>
    <cellStyle name="Calculation 3 2 2 2 4 2 3" xfId="17095"/>
    <cellStyle name="Calculation 3 2 2 2 4 2 4" xfId="18123"/>
    <cellStyle name="Calculation 3 2 2 2 4 2 5" xfId="19155"/>
    <cellStyle name="Calculation 3 2 2 2 4 2 6" xfId="20177"/>
    <cellStyle name="Calculation 3 2 2 2 4 2 7" xfId="21186"/>
    <cellStyle name="Calculation 3 2 2 2 4 2 8" xfId="22160"/>
    <cellStyle name="Calculation 3 2 2 2 4 2 9" xfId="23165"/>
    <cellStyle name="Calculation 3 2 2 2 4 20" xfId="35713"/>
    <cellStyle name="Calculation 3 2 2 2 4 21" xfId="36652"/>
    <cellStyle name="Calculation 3 2 2 2 4 3" xfId="16116"/>
    <cellStyle name="Calculation 3 2 2 2 4 4" xfId="17094"/>
    <cellStyle name="Calculation 3 2 2 2 4 5" xfId="18122"/>
    <cellStyle name="Calculation 3 2 2 2 4 6" xfId="19154"/>
    <cellStyle name="Calculation 3 2 2 2 4 7" xfId="20176"/>
    <cellStyle name="Calculation 3 2 2 2 4 8" xfId="21185"/>
    <cellStyle name="Calculation 3 2 2 2 4 9" xfId="22159"/>
    <cellStyle name="Calculation 3 2 2 2 5" xfId="845"/>
    <cellStyle name="Calculation 3 2 2 2 5 10" xfId="24138"/>
    <cellStyle name="Calculation 3 2 2 2 5 11" xfId="25137"/>
    <cellStyle name="Calculation 3 2 2 2 5 12" xfId="28082"/>
    <cellStyle name="Calculation 3 2 2 2 5 13" xfId="29051"/>
    <cellStyle name="Calculation 3 2 2 2 5 14" xfId="30090"/>
    <cellStyle name="Calculation 3 2 2 2 5 15" xfId="31083"/>
    <cellStyle name="Calculation 3 2 2 2 5 16" xfId="32092"/>
    <cellStyle name="Calculation 3 2 2 2 5 17" xfId="33095"/>
    <cellStyle name="Calculation 3 2 2 2 5 18" xfId="34094"/>
    <cellStyle name="Calculation 3 2 2 2 5 19" xfId="35715"/>
    <cellStyle name="Calculation 3 2 2 2 5 2" xfId="16118"/>
    <cellStyle name="Calculation 3 2 2 2 5 20" xfId="36654"/>
    <cellStyle name="Calculation 3 2 2 2 5 3" xfId="17096"/>
    <cellStyle name="Calculation 3 2 2 2 5 4" xfId="18124"/>
    <cellStyle name="Calculation 3 2 2 2 5 5" xfId="19156"/>
    <cellStyle name="Calculation 3 2 2 2 5 6" xfId="20178"/>
    <cellStyle name="Calculation 3 2 2 2 5 7" xfId="21187"/>
    <cellStyle name="Calculation 3 2 2 2 5 8" xfId="22161"/>
    <cellStyle name="Calculation 3 2 2 2 5 9" xfId="23166"/>
    <cellStyle name="Calculation 3 2 2 2 6" xfId="15134"/>
    <cellStyle name="Calculation 3 2 2 2 7" xfId="15567"/>
    <cellStyle name="Calculation 3 2 2 2 8" xfId="13791"/>
    <cellStyle name="Calculation 3 2 2 2 9" xfId="18902"/>
    <cellStyle name="Calculation 3 2 2 20" xfId="26891"/>
    <cellStyle name="Calculation 3 2 2 21" xfId="26895"/>
    <cellStyle name="Calculation 3 2 2 22" xfId="34979"/>
    <cellStyle name="Calculation 3 2 2 23" xfId="35346"/>
    <cellStyle name="Calculation 3 2 2 24" xfId="37471"/>
    <cellStyle name="Calculation 3 2 2 3" xfId="846"/>
    <cellStyle name="Calculation 3 2 2 3 10" xfId="15295"/>
    <cellStyle name="Calculation 3 2 2 3 11" xfId="14770"/>
    <cellStyle name="Calculation 3 2 2 3 12" xfId="26475"/>
    <cellStyle name="Calculation 3 2 2 3 13" xfId="27065"/>
    <cellStyle name="Calculation 3 2 2 3 14" xfId="26494"/>
    <cellStyle name="Calculation 3 2 2 3 15" xfId="26557"/>
    <cellStyle name="Calculation 3 2 2 3 16" xfId="26498"/>
    <cellStyle name="Calculation 3 2 2 3 17" xfId="27507"/>
    <cellStyle name="Calculation 3 2 2 3 18" xfId="35158"/>
    <cellStyle name="Calculation 3 2 2 3 19" xfId="35394"/>
    <cellStyle name="Calculation 3 2 2 3 2" xfId="847"/>
    <cellStyle name="Calculation 3 2 2 3 2 10" xfId="23167"/>
    <cellStyle name="Calculation 3 2 2 3 2 11" xfId="24139"/>
    <cellStyle name="Calculation 3 2 2 3 2 12" xfId="25138"/>
    <cellStyle name="Calculation 3 2 2 3 2 13" xfId="28083"/>
    <cellStyle name="Calculation 3 2 2 3 2 14" xfId="29052"/>
    <cellStyle name="Calculation 3 2 2 3 2 15" xfId="30091"/>
    <cellStyle name="Calculation 3 2 2 3 2 16" xfId="31084"/>
    <cellStyle name="Calculation 3 2 2 3 2 17" xfId="32093"/>
    <cellStyle name="Calculation 3 2 2 3 2 18" xfId="33096"/>
    <cellStyle name="Calculation 3 2 2 3 2 19" xfId="34095"/>
    <cellStyle name="Calculation 3 2 2 3 2 2" xfId="848"/>
    <cellStyle name="Calculation 3 2 2 3 2 2 10" xfId="24140"/>
    <cellStyle name="Calculation 3 2 2 3 2 2 11" xfId="25139"/>
    <cellStyle name="Calculation 3 2 2 3 2 2 12" xfId="28084"/>
    <cellStyle name="Calculation 3 2 2 3 2 2 13" xfId="29053"/>
    <cellStyle name="Calculation 3 2 2 3 2 2 14" xfId="30092"/>
    <cellStyle name="Calculation 3 2 2 3 2 2 15" xfId="31085"/>
    <cellStyle name="Calculation 3 2 2 3 2 2 16" xfId="32094"/>
    <cellStyle name="Calculation 3 2 2 3 2 2 17" xfId="33097"/>
    <cellStyle name="Calculation 3 2 2 3 2 2 18" xfId="34096"/>
    <cellStyle name="Calculation 3 2 2 3 2 2 19" xfId="35717"/>
    <cellStyle name="Calculation 3 2 2 3 2 2 2" xfId="16120"/>
    <cellStyle name="Calculation 3 2 2 3 2 2 20" xfId="36656"/>
    <cellStyle name="Calculation 3 2 2 3 2 2 3" xfId="17098"/>
    <cellStyle name="Calculation 3 2 2 3 2 2 4" xfId="18126"/>
    <cellStyle name="Calculation 3 2 2 3 2 2 5" xfId="19158"/>
    <cellStyle name="Calculation 3 2 2 3 2 2 6" xfId="20180"/>
    <cellStyle name="Calculation 3 2 2 3 2 2 7" xfId="21189"/>
    <cellStyle name="Calculation 3 2 2 3 2 2 8" xfId="22163"/>
    <cellStyle name="Calculation 3 2 2 3 2 2 9" xfId="23168"/>
    <cellStyle name="Calculation 3 2 2 3 2 20" xfId="35716"/>
    <cellStyle name="Calculation 3 2 2 3 2 21" xfId="36655"/>
    <cellStyle name="Calculation 3 2 2 3 2 3" xfId="16119"/>
    <cellStyle name="Calculation 3 2 2 3 2 4" xfId="17097"/>
    <cellStyle name="Calculation 3 2 2 3 2 5" xfId="18125"/>
    <cellStyle name="Calculation 3 2 2 3 2 6" xfId="19157"/>
    <cellStyle name="Calculation 3 2 2 3 2 7" xfId="20179"/>
    <cellStyle name="Calculation 3 2 2 3 2 8" xfId="21188"/>
    <cellStyle name="Calculation 3 2 2 3 2 9" xfId="22162"/>
    <cellStyle name="Calculation 3 2 2 3 3" xfId="849"/>
    <cellStyle name="Calculation 3 2 2 3 3 10" xfId="23169"/>
    <cellStyle name="Calculation 3 2 2 3 3 11" xfId="24141"/>
    <cellStyle name="Calculation 3 2 2 3 3 12" xfId="25140"/>
    <cellStyle name="Calculation 3 2 2 3 3 13" xfId="28085"/>
    <cellStyle name="Calculation 3 2 2 3 3 14" xfId="29054"/>
    <cellStyle name="Calculation 3 2 2 3 3 15" xfId="30093"/>
    <cellStyle name="Calculation 3 2 2 3 3 16" xfId="31086"/>
    <cellStyle name="Calculation 3 2 2 3 3 17" xfId="32095"/>
    <cellStyle name="Calculation 3 2 2 3 3 18" xfId="33098"/>
    <cellStyle name="Calculation 3 2 2 3 3 19" xfId="34097"/>
    <cellStyle name="Calculation 3 2 2 3 3 2" xfId="850"/>
    <cellStyle name="Calculation 3 2 2 3 3 2 10" xfId="24142"/>
    <cellStyle name="Calculation 3 2 2 3 3 2 11" xfId="25141"/>
    <cellStyle name="Calculation 3 2 2 3 3 2 12" xfId="28086"/>
    <cellStyle name="Calculation 3 2 2 3 3 2 13" xfId="29055"/>
    <cellStyle name="Calculation 3 2 2 3 3 2 14" xfId="30094"/>
    <cellStyle name="Calculation 3 2 2 3 3 2 15" xfId="31087"/>
    <cellStyle name="Calculation 3 2 2 3 3 2 16" xfId="32096"/>
    <cellStyle name="Calculation 3 2 2 3 3 2 17" xfId="33099"/>
    <cellStyle name="Calculation 3 2 2 3 3 2 18" xfId="34098"/>
    <cellStyle name="Calculation 3 2 2 3 3 2 19" xfId="35719"/>
    <cellStyle name="Calculation 3 2 2 3 3 2 2" xfId="16122"/>
    <cellStyle name="Calculation 3 2 2 3 3 2 20" xfId="36658"/>
    <cellStyle name="Calculation 3 2 2 3 3 2 3" xfId="17100"/>
    <cellStyle name="Calculation 3 2 2 3 3 2 4" xfId="18128"/>
    <cellStyle name="Calculation 3 2 2 3 3 2 5" xfId="19160"/>
    <cellStyle name="Calculation 3 2 2 3 3 2 6" xfId="20182"/>
    <cellStyle name="Calculation 3 2 2 3 3 2 7" xfId="21191"/>
    <cellStyle name="Calculation 3 2 2 3 3 2 8" xfId="22165"/>
    <cellStyle name="Calculation 3 2 2 3 3 2 9" xfId="23170"/>
    <cellStyle name="Calculation 3 2 2 3 3 20" xfId="35718"/>
    <cellStyle name="Calculation 3 2 2 3 3 21" xfId="36657"/>
    <cellStyle name="Calculation 3 2 2 3 3 3" xfId="16121"/>
    <cellStyle name="Calculation 3 2 2 3 3 4" xfId="17099"/>
    <cellStyle name="Calculation 3 2 2 3 3 5" xfId="18127"/>
    <cellStyle name="Calculation 3 2 2 3 3 6" xfId="19159"/>
    <cellStyle name="Calculation 3 2 2 3 3 7" xfId="20181"/>
    <cellStyle name="Calculation 3 2 2 3 3 8" xfId="21190"/>
    <cellStyle name="Calculation 3 2 2 3 3 9" xfId="22164"/>
    <cellStyle name="Calculation 3 2 2 3 4" xfId="851"/>
    <cellStyle name="Calculation 3 2 2 3 4 10" xfId="23171"/>
    <cellStyle name="Calculation 3 2 2 3 4 11" xfId="24143"/>
    <cellStyle name="Calculation 3 2 2 3 4 12" xfId="25142"/>
    <cellStyle name="Calculation 3 2 2 3 4 13" xfId="28087"/>
    <cellStyle name="Calculation 3 2 2 3 4 14" xfId="29056"/>
    <cellStyle name="Calculation 3 2 2 3 4 15" xfId="30095"/>
    <cellStyle name="Calculation 3 2 2 3 4 16" xfId="31088"/>
    <cellStyle name="Calculation 3 2 2 3 4 17" xfId="32097"/>
    <cellStyle name="Calculation 3 2 2 3 4 18" xfId="33100"/>
    <cellStyle name="Calculation 3 2 2 3 4 19" xfId="34099"/>
    <cellStyle name="Calculation 3 2 2 3 4 2" xfId="852"/>
    <cellStyle name="Calculation 3 2 2 3 4 2 10" xfId="24144"/>
    <cellStyle name="Calculation 3 2 2 3 4 2 11" xfId="25143"/>
    <cellStyle name="Calculation 3 2 2 3 4 2 12" xfId="28088"/>
    <cellStyle name="Calculation 3 2 2 3 4 2 13" xfId="29057"/>
    <cellStyle name="Calculation 3 2 2 3 4 2 14" xfId="30096"/>
    <cellStyle name="Calculation 3 2 2 3 4 2 15" xfId="31089"/>
    <cellStyle name="Calculation 3 2 2 3 4 2 16" xfId="32098"/>
    <cellStyle name="Calculation 3 2 2 3 4 2 17" xfId="33101"/>
    <cellStyle name="Calculation 3 2 2 3 4 2 18" xfId="34100"/>
    <cellStyle name="Calculation 3 2 2 3 4 2 19" xfId="35721"/>
    <cellStyle name="Calculation 3 2 2 3 4 2 2" xfId="16124"/>
    <cellStyle name="Calculation 3 2 2 3 4 2 20" xfId="36660"/>
    <cellStyle name="Calculation 3 2 2 3 4 2 3" xfId="17102"/>
    <cellStyle name="Calculation 3 2 2 3 4 2 4" xfId="18130"/>
    <cellStyle name="Calculation 3 2 2 3 4 2 5" xfId="19162"/>
    <cellStyle name="Calculation 3 2 2 3 4 2 6" xfId="20184"/>
    <cellStyle name="Calculation 3 2 2 3 4 2 7" xfId="21193"/>
    <cellStyle name="Calculation 3 2 2 3 4 2 8" xfId="22167"/>
    <cellStyle name="Calculation 3 2 2 3 4 2 9" xfId="23172"/>
    <cellStyle name="Calculation 3 2 2 3 4 20" xfId="35720"/>
    <cellStyle name="Calculation 3 2 2 3 4 21" xfId="36659"/>
    <cellStyle name="Calculation 3 2 2 3 4 3" xfId="16123"/>
    <cellStyle name="Calculation 3 2 2 3 4 4" xfId="17101"/>
    <cellStyle name="Calculation 3 2 2 3 4 5" xfId="18129"/>
    <cellStyle name="Calculation 3 2 2 3 4 6" xfId="19161"/>
    <cellStyle name="Calculation 3 2 2 3 4 7" xfId="20183"/>
    <cellStyle name="Calculation 3 2 2 3 4 8" xfId="21192"/>
    <cellStyle name="Calculation 3 2 2 3 4 9" xfId="22166"/>
    <cellStyle name="Calculation 3 2 2 3 5" xfId="853"/>
    <cellStyle name="Calculation 3 2 2 3 5 10" xfId="24145"/>
    <cellStyle name="Calculation 3 2 2 3 5 11" xfId="25144"/>
    <cellStyle name="Calculation 3 2 2 3 5 12" xfId="28089"/>
    <cellStyle name="Calculation 3 2 2 3 5 13" xfId="29058"/>
    <cellStyle name="Calculation 3 2 2 3 5 14" xfId="30097"/>
    <cellStyle name="Calculation 3 2 2 3 5 15" xfId="31090"/>
    <cellStyle name="Calculation 3 2 2 3 5 16" xfId="32099"/>
    <cellStyle name="Calculation 3 2 2 3 5 17" xfId="33102"/>
    <cellStyle name="Calculation 3 2 2 3 5 18" xfId="34101"/>
    <cellStyle name="Calculation 3 2 2 3 5 19" xfId="35722"/>
    <cellStyle name="Calculation 3 2 2 3 5 2" xfId="16125"/>
    <cellStyle name="Calculation 3 2 2 3 5 20" xfId="36661"/>
    <cellStyle name="Calculation 3 2 2 3 5 3" xfId="17103"/>
    <cellStyle name="Calculation 3 2 2 3 5 4" xfId="18131"/>
    <cellStyle name="Calculation 3 2 2 3 5 5" xfId="19163"/>
    <cellStyle name="Calculation 3 2 2 3 5 6" xfId="20185"/>
    <cellStyle name="Calculation 3 2 2 3 5 7" xfId="21194"/>
    <cellStyle name="Calculation 3 2 2 3 5 8" xfId="22168"/>
    <cellStyle name="Calculation 3 2 2 3 5 9" xfId="23173"/>
    <cellStyle name="Calculation 3 2 2 3 6" xfId="15418"/>
    <cellStyle name="Calculation 3 2 2 3 7" xfId="15315"/>
    <cellStyle name="Calculation 3 2 2 3 8" xfId="14320"/>
    <cellStyle name="Calculation 3 2 2 3 9" xfId="14636"/>
    <cellStyle name="Calculation 3 2 2 4" xfId="854"/>
    <cellStyle name="Calculation 3 2 2 4 10" xfId="13867"/>
    <cellStyle name="Calculation 3 2 2 4 11" xfId="15313"/>
    <cellStyle name="Calculation 3 2 2 4 12" xfId="26453"/>
    <cellStyle name="Calculation 3 2 2 4 13" xfId="27080"/>
    <cellStyle name="Calculation 3 2 2 4 14" xfId="26167"/>
    <cellStyle name="Calculation 3 2 2 4 15" xfId="27823"/>
    <cellStyle name="Calculation 3 2 2 4 16" xfId="26501"/>
    <cellStyle name="Calculation 3 2 2 4 17" xfId="27431"/>
    <cellStyle name="Calculation 3 2 2 4 18" xfId="35136"/>
    <cellStyle name="Calculation 3 2 2 4 19" xfId="35235"/>
    <cellStyle name="Calculation 3 2 2 4 2" xfId="855"/>
    <cellStyle name="Calculation 3 2 2 4 2 10" xfId="23174"/>
    <cellStyle name="Calculation 3 2 2 4 2 11" xfId="24146"/>
    <cellStyle name="Calculation 3 2 2 4 2 12" xfId="25145"/>
    <cellStyle name="Calculation 3 2 2 4 2 13" xfId="28090"/>
    <cellStyle name="Calculation 3 2 2 4 2 14" xfId="29059"/>
    <cellStyle name="Calculation 3 2 2 4 2 15" xfId="30098"/>
    <cellStyle name="Calculation 3 2 2 4 2 16" xfId="31091"/>
    <cellStyle name="Calculation 3 2 2 4 2 17" xfId="32100"/>
    <cellStyle name="Calculation 3 2 2 4 2 18" xfId="33103"/>
    <cellStyle name="Calculation 3 2 2 4 2 19" xfId="34102"/>
    <cellStyle name="Calculation 3 2 2 4 2 2" xfId="856"/>
    <cellStyle name="Calculation 3 2 2 4 2 2 10" xfId="24147"/>
    <cellStyle name="Calculation 3 2 2 4 2 2 11" xfId="25146"/>
    <cellStyle name="Calculation 3 2 2 4 2 2 12" xfId="28091"/>
    <cellStyle name="Calculation 3 2 2 4 2 2 13" xfId="29060"/>
    <cellStyle name="Calculation 3 2 2 4 2 2 14" xfId="30099"/>
    <cellStyle name="Calculation 3 2 2 4 2 2 15" xfId="31092"/>
    <cellStyle name="Calculation 3 2 2 4 2 2 16" xfId="32101"/>
    <cellStyle name="Calculation 3 2 2 4 2 2 17" xfId="33104"/>
    <cellStyle name="Calculation 3 2 2 4 2 2 18" xfId="34103"/>
    <cellStyle name="Calculation 3 2 2 4 2 2 19" xfId="35724"/>
    <cellStyle name="Calculation 3 2 2 4 2 2 2" xfId="16127"/>
    <cellStyle name="Calculation 3 2 2 4 2 2 20" xfId="36663"/>
    <cellStyle name="Calculation 3 2 2 4 2 2 3" xfId="17105"/>
    <cellStyle name="Calculation 3 2 2 4 2 2 4" xfId="18133"/>
    <cellStyle name="Calculation 3 2 2 4 2 2 5" xfId="19165"/>
    <cellStyle name="Calculation 3 2 2 4 2 2 6" xfId="20187"/>
    <cellStyle name="Calculation 3 2 2 4 2 2 7" xfId="21196"/>
    <cellStyle name="Calculation 3 2 2 4 2 2 8" xfId="22170"/>
    <cellStyle name="Calculation 3 2 2 4 2 2 9" xfId="23175"/>
    <cellStyle name="Calculation 3 2 2 4 2 20" xfId="35723"/>
    <cellStyle name="Calculation 3 2 2 4 2 21" xfId="36662"/>
    <cellStyle name="Calculation 3 2 2 4 2 3" xfId="16126"/>
    <cellStyle name="Calculation 3 2 2 4 2 4" xfId="17104"/>
    <cellStyle name="Calculation 3 2 2 4 2 5" xfId="18132"/>
    <cellStyle name="Calculation 3 2 2 4 2 6" xfId="19164"/>
    <cellStyle name="Calculation 3 2 2 4 2 7" xfId="20186"/>
    <cellStyle name="Calculation 3 2 2 4 2 8" xfId="21195"/>
    <cellStyle name="Calculation 3 2 2 4 2 9" xfId="22169"/>
    <cellStyle name="Calculation 3 2 2 4 3" xfId="857"/>
    <cellStyle name="Calculation 3 2 2 4 3 10" xfId="23176"/>
    <cellStyle name="Calculation 3 2 2 4 3 11" xfId="24148"/>
    <cellStyle name="Calculation 3 2 2 4 3 12" xfId="25147"/>
    <cellStyle name="Calculation 3 2 2 4 3 13" xfId="28092"/>
    <cellStyle name="Calculation 3 2 2 4 3 14" xfId="29061"/>
    <cellStyle name="Calculation 3 2 2 4 3 15" xfId="30100"/>
    <cellStyle name="Calculation 3 2 2 4 3 16" xfId="31093"/>
    <cellStyle name="Calculation 3 2 2 4 3 17" xfId="32102"/>
    <cellStyle name="Calculation 3 2 2 4 3 18" xfId="33105"/>
    <cellStyle name="Calculation 3 2 2 4 3 19" xfId="34104"/>
    <cellStyle name="Calculation 3 2 2 4 3 2" xfId="858"/>
    <cellStyle name="Calculation 3 2 2 4 3 2 10" xfId="24149"/>
    <cellStyle name="Calculation 3 2 2 4 3 2 11" xfId="25148"/>
    <cellStyle name="Calculation 3 2 2 4 3 2 12" xfId="28093"/>
    <cellStyle name="Calculation 3 2 2 4 3 2 13" xfId="29062"/>
    <cellStyle name="Calculation 3 2 2 4 3 2 14" xfId="30101"/>
    <cellStyle name="Calculation 3 2 2 4 3 2 15" xfId="31094"/>
    <cellStyle name="Calculation 3 2 2 4 3 2 16" xfId="32103"/>
    <cellStyle name="Calculation 3 2 2 4 3 2 17" xfId="33106"/>
    <cellStyle name="Calculation 3 2 2 4 3 2 18" xfId="34105"/>
    <cellStyle name="Calculation 3 2 2 4 3 2 19" xfId="35726"/>
    <cellStyle name="Calculation 3 2 2 4 3 2 2" xfId="16129"/>
    <cellStyle name="Calculation 3 2 2 4 3 2 20" xfId="36665"/>
    <cellStyle name="Calculation 3 2 2 4 3 2 3" xfId="17107"/>
    <cellStyle name="Calculation 3 2 2 4 3 2 4" xfId="18135"/>
    <cellStyle name="Calculation 3 2 2 4 3 2 5" xfId="19167"/>
    <cellStyle name="Calculation 3 2 2 4 3 2 6" xfId="20189"/>
    <cellStyle name="Calculation 3 2 2 4 3 2 7" xfId="21198"/>
    <cellStyle name="Calculation 3 2 2 4 3 2 8" xfId="22172"/>
    <cellStyle name="Calculation 3 2 2 4 3 2 9" xfId="23177"/>
    <cellStyle name="Calculation 3 2 2 4 3 20" xfId="35725"/>
    <cellStyle name="Calculation 3 2 2 4 3 21" xfId="36664"/>
    <cellStyle name="Calculation 3 2 2 4 3 3" xfId="16128"/>
    <cellStyle name="Calculation 3 2 2 4 3 4" xfId="17106"/>
    <cellStyle name="Calculation 3 2 2 4 3 5" xfId="18134"/>
    <cellStyle name="Calculation 3 2 2 4 3 6" xfId="19166"/>
    <cellStyle name="Calculation 3 2 2 4 3 7" xfId="20188"/>
    <cellStyle name="Calculation 3 2 2 4 3 8" xfId="21197"/>
    <cellStyle name="Calculation 3 2 2 4 3 9" xfId="22171"/>
    <cellStyle name="Calculation 3 2 2 4 4" xfId="859"/>
    <cellStyle name="Calculation 3 2 2 4 4 10" xfId="23178"/>
    <cellStyle name="Calculation 3 2 2 4 4 11" xfId="24150"/>
    <cellStyle name="Calculation 3 2 2 4 4 12" xfId="25149"/>
    <cellStyle name="Calculation 3 2 2 4 4 13" xfId="28094"/>
    <cellStyle name="Calculation 3 2 2 4 4 14" xfId="29063"/>
    <cellStyle name="Calculation 3 2 2 4 4 15" xfId="30102"/>
    <cellStyle name="Calculation 3 2 2 4 4 16" xfId="31095"/>
    <cellStyle name="Calculation 3 2 2 4 4 17" xfId="32104"/>
    <cellStyle name="Calculation 3 2 2 4 4 18" xfId="33107"/>
    <cellStyle name="Calculation 3 2 2 4 4 19" xfId="34106"/>
    <cellStyle name="Calculation 3 2 2 4 4 2" xfId="860"/>
    <cellStyle name="Calculation 3 2 2 4 4 2 10" xfId="24151"/>
    <cellStyle name="Calculation 3 2 2 4 4 2 11" xfId="25150"/>
    <cellStyle name="Calculation 3 2 2 4 4 2 12" xfId="28095"/>
    <cellStyle name="Calculation 3 2 2 4 4 2 13" xfId="29064"/>
    <cellStyle name="Calculation 3 2 2 4 4 2 14" xfId="30103"/>
    <cellStyle name="Calculation 3 2 2 4 4 2 15" xfId="31096"/>
    <cellStyle name="Calculation 3 2 2 4 4 2 16" xfId="32105"/>
    <cellStyle name="Calculation 3 2 2 4 4 2 17" xfId="33108"/>
    <cellStyle name="Calculation 3 2 2 4 4 2 18" xfId="34107"/>
    <cellStyle name="Calculation 3 2 2 4 4 2 19" xfId="35728"/>
    <cellStyle name="Calculation 3 2 2 4 4 2 2" xfId="16131"/>
    <cellStyle name="Calculation 3 2 2 4 4 2 20" xfId="36667"/>
    <cellStyle name="Calculation 3 2 2 4 4 2 3" xfId="17109"/>
    <cellStyle name="Calculation 3 2 2 4 4 2 4" xfId="18137"/>
    <cellStyle name="Calculation 3 2 2 4 4 2 5" xfId="19169"/>
    <cellStyle name="Calculation 3 2 2 4 4 2 6" xfId="20191"/>
    <cellStyle name="Calculation 3 2 2 4 4 2 7" xfId="21200"/>
    <cellStyle name="Calculation 3 2 2 4 4 2 8" xfId="22174"/>
    <cellStyle name="Calculation 3 2 2 4 4 2 9" xfId="23179"/>
    <cellStyle name="Calculation 3 2 2 4 4 20" xfId="35727"/>
    <cellStyle name="Calculation 3 2 2 4 4 21" xfId="36666"/>
    <cellStyle name="Calculation 3 2 2 4 4 3" xfId="16130"/>
    <cellStyle name="Calculation 3 2 2 4 4 4" xfId="17108"/>
    <cellStyle name="Calculation 3 2 2 4 4 5" xfId="18136"/>
    <cellStyle name="Calculation 3 2 2 4 4 6" xfId="19168"/>
    <cellStyle name="Calculation 3 2 2 4 4 7" xfId="20190"/>
    <cellStyle name="Calculation 3 2 2 4 4 8" xfId="21199"/>
    <cellStyle name="Calculation 3 2 2 4 4 9" xfId="22173"/>
    <cellStyle name="Calculation 3 2 2 4 5" xfId="861"/>
    <cellStyle name="Calculation 3 2 2 4 5 10" xfId="24152"/>
    <cellStyle name="Calculation 3 2 2 4 5 11" xfId="25151"/>
    <cellStyle name="Calculation 3 2 2 4 5 12" xfId="28096"/>
    <cellStyle name="Calculation 3 2 2 4 5 13" xfId="29065"/>
    <cellStyle name="Calculation 3 2 2 4 5 14" xfId="30104"/>
    <cellStyle name="Calculation 3 2 2 4 5 15" xfId="31097"/>
    <cellStyle name="Calculation 3 2 2 4 5 16" xfId="32106"/>
    <cellStyle name="Calculation 3 2 2 4 5 17" xfId="33109"/>
    <cellStyle name="Calculation 3 2 2 4 5 18" xfId="34108"/>
    <cellStyle name="Calculation 3 2 2 4 5 19" xfId="35729"/>
    <cellStyle name="Calculation 3 2 2 4 5 2" xfId="16132"/>
    <cellStyle name="Calculation 3 2 2 4 5 20" xfId="36668"/>
    <cellStyle name="Calculation 3 2 2 4 5 3" xfId="17110"/>
    <cellStyle name="Calculation 3 2 2 4 5 4" xfId="18138"/>
    <cellStyle name="Calculation 3 2 2 4 5 5" xfId="19170"/>
    <cellStyle name="Calculation 3 2 2 4 5 6" xfId="20192"/>
    <cellStyle name="Calculation 3 2 2 4 5 7" xfId="21201"/>
    <cellStyle name="Calculation 3 2 2 4 5 8" xfId="22175"/>
    <cellStyle name="Calculation 3 2 2 4 5 9" xfId="23180"/>
    <cellStyle name="Calculation 3 2 2 4 6" xfId="14064"/>
    <cellStyle name="Calculation 3 2 2 4 7" xfId="15300"/>
    <cellStyle name="Calculation 3 2 2 4 8" xfId="14901"/>
    <cellStyle name="Calculation 3 2 2 4 9" xfId="14713"/>
    <cellStyle name="Calculation 3 2 2 5" xfId="862"/>
    <cellStyle name="Calculation 3 2 2 5 10" xfId="21434"/>
    <cellStyle name="Calculation 3 2 2 5 11" xfId="14593"/>
    <cellStyle name="Calculation 3 2 2 5 12" xfId="26489"/>
    <cellStyle name="Calculation 3 2 2 5 13" xfId="27665"/>
    <cellStyle name="Calculation 3 2 2 5 14" xfId="26122"/>
    <cellStyle name="Calculation 3 2 2 5 15" xfId="26831"/>
    <cellStyle name="Calculation 3 2 2 5 16" xfId="26668"/>
    <cellStyle name="Calculation 3 2 2 5 17" xfId="26000"/>
    <cellStyle name="Calculation 3 2 2 5 18" xfId="35172"/>
    <cellStyle name="Calculation 3 2 2 5 19" xfId="35389"/>
    <cellStyle name="Calculation 3 2 2 5 2" xfId="863"/>
    <cellStyle name="Calculation 3 2 2 5 2 10" xfId="23181"/>
    <cellStyle name="Calculation 3 2 2 5 2 11" xfId="24153"/>
    <cellStyle name="Calculation 3 2 2 5 2 12" xfId="25152"/>
    <cellStyle name="Calculation 3 2 2 5 2 13" xfId="28097"/>
    <cellStyle name="Calculation 3 2 2 5 2 14" xfId="29066"/>
    <cellStyle name="Calculation 3 2 2 5 2 15" xfId="30105"/>
    <cellStyle name="Calculation 3 2 2 5 2 16" xfId="31098"/>
    <cellStyle name="Calculation 3 2 2 5 2 17" xfId="32107"/>
    <cellStyle name="Calculation 3 2 2 5 2 18" xfId="33110"/>
    <cellStyle name="Calculation 3 2 2 5 2 19" xfId="34109"/>
    <cellStyle name="Calculation 3 2 2 5 2 2" xfId="864"/>
    <cellStyle name="Calculation 3 2 2 5 2 2 10" xfId="24154"/>
    <cellStyle name="Calculation 3 2 2 5 2 2 11" xfId="25153"/>
    <cellStyle name="Calculation 3 2 2 5 2 2 12" xfId="28098"/>
    <cellStyle name="Calculation 3 2 2 5 2 2 13" xfId="29067"/>
    <cellStyle name="Calculation 3 2 2 5 2 2 14" xfId="30106"/>
    <cellStyle name="Calculation 3 2 2 5 2 2 15" xfId="31099"/>
    <cellStyle name="Calculation 3 2 2 5 2 2 16" xfId="32108"/>
    <cellStyle name="Calculation 3 2 2 5 2 2 17" xfId="33111"/>
    <cellStyle name="Calculation 3 2 2 5 2 2 18" xfId="34110"/>
    <cellStyle name="Calculation 3 2 2 5 2 2 19" xfId="35731"/>
    <cellStyle name="Calculation 3 2 2 5 2 2 2" xfId="16134"/>
    <cellStyle name="Calculation 3 2 2 5 2 2 20" xfId="36670"/>
    <cellStyle name="Calculation 3 2 2 5 2 2 3" xfId="17112"/>
    <cellStyle name="Calculation 3 2 2 5 2 2 4" xfId="18140"/>
    <cellStyle name="Calculation 3 2 2 5 2 2 5" xfId="19172"/>
    <cellStyle name="Calculation 3 2 2 5 2 2 6" xfId="20194"/>
    <cellStyle name="Calculation 3 2 2 5 2 2 7" xfId="21203"/>
    <cellStyle name="Calculation 3 2 2 5 2 2 8" xfId="22177"/>
    <cellStyle name="Calculation 3 2 2 5 2 2 9" xfId="23182"/>
    <cellStyle name="Calculation 3 2 2 5 2 20" xfId="35730"/>
    <cellStyle name="Calculation 3 2 2 5 2 21" xfId="36669"/>
    <cellStyle name="Calculation 3 2 2 5 2 3" xfId="16133"/>
    <cellStyle name="Calculation 3 2 2 5 2 4" xfId="17111"/>
    <cellStyle name="Calculation 3 2 2 5 2 5" xfId="18139"/>
    <cellStyle name="Calculation 3 2 2 5 2 6" xfId="19171"/>
    <cellStyle name="Calculation 3 2 2 5 2 7" xfId="20193"/>
    <cellStyle name="Calculation 3 2 2 5 2 8" xfId="21202"/>
    <cellStyle name="Calculation 3 2 2 5 2 9" xfId="22176"/>
    <cellStyle name="Calculation 3 2 2 5 3" xfId="865"/>
    <cellStyle name="Calculation 3 2 2 5 3 10" xfId="23183"/>
    <cellStyle name="Calculation 3 2 2 5 3 11" xfId="24155"/>
    <cellStyle name="Calculation 3 2 2 5 3 12" xfId="25154"/>
    <cellStyle name="Calculation 3 2 2 5 3 13" xfId="28099"/>
    <cellStyle name="Calculation 3 2 2 5 3 14" xfId="29068"/>
    <cellStyle name="Calculation 3 2 2 5 3 15" xfId="30107"/>
    <cellStyle name="Calculation 3 2 2 5 3 16" xfId="31100"/>
    <cellStyle name="Calculation 3 2 2 5 3 17" xfId="32109"/>
    <cellStyle name="Calculation 3 2 2 5 3 18" xfId="33112"/>
    <cellStyle name="Calculation 3 2 2 5 3 19" xfId="34111"/>
    <cellStyle name="Calculation 3 2 2 5 3 2" xfId="866"/>
    <cellStyle name="Calculation 3 2 2 5 3 2 10" xfId="24156"/>
    <cellStyle name="Calculation 3 2 2 5 3 2 11" xfId="25155"/>
    <cellStyle name="Calculation 3 2 2 5 3 2 12" xfId="28100"/>
    <cellStyle name="Calculation 3 2 2 5 3 2 13" xfId="29069"/>
    <cellStyle name="Calculation 3 2 2 5 3 2 14" xfId="30108"/>
    <cellStyle name="Calculation 3 2 2 5 3 2 15" xfId="31101"/>
    <cellStyle name="Calculation 3 2 2 5 3 2 16" xfId="32110"/>
    <cellStyle name="Calculation 3 2 2 5 3 2 17" xfId="33113"/>
    <cellStyle name="Calculation 3 2 2 5 3 2 18" xfId="34112"/>
    <cellStyle name="Calculation 3 2 2 5 3 2 19" xfId="35733"/>
    <cellStyle name="Calculation 3 2 2 5 3 2 2" xfId="16136"/>
    <cellStyle name="Calculation 3 2 2 5 3 2 20" xfId="36672"/>
    <cellStyle name="Calculation 3 2 2 5 3 2 3" xfId="17114"/>
    <cellStyle name="Calculation 3 2 2 5 3 2 4" xfId="18142"/>
    <cellStyle name="Calculation 3 2 2 5 3 2 5" xfId="19174"/>
    <cellStyle name="Calculation 3 2 2 5 3 2 6" xfId="20196"/>
    <cellStyle name="Calculation 3 2 2 5 3 2 7" xfId="21205"/>
    <cellStyle name="Calculation 3 2 2 5 3 2 8" xfId="22179"/>
    <cellStyle name="Calculation 3 2 2 5 3 2 9" xfId="23184"/>
    <cellStyle name="Calculation 3 2 2 5 3 20" xfId="35732"/>
    <cellStyle name="Calculation 3 2 2 5 3 21" xfId="36671"/>
    <cellStyle name="Calculation 3 2 2 5 3 3" xfId="16135"/>
    <cellStyle name="Calculation 3 2 2 5 3 4" xfId="17113"/>
    <cellStyle name="Calculation 3 2 2 5 3 5" xfId="18141"/>
    <cellStyle name="Calculation 3 2 2 5 3 6" xfId="19173"/>
    <cellStyle name="Calculation 3 2 2 5 3 7" xfId="20195"/>
    <cellStyle name="Calculation 3 2 2 5 3 8" xfId="21204"/>
    <cellStyle name="Calculation 3 2 2 5 3 9" xfId="22178"/>
    <cellStyle name="Calculation 3 2 2 5 4" xfId="867"/>
    <cellStyle name="Calculation 3 2 2 5 4 10" xfId="23185"/>
    <cellStyle name="Calculation 3 2 2 5 4 11" xfId="24157"/>
    <cellStyle name="Calculation 3 2 2 5 4 12" xfId="25156"/>
    <cellStyle name="Calculation 3 2 2 5 4 13" xfId="28101"/>
    <cellStyle name="Calculation 3 2 2 5 4 14" xfId="29070"/>
    <cellStyle name="Calculation 3 2 2 5 4 15" xfId="30109"/>
    <cellStyle name="Calculation 3 2 2 5 4 16" xfId="31102"/>
    <cellStyle name="Calculation 3 2 2 5 4 17" xfId="32111"/>
    <cellStyle name="Calculation 3 2 2 5 4 18" xfId="33114"/>
    <cellStyle name="Calculation 3 2 2 5 4 19" xfId="34113"/>
    <cellStyle name="Calculation 3 2 2 5 4 2" xfId="868"/>
    <cellStyle name="Calculation 3 2 2 5 4 2 10" xfId="24158"/>
    <cellStyle name="Calculation 3 2 2 5 4 2 11" xfId="25157"/>
    <cellStyle name="Calculation 3 2 2 5 4 2 12" xfId="28102"/>
    <cellStyle name="Calculation 3 2 2 5 4 2 13" xfId="29071"/>
    <cellStyle name="Calculation 3 2 2 5 4 2 14" xfId="30110"/>
    <cellStyle name="Calculation 3 2 2 5 4 2 15" xfId="31103"/>
    <cellStyle name="Calculation 3 2 2 5 4 2 16" xfId="32112"/>
    <cellStyle name="Calculation 3 2 2 5 4 2 17" xfId="33115"/>
    <cellStyle name="Calculation 3 2 2 5 4 2 18" xfId="34114"/>
    <cellStyle name="Calculation 3 2 2 5 4 2 19" xfId="35735"/>
    <cellStyle name="Calculation 3 2 2 5 4 2 2" xfId="16138"/>
    <cellStyle name="Calculation 3 2 2 5 4 2 20" xfId="36674"/>
    <cellStyle name="Calculation 3 2 2 5 4 2 3" xfId="17116"/>
    <cellStyle name="Calculation 3 2 2 5 4 2 4" xfId="18144"/>
    <cellStyle name="Calculation 3 2 2 5 4 2 5" xfId="19176"/>
    <cellStyle name="Calculation 3 2 2 5 4 2 6" xfId="20198"/>
    <cellStyle name="Calculation 3 2 2 5 4 2 7" xfId="21207"/>
    <cellStyle name="Calculation 3 2 2 5 4 2 8" xfId="22181"/>
    <cellStyle name="Calculation 3 2 2 5 4 2 9" xfId="23186"/>
    <cellStyle name="Calculation 3 2 2 5 4 20" xfId="35734"/>
    <cellStyle name="Calculation 3 2 2 5 4 21" xfId="36673"/>
    <cellStyle name="Calculation 3 2 2 5 4 3" xfId="16137"/>
    <cellStyle name="Calculation 3 2 2 5 4 4" xfId="17115"/>
    <cellStyle name="Calculation 3 2 2 5 4 5" xfId="18143"/>
    <cellStyle name="Calculation 3 2 2 5 4 6" xfId="19175"/>
    <cellStyle name="Calculation 3 2 2 5 4 7" xfId="20197"/>
    <cellStyle name="Calculation 3 2 2 5 4 8" xfId="21206"/>
    <cellStyle name="Calculation 3 2 2 5 4 9" xfId="22180"/>
    <cellStyle name="Calculation 3 2 2 5 5" xfId="869"/>
    <cellStyle name="Calculation 3 2 2 5 5 10" xfId="24159"/>
    <cellStyle name="Calculation 3 2 2 5 5 11" xfId="25158"/>
    <cellStyle name="Calculation 3 2 2 5 5 12" xfId="28103"/>
    <cellStyle name="Calculation 3 2 2 5 5 13" xfId="29072"/>
    <cellStyle name="Calculation 3 2 2 5 5 14" xfId="30111"/>
    <cellStyle name="Calculation 3 2 2 5 5 15" xfId="31104"/>
    <cellStyle name="Calculation 3 2 2 5 5 16" xfId="32113"/>
    <cellStyle name="Calculation 3 2 2 5 5 17" xfId="33116"/>
    <cellStyle name="Calculation 3 2 2 5 5 18" xfId="34115"/>
    <cellStyle name="Calculation 3 2 2 5 5 19" xfId="35736"/>
    <cellStyle name="Calculation 3 2 2 5 5 2" xfId="16139"/>
    <cellStyle name="Calculation 3 2 2 5 5 20" xfId="36675"/>
    <cellStyle name="Calculation 3 2 2 5 5 3" xfId="17117"/>
    <cellStyle name="Calculation 3 2 2 5 5 4" xfId="18145"/>
    <cellStyle name="Calculation 3 2 2 5 5 5" xfId="19177"/>
    <cellStyle name="Calculation 3 2 2 5 5 6" xfId="20199"/>
    <cellStyle name="Calculation 3 2 2 5 5 7" xfId="21208"/>
    <cellStyle name="Calculation 3 2 2 5 5 8" xfId="22182"/>
    <cellStyle name="Calculation 3 2 2 5 5 9" xfId="23187"/>
    <cellStyle name="Calculation 3 2 2 5 6" xfId="14072"/>
    <cellStyle name="Calculation 3 2 2 5 7" xfId="13509"/>
    <cellStyle name="Calculation 3 2 2 5 8" xfId="13833"/>
    <cellStyle name="Calculation 3 2 2 5 9" xfId="14253"/>
    <cellStyle name="Calculation 3 2 2 6" xfId="870"/>
    <cellStyle name="Calculation 3 2 2 6 10" xfId="23188"/>
    <cellStyle name="Calculation 3 2 2 6 11" xfId="24160"/>
    <cellStyle name="Calculation 3 2 2 6 12" xfId="25159"/>
    <cellStyle name="Calculation 3 2 2 6 13" xfId="28104"/>
    <cellStyle name="Calculation 3 2 2 6 14" xfId="29073"/>
    <cellStyle name="Calculation 3 2 2 6 15" xfId="30112"/>
    <cellStyle name="Calculation 3 2 2 6 16" xfId="31105"/>
    <cellStyle name="Calculation 3 2 2 6 17" xfId="32114"/>
    <cellStyle name="Calculation 3 2 2 6 18" xfId="33117"/>
    <cellStyle name="Calculation 3 2 2 6 19" xfId="34116"/>
    <cellStyle name="Calculation 3 2 2 6 2" xfId="871"/>
    <cellStyle name="Calculation 3 2 2 6 2 10" xfId="24161"/>
    <cellStyle name="Calculation 3 2 2 6 2 11" xfId="25160"/>
    <cellStyle name="Calculation 3 2 2 6 2 12" xfId="28105"/>
    <cellStyle name="Calculation 3 2 2 6 2 13" xfId="29074"/>
    <cellStyle name="Calculation 3 2 2 6 2 14" xfId="30113"/>
    <cellStyle name="Calculation 3 2 2 6 2 15" xfId="31106"/>
    <cellStyle name="Calculation 3 2 2 6 2 16" xfId="32115"/>
    <cellStyle name="Calculation 3 2 2 6 2 17" xfId="33118"/>
    <cellStyle name="Calculation 3 2 2 6 2 18" xfId="34117"/>
    <cellStyle name="Calculation 3 2 2 6 2 19" xfId="35738"/>
    <cellStyle name="Calculation 3 2 2 6 2 2" xfId="16141"/>
    <cellStyle name="Calculation 3 2 2 6 2 20" xfId="36677"/>
    <cellStyle name="Calculation 3 2 2 6 2 3" xfId="17119"/>
    <cellStyle name="Calculation 3 2 2 6 2 4" xfId="18147"/>
    <cellStyle name="Calculation 3 2 2 6 2 5" xfId="19179"/>
    <cellStyle name="Calculation 3 2 2 6 2 6" xfId="20201"/>
    <cellStyle name="Calculation 3 2 2 6 2 7" xfId="21210"/>
    <cellStyle name="Calculation 3 2 2 6 2 8" xfId="22184"/>
    <cellStyle name="Calculation 3 2 2 6 2 9" xfId="23189"/>
    <cellStyle name="Calculation 3 2 2 6 20" xfId="35737"/>
    <cellStyle name="Calculation 3 2 2 6 21" xfId="36676"/>
    <cellStyle name="Calculation 3 2 2 6 3" xfId="16140"/>
    <cellStyle name="Calculation 3 2 2 6 4" xfId="17118"/>
    <cellStyle name="Calculation 3 2 2 6 5" xfId="18146"/>
    <cellStyle name="Calculation 3 2 2 6 6" xfId="19178"/>
    <cellStyle name="Calculation 3 2 2 6 7" xfId="20200"/>
    <cellStyle name="Calculation 3 2 2 6 8" xfId="21209"/>
    <cellStyle name="Calculation 3 2 2 6 9" xfId="22183"/>
    <cellStyle name="Calculation 3 2 2 7" xfId="872"/>
    <cellStyle name="Calculation 3 2 2 7 10" xfId="23190"/>
    <cellStyle name="Calculation 3 2 2 7 11" xfId="24162"/>
    <cellStyle name="Calculation 3 2 2 7 12" xfId="25161"/>
    <cellStyle name="Calculation 3 2 2 7 13" xfId="28106"/>
    <cellStyle name="Calculation 3 2 2 7 14" xfId="29075"/>
    <cellStyle name="Calculation 3 2 2 7 15" xfId="30114"/>
    <cellStyle name="Calculation 3 2 2 7 16" xfId="31107"/>
    <cellStyle name="Calculation 3 2 2 7 17" xfId="32116"/>
    <cellStyle name="Calculation 3 2 2 7 18" xfId="33119"/>
    <cellStyle name="Calculation 3 2 2 7 19" xfId="34118"/>
    <cellStyle name="Calculation 3 2 2 7 2" xfId="873"/>
    <cellStyle name="Calculation 3 2 2 7 2 10" xfId="24163"/>
    <cellStyle name="Calculation 3 2 2 7 2 11" xfId="25162"/>
    <cellStyle name="Calculation 3 2 2 7 2 12" xfId="28107"/>
    <cellStyle name="Calculation 3 2 2 7 2 13" xfId="29076"/>
    <cellStyle name="Calculation 3 2 2 7 2 14" xfId="30115"/>
    <cellStyle name="Calculation 3 2 2 7 2 15" xfId="31108"/>
    <cellStyle name="Calculation 3 2 2 7 2 16" xfId="32117"/>
    <cellStyle name="Calculation 3 2 2 7 2 17" xfId="33120"/>
    <cellStyle name="Calculation 3 2 2 7 2 18" xfId="34119"/>
    <cellStyle name="Calculation 3 2 2 7 2 19" xfId="35740"/>
    <cellStyle name="Calculation 3 2 2 7 2 2" xfId="16143"/>
    <cellStyle name="Calculation 3 2 2 7 2 20" xfId="36679"/>
    <cellStyle name="Calculation 3 2 2 7 2 3" xfId="17121"/>
    <cellStyle name="Calculation 3 2 2 7 2 4" xfId="18149"/>
    <cellStyle name="Calculation 3 2 2 7 2 5" xfId="19181"/>
    <cellStyle name="Calculation 3 2 2 7 2 6" xfId="20203"/>
    <cellStyle name="Calculation 3 2 2 7 2 7" xfId="21212"/>
    <cellStyle name="Calculation 3 2 2 7 2 8" xfId="22186"/>
    <cellStyle name="Calculation 3 2 2 7 2 9" xfId="23191"/>
    <cellStyle name="Calculation 3 2 2 7 20" xfId="35739"/>
    <cellStyle name="Calculation 3 2 2 7 21" xfId="36678"/>
    <cellStyle name="Calculation 3 2 2 7 3" xfId="16142"/>
    <cellStyle name="Calculation 3 2 2 7 4" xfId="17120"/>
    <cellStyle name="Calculation 3 2 2 7 5" xfId="18148"/>
    <cellStyle name="Calculation 3 2 2 7 6" xfId="19180"/>
    <cellStyle name="Calculation 3 2 2 7 7" xfId="20202"/>
    <cellStyle name="Calculation 3 2 2 7 8" xfId="21211"/>
    <cellStyle name="Calculation 3 2 2 7 9" xfId="22185"/>
    <cellStyle name="Calculation 3 2 2 8" xfId="874"/>
    <cellStyle name="Calculation 3 2 2 8 10" xfId="23192"/>
    <cellStyle name="Calculation 3 2 2 8 11" xfId="24164"/>
    <cellStyle name="Calculation 3 2 2 8 12" xfId="25163"/>
    <cellStyle name="Calculation 3 2 2 8 13" xfId="28108"/>
    <cellStyle name="Calculation 3 2 2 8 14" xfId="29077"/>
    <cellStyle name="Calculation 3 2 2 8 15" xfId="30116"/>
    <cellStyle name="Calculation 3 2 2 8 16" xfId="31109"/>
    <cellStyle name="Calculation 3 2 2 8 17" xfId="32118"/>
    <cellStyle name="Calculation 3 2 2 8 18" xfId="33121"/>
    <cellStyle name="Calculation 3 2 2 8 19" xfId="34120"/>
    <cellStyle name="Calculation 3 2 2 8 2" xfId="875"/>
    <cellStyle name="Calculation 3 2 2 8 2 10" xfId="24165"/>
    <cellStyle name="Calculation 3 2 2 8 2 11" xfId="25164"/>
    <cellStyle name="Calculation 3 2 2 8 2 12" xfId="28109"/>
    <cellStyle name="Calculation 3 2 2 8 2 13" xfId="29078"/>
    <cellStyle name="Calculation 3 2 2 8 2 14" xfId="30117"/>
    <cellStyle name="Calculation 3 2 2 8 2 15" xfId="31110"/>
    <cellStyle name="Calculation 3 2 2 8 2 16" xfId="32119"/>
    <cellStyle name="Calculation 3 2 2 8 2 17" xfId="33122"/>
    <cellStyle name="Calculation 3 2 2 8 2 18" xfId="34121"/>
    <cellStyle name="Calculation 3 2 2 8 2 19" xfId="35742"/>
    <cellStyle name="Calculation 3 2 2 8 2 2" xfId="16145"/>
    <cellStyle name="Calculation 3 2 2 8 2 20" xfId="36681"/>
    <cellStyle name="Calculation 3 2 2 8 2 3" xfId="17123"/>
    <cellStyle name="Calculation 3 2 2 8 2 4" xfId="18151"/>
    <cellStyle name="Calculation 3 2 2 8 2 5" xfId="19183"/>
    <cellStyle name="Calculation 3 2 2 8 2 6" xfId="20205"/>
    <cellStyle name="Calculation 3 2 2 8 2 7" xfId="21214"/>
    <cellStyle name="Calculation 3 2 2 8 2 8" xfId="22188"/>
    <cellStyle name="Calculation 3 2 2 8 2 9" xfId="23193"/>
    <cellStyle name="Calculation 3 2 2 8 20" xfId="35741"/>
    <cellStyle name="Calculation 3 2 2 8 21" xfId="36680"/>
    <cellStyle name="Calculation 3 2 2 8 3" xfId="16144"/>
    <cellStyle name="Calculation 3 2 2 8 4" xfId="17122"/>
    <cellStyle name="Calculation 3 2 2 8 5" xfId="18150"/>
    <cellStyle name="Calculation 3 2 2 8 6" xfId="19182"/>
    <cellStyle name="Calculation 3 2 2 8 7" xfId="20204"/>
    <cellStyle name="Calculation 3 2 2 8 8" xfId="21213"/>
    <cellStyle name="Calculation 3 2 2 8 9" xfId="22187"/>
    <cellStyle name="Calculation 3 2 2 9" xfId="876"/>
    <cellStyle name="Calculation 3 2 2 9 10" xfId="24166"/>
    <cellStyle name="Calculation 3 2 2 9 11" xfId="25165"/>
    <cellStyle name="Calculation 3 2 2 9 12" xfId="28110"/>
    <cellStyle name="Calculation 3 2 2 9 13" xfId="29079"/>
    <cellStyle name="Calculation 3 2 2 9 14" xfId="30118"/>
    <cellStyle name="Calculation 3 2 2 9 15" xfId="31111"/>
    <cellStyle name="Calculation 3 2 2 9 16" xfId="32120"/>
    <cellStyle name="Calculation 3 2 2 9 17" xfId="33123"/>
    <cellStyle name="Calculation 3 2 2 9 18" xfId="34122"/>
    <cellStyle name="Calculation 3 2 2 9 19" xfId="35743"/>
    <cellStyle name="Calculation 3 2 2 9 2" xfId="16146"/>
    <cellStyle name="Calculation 3 2 2 9 20" xfId="36682"/>
    <cellStyle name="Calculation 3 2 2 9 3" xfId="17124"/>
    <cellStyle name="Calculation 3 2 2 9 4" xfId="18152"/>
    <cellStyle name="Calculation 3 2 2 9 5" xfId="19184"/>
    <cellStyle name="Calculation 3 2 2 9 6" xfId="20206"/>
    <cellStyle name="Calculation 3 2 2 9 7" xfId="21215"/>
    <cellStyle name="Calculation 3 2 2 9 8" xfId="22189"/>
    <cellStyle name="Calculation 3 2 2 9 9" xfId="23194"/>
    <cellStyle name="Calculation 3 2 3" xfId="877"/>
    <cellStyle name="Calculation 3 2 3 10" xfId="13985"/>
    <cellStyle name="Calculation 3 2 3 11" xfId="14336"/>
    <cellStyle name="Calculation 3 2 3 12" xfId="18912"/>
    <cellStyle name="Calculation 3 2 3 13" xfId="14340"/>
    <cellStyle name="Calculation 3 2 3 14" xfId="21848"/>
    <cellStyle name="Calculation 3 2 3 15" xfId="20945"/>
    <cellStyle name="Calculation 3 2 3 16" xfId="26073"/>
    <cellStyle name="Calculation 3 2 3 17" xfId="26237"/>
    <cellStyle name="Calculation 3 2 3 18" xfId="28747"/>
    <cellStyle name="Calculation 3 2 3 19" xfId="25913"/>
    <cellStyle name="Calculation 3 2 3 2" xfId="878"/>
    <cellStyle name="Calculation 3 2 3 2 10" xfId="14373"/>
    <cellStyle name="Calculation 3 2 3 2 11" xfId="14940"/>
    <cellStyle name="Calculation 3 2 3 2 12" xfId="26296"/>
    <cellStyle name="Calculation 3 2 3 2 13" xfId="27182"/>
    <cellStyle name="Calculation 3 2 3 2 14" xfId="25918"/>
    <cellStyle name="Calculation 3 2 3 2 15" xfId="27476"/>
    <cellStyle name="Calculation 3 2 3 2 16" xfId="26903"/>
    <cellStyle name="Calculation 3 2 3 2 17" xfId="26896"/>
    <cellStyle name="Calculation 3 2 3 2 18" xfId="34992"/>
    <cellStyle name="Calculation 3 2 3 2 19" xfId="34922"/>
    <cellStyle name="Calculation 3 2 3 2 2" xfId="879"/>
    <cellStyle name="Calculation 3 2 3 2 2 10" xfId="23195"/>
    <cellStyle name="Calculation 3 2 3 2 2 11" xfId="24167"/>
    <cellStyle name="Calculation 3 2 3 2 2 12" xfId="25166"/>
    <cellStyle name="Calculation 3 2 3 2 2 13" xfId="28111"/>
    <cellStyle name="Calculation 3 2 3 2 2 14" xfId="29080"/>
    <cellStyle name="Calculation 3 2 3 2 2 15" xfId="30119"/>
    <cellStyle name="Calculation 3 2 3 2 2 16" xfId="31112"/>
    <cellStyle name="Calculation 3 2 3 2 2 17" xfId="32121"/>
    <cellStyle name="Calculation 3 2 3 2 2 18" xfId="33124"/>
    <cellStyle name="Calculation 3 2 3 2 2 19" xfId="34123"/>
    <cellStyle name="Calculation 3 2 3 2 2 2" xfId="880"/>
    <cellStyle name="Calculation 3 2 3 2 2 2 10" xfId="24168"/>
    <cellStyle name="Calculation 3 2 3 2 2 2 11" xfId="25167"/>
    <cellStyle name="Calculation 3 2 3 2 2 2 12" xfId="28112"/>
    <cellStyle name="Calculation 3 2 3 2 2 2 13" xfId="29081"/>
    <cellStyle name="Calculation 3 2 3 2 2 2 14" xfId="30120"/>
    <cellStyle name="Calculation 3 2 3 2 2 2 15" xfId="31113"/>
    <cellStyle name="Calculation 3 2 3 2 2 2 16" xfId="32122"/>
    <cellStyle name="Calculation 3 2 3 2 2 2 17" xfId="33125"/>
    <cellStyle name="Calculation 3 2 3 2 2 2 18" xfId="34124"/>
    <cellStyle name="Calculation 3 2 3 2 2 2 19" xfId="35745"/>
    <cellStyle name="Calculation 3 2 3 2 2 2 2" xfId="16148"/>
    <cellStyle name="Calculation 3 2 3 2 2 2 20" xfId="36684"/>
    <cellStyle name="Calculation 3 2 3 2 2 2 3" xfId="17126"/>
    <cellStyle name="Calculation 3 2 3 2 2 2 4" xfId="18154"/>
    <cellStyle name="Calculation 3 2 3 2 2 2 5" xfId="19186"/>
    <cellStyle name="Calculation 3 2 3 2 2 2 6" xfId="20208"/>
    <cellStyle name="Calculation 3 2 3 2 2 2 7" xfId="21217"/>
    <cellStyle name="Calculation 3 2 3 2 2 2 8" xfId="22191"/>
    <cellStyle name="Calculation 3 2 3 2 2 2 9" xfId="23196"/>
    <cellStyle name="Calculation 3 2 3 2 2 20" xfId="35744"/>
    <cellStyle name="Calculation 3 2 3 2 2 21" xfId="36683"/>
    <cellStyle name="Calculation 3 2 3 2 2 3" xfId="16147"/>
    <cellStyle name="Calculation 3 2 3 2 2 4" xfId="17125"/>
    <cellStyle name="Calculation 3 2 3 2 2 5" xfId="18153"/>
    <cellStyle name="Calculation 3 2 3 2 2 6" xfId="19185"/>
    <cellStyle name="Calculation 3 2 3 2 2 7" xfId="20207"/>
    <cellStyle name="Calculation 3 2 3 2 2 8" xfId="21216"/>
    <cellStyle name="Calculation 3 2 3 2 2 9" xfId="22190"/>
    <cellStyle name="Calculation 3 2 3 2 3" xfId="881"/>
    <cellStyle name="Calculation 3 2 3 2 3 10" xfId="23197"/>
    <cellStyle name="Calculation 3 2 3 2 3 11" xfId="24169"/>
    <cellStyle name="Calculation 3 2 3 2 3 12" xfId="25168"/>
    <cellStyle name="Calculation 3 2 3 2 3 13" xfId="28113"/>
    <cellStyle name="Calculation 3 2 3 2 3 14" xfId="29082"/>
    <cellStyle name="Calculation 3 2 3 2 3 15" xfId="30121"/>
    <cellStyle name="Calculation 3 2 3 2 3 16" xfId="31114"/>
    <cellStyle name="Calculation 3 2 3 2 3 17" xfId="32123"/>
    <cellStyle name="Calculation 3 2 3 2 3 18" xfId="33126"/>
    <cellStyle name="Calculation 3 2 3 2 3 19" xfId="34125"/>
    <cellStyle name="Calculation 3 2 3 2 3 2" xfId="882"/>
    <cellStyle name="Calculation 3 2 3 2 3 2 10" xfId="24170"/>
    <cellStyle name="Calculation 3 2 3 2 3 2 11" xfId="25169"/>
    <cellStyle name="Calculation 3 2 3 2 3 2 12" xfId="28114"/>
    <cellStyle name="Calculation 3 2 3 2 3 2 13" xfId="29083"/>
    <cellStyle name="Calculation 3 2 3 2 3 2 14" xfId="30122"/>
    <cellStyle name="Calculation 3 2 3 2 3 2 15" xfId="31115"/>
    <cellStyle name="Calculation 3 2 3 2 3 2 16" xfId="32124"/>
    <cellStyle name="Calculation 3 2 3 2 3 2 17" xfId="33127"/>
    <cellStyle name="Calculation 3 2 3 2 3 2 18" xfId="34126"/>
    <cellStyle name="Calculation 3 2 3 2 3 2 19" xfId="35747"/>
    <cellStyle name="Calculation 3 2 3 2 3 2 2" xfId="16150"/>
    <cellStyle name="Calculation 3 2 3 2 3 2 20" xfId="36686"/>
    <cellStyle name="Calculation 3 2 3 2 3 2 3" xfId="17128"/>
    <cellStyle name="Calculation 3 2 3 2 3 2 4" xfId="18156"/>
    <cellStyle name="Calculation 3 2 3 2 3 2 5" xfId="19188"/>
    <cellStyle name="Calculation 3 2 3 2 3 2 6" xfId="20210"/>
    <cellStyle name="Calculation 3 2 3 2 3 2 7" xfId="21219"/>
    <cellStyle name="Calculation 3 2 3 2 3 2 8" xfId="22193"/>
    <cellStyle name="Calculation 3 2 3 2 3 2 9" xfId="23198"/>
    <cellStyle name="Calculation 3 2 3 2 3 20" xfId="35746"/>
    <cellStyle name="Calculation 3 2 3 2 3 21" xfId="36685"/>
    <cellStyle name="Calculation 3 2 3 2 3 3" xfId="16149"/>
    <cellStyle name="Calculation 3 2 3 2 3 4" xfId="17127"/>
    <cellStyle name="Calculation 3 2 3 2 3 5" xfId="18155"/>
    <cellStyle name="Calculation 3 2 3 2 3 6" xfId="19187"/>
    <cellStyle name="Calculation 3 2 3 2 3 7" xfId="20209"/>
    <cellStyle name="Calculation 3 2 3 2 3 8" xfId="21218"/>
    <cellStyle name="Calculation 3 2 3 2 3 9" xfId="22192"/>
    <cellStyle name="Calculation 3 2 3 2 4" xfId="883"/>
    <cellStyle name="Calculation 3 2 3 2 4 10" xfId="23199"/>
    <cellStyle name="Calculation 3 2 3 2 4 11" xfId="24171"/>
    <cellStyle name="Calculation 3 2 3 2 4 12" xfId="25170"/>
    <cellStyle name="Calculation 3 2 3 2 4 13" xfId="28115"/>
    <cellStyle name="Calculation 3 2 3 2 4 14" xfId="29084"/>
    <cellStyle name="Calculation 3 2 3 2 4 15" xfId="30123"/>
    <cellStyle name="Calculation 3 2 3 2 4 16" xfId="31116"/>
    <cellStyle name="Calculation 3 2 3 2 4 17" xfId="32125"/>
    <cellStyle name="Calculation 3 2 3 2 4 18" xfId="33128"/>
    <cellStyle name="Calculation 3 2 3 2 4 19" xfId="34127"/>
    <cellStyle name="Calculation 3 2 3 2 4 2" xfId="884"/>
    <cellStyle name="Calculation 3 2 3 2 4 2 10" xfId="24172"/>
    <cellStyle name="Calculation 3 2 3 2 4 2 11" xfId="25171"/>
    <cellStyle name="Calculation 3 2 3 2 4 2 12" xfId="28116"/>
    <cellStyle name="Calculation 3 2 3 2 4 2 13" xfId="29085"/>
    <cellStyle name="Calculation 3 2 3 2 4 2 14" xfId="30124"/>
    <cellStyle name="Calculation 3 2 3 2 4 2 15" xfId="31117"/>
    <cellStyle name="Calculation 3 2 3 2 4 2 16" xfId="32126"/>
    <cellStyle name="Calculation 3 2 3 2 4 2 17" xfId="33129"/>
    <cellStyle name="Calculation 3 2 3 2 4 2 18" xfId="34128"/>
    <cellStyle name="Calculation 3 2 3 2 4 2 19" xfId="35749"/>
    <cellStyle name="Calculation 3 2 3 2 4 2 2" xfId="16152"/>
    <cellStyle name="Calculation 3 2 3 2 4 2 20" xfId="36688"/>
    <cellStyle name="Calculation 3 2 3 2 4 2 3" xfId="17130"/>
    <cellStyle name="Calculation 3 2 3 2 4 2 4" xfId="18158"/>
    <cellStyle name="Calculation 3 2 3 2 4 2 5" xfId="19190"/>
    <cellStyle name="Calculation 3 2 3 2 4 2 6" xfId="20212"/>
    <cellStyle name="Calculation 3 2 3 2 4 2 7" xfId="21221"/>
    <cellStyle name="Calculation 3 2 3 2 4 2 8" xfId="22195"/>
    <cellStyle name="Calculation 3 2 3 2 4 2 9" xfId="23200"/>
    <cellStyle name="Calculation 3 2 3 2 4 20" xfId="35748"/>
    <cellStyle name="Calculation 3 2 3 2 4 21" xfId="36687"/>
    <cellStyle name="Calculation 3 2 3 2 4 3" xfId="16151"/>
    <cellStyle name="Calculation 3 2 3 2 4 4" xfId="17129"/>
    <cellStyle name="Calculation 3 2 3 2 4 5" xfId="18157"/>
    <cellStyle name="Calculation 3 2 3 2 4 6" xfId="19189"/>
    <cellStyle name="Calculation 3 2 3 2 4 7" xfId="20211"/>
    <cellStyle name="Calculation 3 2 3 2 4 8" xfId="21220"/>
    <cellStyle name="Calculation 3 2 3 2 4 9" xfId="22194"/>
    <cellStyle name="Calculation 3 2 3 2 5" xfId="885"/>
    <cellStyle name="Calculation 3 2 3 2 5 10" xfId="24173"/>
    <cellStyle name="Calculation 3 2 3 2 5 11" xfId="25172"/>
    <cellStyle name="Calculation 3 2 3 2 5 12" xfId="28117"/>
    <cellStyle name="Calculation 3 2 3 2 5 13" xfId="29086"/>
    <cellStyle name="Calculation 3 2 3 2 5 14" xfId="30125"/>
    <cellStyle name="Calculation 3 2 3 2 5 15" xfId="31118"/>
    <cellStyle name="Calculation 3 2 3 2 5 16" xfId="32127"/>
    <cellStyle name="Calculation 3 2 3 2 5 17" xfId="33130"/>
    <cellStyle name="Calculation 3 2 3 2 5 18" xfId="34129"/>
    <cellStyle name="Calculation 3 2 3 2 5 19" xfId="35750"/>
    <cellStyle name="Calculation 3 2 3 2 5 2" xfId="16153"/>
    <cellStyle name="Calculation 3 2 3 2 5 20" xfId="36689"/>
    <cellStyle name="Calculation 3 2 3 2 5 3" xfId="17131"/>
    <cellStyle name="Calculation 3 2 3 2 5 4" xfId="18159"/>
    <cellStyle name="Calculation 3 2 3 2 5 5" xfId="19191"/>
    <cellStyle name="Calculation 3 2 3 2 5 6" xfId="20213"/>
    <cellStyle name="Calculation 3 2 3 2 5 7" xfId="21222"/>
    <cellStyle name="Calculation 3 2 3 2 5 8" xfId="22196"/>
    <cellStyle name="Calculation 3 2 3 2 5 9" xfId="23201"/>
    <cellStyle name="Calculation 3 2 3 2 6" xfId="13715"/>
    <cellStyle name="Calculation 3 2 3 2 7" xfId="14132"/>
    <cellStyle name="Calculation 3 2 3 2 8" xfId="15624"/>
    <cellStyle name="Calculation 3 2 3 2 9" xfId="14944"/>
    <cellStyle name="Calculation 3 2 3 20" xfId="30845"/>
    <cellStyle name="Calculation 3 2 3 21" xfId="26674"/>
    <cellStyle name="Calculation 3 2 3 22" xfId="34935"/>
    <cellStyle name="Calculation 3 2 3 23" xfId="35367"/>
    <cellStyle name="Calculation 3 2 3 3" xfId="886"/>
    <cellStyle name="Calculation 3 2 3 3 10" xfId="14485"/>
    <cellStyle name="Calculation 3 2 3 3 11" xfId="15062"/>
    <cellStyle name="Calculation 3 2 3 3 12" xfId="26376"/>
    <cellStyle name="Calculation 3 2 3 3 13" xfId="27130"/>
    <cellStyle name="Calculation 3 2 3 3 14" xfId="26824"/>
    <cellStyle name="Calculation 3 2 3 3 15" xfId="29829"/>
    <cellStyle name="Calculation 3 2 3 3 16" xfId="26846"/>
    <cellStyle name="Calculation 3 2 3 3 17" xfId="27626"/>
    <cellStyle name="Calculation 3 2 3 3 18" xfId="35067"/>
    <cellStyle name="Calculation 3 2 3 3 19" xfId="35285"/>
    <cellStyle name="Calculation 3 2 3 3 2" xfId="887"/>
    <cellStyle name="Calculation 3 2 3 3 2 10" xfId="23202"/>
    <cellStyle name="Calculation 3 2 3 3 2 11" xfId="24174"/>
    <cellStyle name="Calculation 3 2 3 3 2 12" xfId="25173"/>
    <cellStyle name="Calculation 3 2 3 3 2 13" xfId="28118"/>
    <cellStyle name="Calculation 3 2 3 3 2 14" xfId="29087"/>
    <cellStyle name="Calculation 3 2 3 3 2 15" xfId="30126"/>
    <cellStyle name="Calculation 3 2 3 3 2 16" xfId="31119"/>
    <cellStyle name="Calculation 3 2 3 3 2 17" xfId="32128"/>
    <cellStyle name="Calculation 3 2 3 3 2 18" xfId="33131"/>
    <cellStyle name="Calculation 3 2 3 3 2 19" xfId="34130"/>
    <cellStyle name="Calculation 3 2 3 3 2 2" xfId="888"/>
    <cellStyle name="Calculation 3 2 3 3 2 2 10" xfId="24175"/>
    <cellStyle name="Calculation 3 2 3 3 2 2 11" xfId="25174"/>
    <cellStyle name="Calculation 3 2 3 3 2 2 12" xfId="28119"/>
    <cellStyle name="Calculation 3 2 3 3 2 2 13" xfId="29088"/>
    <cellStyle name="Calculation 3 2 3 3 2 2 14" xfId="30127"/>
    <cellStyle name="Calculation 3 2 3 3 2 2 15" xfId="31120"/>
    <cellStyle name="Calculation 3 2 3 3 2 2 16" xfId="32129"/>
    <cellStyle name="Calculation 3 2 3 3 2 2 17" xfId="33132"/>
    <cellStyle name="Calculation 3 2 3 3 2 2 18" xfId="34131"/>
    <cellStyle name="Calculation 3 2 3 3 2 2 19" xfId="35752"/>
    <cellStyle name="Calculation 3 2 3 3 2 2 2" xfId="16155"/>
    <cellStyle name="Calculation 3 2 3 3 2 2 20" xfId="36691"/>
    <cellStyle name="Calculation 3 2 3 3 2 2 3" xfId="17133"/>
    <cellStyle name="Calculation 3 2 3 3 2 2 4" xfId="18161"/>
    <cellStyle name="Calculation 3 2 3 3 2 2 5" xfId="19193"/>
    <cellStyle name="Calculation 3 2 3 3 2 2 6" xfId="20215"/>
    <cellStyle name="Calculation 3 2 3 3 2 2 7" xfId="21224"/>
    <cellStyle name="Calculation 3 2 3 3 2 2 8" xfId="22198"/>
    <cellStyle name="Calculation 3 2 3 3 2 2 9" xfId="23203"/>
    <cellStyle name="Calculation 3 2 3 3 2 20" xfId="35751"/>
    <cellStyle name="Calculation 3 2 3 3 2 21" xfId="36690"/>
    <cellStyle name="Calculation 3 2 3 3 2 3" xfId="16154"/>
    <cellStyle name="Calculation 3 2 3 3 2 4" xfId="17132"/>
    <cellStyle name="Calculation 3 2 3 3 2 5" xfId="18160"/>
    <cellStyle name="Calculation 3 2 3 3 2 6" xfId="19192"/>
    <cellStyle name="Calculation 3 2 3 3 2 7" xfId="20214"/>
    <cellStyle name="Calculation 3 2 3 3 2 8" xfId="21223"/>
    <cellStyle name="Calculation 3 2 3 3 2 9" xfId="22197"/>
    <cellStyle name="Calculation 3 2 3 3 3" xfId="889"/>
    <cellStyle name="Calculation 3 2 3 3 3 10" xfId="23204"/>
    <cellStyle name="Calculation 3 2 3 3 3 11" xfId="24176"/>
    <cellStyle name="Calculation 3 2 3 3 3 12" xfId="25175"/>
    <cellStyle name="Calculation 3 2 3 3 3 13" xfId="28120"/>
    <cellStyle name="Calculation 3 2 3 3 3 14" xfId="29089"/>
    <cellStyle name="Calculation 3 2 3 3 3 15" xfId="30128"/>
    <cellStyle name="Calculation 3 2 3 3 3 16" xfId="31121"/>
    <cellStyle name="Calculation 3 2 3 3 3 17" xfId="32130"/>
    <cellStyle name="Calculation 3 2 3 3 3 18" xfId="33133"/>
    <cellStyle name="Calculation 3 2 3 3 3 19" xfId="34132"/>
    <cellStyle name="Calculation 3 2 3 3 3 2" xfId="890"/>
    <cellStyle name="Calculation 3 2 3 3 3 2 10" xfId="24177"/>
    <cellStyle name="Calculation 3 2 3 3 3 2 11" xfId="25176"/>
    <cellStyle name="Calculation 3 2 3 3 3 2 12" xfId="28121"/>
    <cellStyle name="Calculation 3 2 3 3 3 2 13" xfId="29090"/>
    <cellStyle name="Calculation 3 2 3 3 3 2 14" xfId="30129"/>
    <cellStyle name="Calculation 3 2 3 3 3 2 15" xfId="31122"/>
    <cellStyle name="Calculation 3 2 3 3 3 2 16" xfId="32131"/>
    <cellStyle name="Calculation 3 2 3 3 3 2 17" xfId="33134"/>
    <cellStyle name="Calculation 3 2 3 3 3 2 18" xfId="34133"/>
    <cellStyle name="Calculation 3 2 3 3 3 2 19" xfId="35754"/>
    <cellStyle name="Calculation 3 2 3 3 3 2 2" xfId="16157"/>
    <cellStyle name="Calculation 3 2 3 3 3 2 20" xfId="36693"/>
    <cellStyle name="Calculation 3 2 3 3 3 2 3" xfId="17135"/>
    <cellStyle name="Calculation 3 2 3 3 3 2 4" xfId="18163"/>
    <cellStyle name="Calculation 3 2 3 3 3 2 5" xfId="19195"/>
    <cellStyle name="Calculation 3 2 3 3 3 2 6" xfId="20217"/>
    <cellStyle name="Calculation 3 2 3 3 3 2 7" xfId="21226"/>
    <cellStyle name="Calculation 3 2 3 3 3 2 8" xfId="22200"/>
    <cellStyle name="Calculation 3 2 3 3 3 2 9" xfId="23205"/>
    <cellStyle name="Calculation 3 2 3 3 3 20" xfId="35753"/>
    <cellStyle name="Calculation 3 2 3 3 3 21" xfId="36692"/>
    <cellStyle name="Calculation 3 2 3 3 3 3" xfId="16156"/>
    <cellStyle name="Calculation 3 2 3 3 3 4" xfId="17134"/>
    <cellStyle name="Calculation 3 2 3 3 3 5" xfId="18162"/>
    <cellStyle name="Calculation 3 2 3 3 3 6" xfId="19194"/>
    <cellStyle name="Calculation 3 2 3 3 3 7" xfId="20216"/>
    <cellStyle name="Calculation 3 2 3 3 3 8" xfId="21225"/>
    <cellStyle name="Calculation 3 2 3 3 3 9" xfId="22199"/>
    <cellStyle name="Calculation 3 2 3 3 4" xfId="891"/>
    <cellStyle name="Calculation 3 2 3 3 4 10" xfId="23206"/>
    <cellStyle name="Calculation 3 2 3 3 4 11" xfId="24178"/>
    <cellStyle name="Calculation 3 2 3 3 4 12" xfId="25177"/>
    <cellStyle name="Calculation 3 2 3 3 4 13" xfId="28122"/>
    <cellStyle name="Calculation 3 2 3 3 4 14" xfId="29091"/>
    <cellStyle name="Calculation 3 2 3 3 4 15" xfId="30130"/>
    <cellStyle name="Calculation 3 2 3 3 4 16" xfId="31123"/>
    <cellStyle name="Calculation 3 2 3 3 4 17" xfId="32132"/>
    <cellStyle name="Calculation 3 2 3 3 4 18" xfId="33135"/>
    <cellStyle name="Calculation 3 2 3 3 4 19" xfId="34134"/>
    <cellStyle name="Calculation 3 2 3 3 4 2" xfId="892"/>
    <cellStyle name="Calculation 3 2 3 3 4 2 10" xfId="24179"/>
    <cellStyle name="Calculation 3 2 3 3 4 2 11" xfId="25178"/>
    <cellStyle name="Calculation 3 2 3 3 4 2 12" xfId="28123"/>
    <cellStyle name="Calculation 3 2 3 3 4 2 13" xfId="29092"/>
    <cellStyle name="Calculation 3 2 3 3 4 2 14" xfId="30131"/>
    <cellStyle name="Calculation 3 2 3 3 4 2 15" xfId="31124"/>
    <cellStyle name="Calculation 3 2 3 3 4 2 16" xfId="32133"/>
    <cellStyle name="Calculation 3 2 3 3 4 2 17" xfId="33136"/>
    <cellStyle name="Calculation 3 2 3 3 4 2 18" xfId="34135"/>
    <cellStyle name="Calculation 3 2 3 3 4 2 19" xfId="35756"/>
    <cellStyle name="Calculation 3 2 3 3 4 2 2" xfId="16159"/>
    <cellStyle name="Calculation 3 2 3 3 4 2 20" xfId="36695"/>
    <cellStyle name="Calculation 3 2 3 3 4 2 3" xfId="17137"/>
    <cellStyle name="Calculation 3 2 3 3 4 2 4" xfId="18165"/>
    <cellStyle name="Calculation 3 2 3 3 4 2 5" xfId="19197"/>
    <cellStyle name="Calculation 3 2 3 3 4 2 6" xfId="20219"/>
    <cellStyle name="Calculation 3 2 3 3 4 2 7" xfId="21228"/>
    <cellStyle name="Calculation 3 2 3 3 4 2 8" xfId="22202"/>
    <cellStyle name="Calculation 3 2 3 3 4 2 9" xfId="23207"/>
    <cellStyle name="Calculation 3 2 3 3 4 20" xfId="35755"/>
    <cellStyle name="Calculation 3 2 3 3 4 21" xfId="36694"/>
    <cellStyle name="Calculation 3 2 3 3 4 3" xfId="16158"/>
    <cellStyle name="Calculation 3 2 3 3 4 4" xfId="17136"/>
    <cellStyle name="Calculation 3 2 3 3 4 5" xfId="18164"/>
    <cellStyle name="Calculation 3 2 3 3 4 6" xfId="19196"/>
    <cellStyle name="Calculation 3 2 3 3 4 7" xfId="20218"/>
    <cellStyle name="Calculation 3 2 3 3 4 8" xfId="21227"/>
    <cellStyle name="Calculation 3 2 3 3 4 9" xfId="22201"/>
    <cellStyle name="Calculation 3 2 3 3 5" xfId="893"/>
    <cellStyle name="Calculation 3 2 3 3 5 10" xfId="24180"/>
    <cellStyle name="Calculation 3 2 3 3 5 11" xfId="25179"/>
    <cellStyle name="Calculation 3 2 3 3 5 12" xfId="28124"/>
    <cellStyle name="Calculation 3 2 3 3 5 13" xfId="29093"/>
    <cellStyle name="Calculation 3 2 3 3 5 14" xfId="30132"/>
    <cellStyle name="Calculation 3 2 3 3 5 15" xfId="31125"/>
    <cellStyle name="Calculation 3 2 3 3 5 16" xfId="32134"/>
    <cellStyle name="Calculation 3 2 3 3 5 17" xfId="33137"/>
    <cellStyle name="Calculation 3 2 3 3 5 18" xfId="34136"/>
    <cellStyle name="Calculation 3 2 3 3 5 19" xfId="35757"/>
    <cellStyle name="Calculation 3 2 3 3 5 2" xfId="16160"/>
    <cellStyle name="Calculation 3 2 3 3 5 20" xfId="36696"/>
    <cellStyle name="Calculation 3 2 3 3 5 3" xfId="17138"/>
    <cellStyle name="Calculation 3 2 3 3 5 4" xfId="18166"/>
    <cellStyle name="Calculation 3 2 3 3 5 5" xfId="19198"/>
    <cellStyle name="Calculation 3 2 3 3 5 6" xfId="20220"/>
    <cellStyle name="Calculation 3 2 3 3 5 7" xfId="21229"/>
    <cellStyle name="Calculation 3 2 3 3 5 8" xfId="22203"/>
    <cellStyle name="Calculation 3 2 3 3 5 9" xfId="23208"/>
    <cellStyle name="Calculation 3 2 3 3 6" xfId="14047"/>
    <cellStyle name="Calculation 3 2 3 3 7" xfId="14468"/>
    <cellStyle name="Calculation 3 2 3 3 8" xfId="15452"/>
    <cellStyle name="Calculation 3 2 3 3 9" xfId="15039"/>
    <cellStyle name="Calculation 3 2 3 4" xfId="894"/>
    <cellStyle name="Calculation 3 2 3 4 10" xfId="13901"/>
    <cellStyle name="Calculation 3 2 3 4 11" xfId="13592"/>
    <cellStyle name="Calculation 3 2 3 4 12" xfId="26480"/>
    <cellStyle name="Calculation 3 2 3 4 13" xfId="27062"/>
    <cellStyle name="Calculation 3 2 3 4 14" xfId="26179"/>
    <cellStyle name="Calculation 3 2 3 4 15" xfId="26558"/>
    <cellStyle name="Calculation 3 2 3 4 16" xfId="27594"/>
    <cellStyle name="Calculation 3 2 3 4 17" xfId="27359"/>
    <cellStyle name="Calculation 3 2 3 4 18" xfId="35163"/>
    <cellStyle name="Calculation 3 2 3 4 19" xfId="35217"/>
    <cellStyle name="Calculation 3 2 3 4 2" xfId="895"/>
    <cellStyle name="Calculation 3 2 3 4 2 10" xfId="23209"/>
    <cellStyle name="Calculation 3 2 3 4 2 11" xfId="24181"/>
    <cellStyle name="Calculation 3 2 3 4 2 12" xfId="25180"/>
    <cellStyle name="Calculation 3 2 3 4 2 13" xfId="28125"/>
    <cellStyle name="Calculation 3 2 3 4 2 14" xfId="29094"/>
    <cellStyle name="Calculation 3 2 3 4 2 15" xfId="30133"/>
    <cellStyle name="Calculation 3 2 3 4 2 16" xfId="31126"/>
    <cellStyle name="Calculation 3 2 3 4 2 17" xfId="32135"/>
    <cellStyle name="Calculation 3 2 3 4 2 18" xfId="33138"/>
    <cellStyle name="Calculation 3 2 3 4 2 19" xfId="34137"/>
    <cellStyle name="Calculation 3 2 3 4 2 2" xfId="896"/>
    <cellStyle name="Calculation 3 2 3 4 2 2 10" xfId="24182"/>
    <cellStyle name="Calculation 3 2 3 4 2 2 11" xfId="25181"/>
    <cellStyle name="Calculation 3 2 3 4 2 2 12" xfId="28126"/>
    <cellStyle name="Calculation 3 2 3 4 2 2 13" xfId="29095"/>
    <cellStyle name="Calculation 3 2 3 4 2 2 14" xfId="30134"/>
    <cellStyle name="Calculation 3 2 3 4 2 2 15" xfId="31127"/>
    <cellStyle name="Calculation 3 2 3 4 2 2 16" xfId="32136"/>
    <cellStyle name="Calculation 3 2 3 4 2 2 17" xfId="33139"/>
    <cellStyle name="Calculation 3 2 3 4 2 2 18" xfId="34138"/>
    <cellStyle name="Calculation 3 2 3 4 2 2 19" xfId="35759"/>
    <cellStyle name="Calculation 3 2 3 4 2 2 2" xfId="16162"/>
    <cellStyle name="Calculation 3 2 3 4 2 2 20" xfId="36698"/>
    <cellStyle name="Calculation 3 2 3 4 2 2 3" xfId="17140"/>
    <cellStyle name="Calculation 3 2 3 4 2 2 4" xfId="18168"/>
    <cellStyle name="Calculation 3 2 3 4 2 2 5" xfId="19200"/>
    <cellStyle name="Calculation 3 2 3 4 2 2 6" xfId="20222"/>
    <cellStyle name="Calculation 3 2 3 4 2 2 7" xfId="21231"/>
    <cellStyle name="Calculation 3 2 3 4 2 2 8" xfId="22205"/>
    <cellStyle name="Calculation 3 2 3 4 2 2 9" xfId="23210"/>
    <cellStyle name="Calculation 3 2 3 4 2 20" xfId="35758"/>
    <cellStyle name="Calculation 3 2 3 4 2 21" xfId="36697"/>
    <cellStyle name="Calculation 3 2 3 4 2 3" xfId="16161"/>
    <cellStyle name="Calculation 3 2 3 4 2 4" xfId="17139"/>
    <cellStyle name="Calculation 3 2 3 4 2 5" xfId="18167"/>
    <cellStyle name="Calculation 3 2 3 4 2 6" xfId="19199"/>
    <cellStyle name="Calculation 3 2 3 4 2 7" xfId="20221"/>
    <cellStyle name="Calculation 3 2 3 4 2 8" xfId="21230"/>
    <cellStyle name="Calculation 3 2 3 4 2 9" xfId="22204"/>
    <cellStyle name="Calculation 3 2 3 4 3" xfId="897"/>
    <cellStyle name="Calculation 3 2 3 4 3 10" xfId="23211"/>
    <cellStyle name="Calculation 3 2 3 4 3 11" xfId="24183"/>
    <cellStyle name="Calculation 3 2 3 4 3 12" xfId="25182"/>
    <cellStyle name="Calculation 3 2 3 4 3 13" xfId="28127"/>
    <cellStyle name="Calculation 3 2 3 4 3 14" xfId="29096"/>
    <cellStyle name="Calculation 3 2 3 4 3 15" xfId="30135"/>
    <cellStyle name="Calculation 3 2 3 4 3 16" xfId="31128"/>
    <cellStyle name="Calculation 3 2 3 4 3 17" xfId="32137"/>
    <cellStyle name="Calculation 3 2 3 4 3 18" xfId="33140"/>
    <cellStyle name="Calculation 3 2 3 4 3 19" xfId="34139"/>
    <cellStyle name="Calculation 3 2 3 4 3 2" xfId="898"/>
    <cellStyle name="Calculation 3 2 3 4 3 2 10" xfId="24184"/>
    <cellStyle name="Calculation 3 2 3 4 3 2 11" xfId="25183"/>
    <cellStyle name="Calculation 3 2 3 4 3 2 12" xfId="28128"/>
    <cellStyle name="Calculation 3 2 3 4 3 2 13" xfId="29097"/>
    <cellStyle name="Calculation 3 2 3 4 3 2 14" xfId="30136"/>
    <cellStyle name="Calculation 3 2 3 4 3 2 15" xfId="31129"/>
    <cellStyle name="Calculation 3 2 3 4 3 2 16" xfId="32138"/>
    <cellStyle name="Calculation 3 2 3 4 3 2 17" xfId="33141"/>
    <cellStyle name="Calculation 3 2 3 4 3 2 18" xfId="34140"/>
    <cellStyle name="Calculation 3 2 3 4 3 2 19" xfId="35761"/>
    <cellStyle name="Calculation 3 2 3 4 3 2 2" xfId="16164"/>
    <cellStyle name="Calculation 3 2 3 4 3 2 20" xfId="36700"/>
    <cellStyle name="Calculation 3 2 3 4 3 2 3" xfId="17142"/>
    <cellStyle name="Calculation 3 2 3 4 3 2 4" xfId="18170"/>
    <cellStyle name="Calculation 3 2 3 4 3 2 5" xfId="19202"/>
    <cellStyle name="Calculation 3 2 3 4 3 2 6" xfId="20224"/>
    <cellStyle name="Calculation 3 2 3 4 3 2 7" xfId="21233"/>
    <cellStyle name="Calculation 3 2 3 4 3 2 8" xfId="22207"/>
    <cellStyle name="Calculation 3 2 3 4 3 2 9" xfId="23212"/>
    <cellStyle name="Calculation 3 2 3 4 3 20" xfId="35760"/>
    <cellStyle name="Calculation 3 2 3 4 3 21" xfId="36699"/>
    <cellStyle name="Calculation 3 2 3 4 3 3" xfId="16163"/>
    <cellStyle name="Calculation 3 2 3 4 3 4" xfId="17141"/>
    <cellStyle name="Calculation 3 2 3 4 3 5" xfId="18169"/>
    <cellStyle name="Calculation 3 2 3 4 3 6" xfId="19201"/>
    <cellStyle name="Calculation 3 2 3 4 3 7" xfId="20223"/>
    <cellStyle name="Calculation 3 2 3 4 3 8" xfId="21232"/>
    <cellStyle name="Calculation 3 2 3 4 3 9" xfId="22206"/>
    <cellStyle name="Calculation 3 2 3 4 4" xfId="899"/>
    <cellStyle name="Calculation 3 2 3 4 4 10" xfId="23213"/>
    <cellStyle name="Calculation 3 2 3 4 4 11" xfId="24185"/>
    <cellStyle name="Calculation 3 2 3 4 4 12" xfId="25184"/>
    <cellStyle name="Calculation 3 2 3 4 4 13" xfId="28129"/>
    <cellStyle name="Calculation 3 2 3 4 4 14" xfId="29098"/>
    <cellStyle name="Calculation 3 2 3 4 4 15" xfId="30137"/>
    <cellStyle name="Calculation 3 2 3 4 4 16" xfId="31130"/>
    <cellStyle name="Calculation 3 2 3 4 4 17" xfId="32139"/>
    <cellStyle name="Calculation 3 2 3 4 4 18" xfId="33142"/>
    <cellStyle name="Calculation 3 2 3 4 4 19" xfId="34141"/>
    <cellStyle name="Calculation 3 2 3 4 4 2" xfId="900"/>
    <cellStyle name="Calculation 3 2 3 4 4 2 10" xfId="24186"/>
    <cellStyle name="Calculation 3 2 3 4 4 2 11" xfId="25185"/>
    <cellStyle name="Calculation 3 2 3 4 4 2 12" xfId="28130"/>
    <cellStyle name="Calculation 3 2 3 4 4 2 13" xfId="29099"/>
    <cellStyle name="Calculation 3 2 3 4 4 2 14" xfId="30138"/>
    <cellStyle name="Calculation 3 2 3 4 4 2 15" xfId="31131"/>
    <cellStyle name="Calculation 3 2 3 4 4 2 16" xfId="32140"/>
    <cellStyle name="Calculation 3 2 3 4 4 2 17" xfId="33143"/>
    <cellStyle name="Calculation 3 2 3 4 4 2 18" xfId="34142"/>
    <cellStyle name="Calculation 3 2 3 4 4 2 19" xfId="35763"/>
    <cellStyle name="Calculation 3 2 3 4 4 2 2" xfId="16166"/>
    <cellStyle name="Calculation 3 2 3 4 4 2 20" xfId="36702"/>
    <cellStyle name="Calculation 3 2 3 4 4 2 3" xfId="17144"/>
    <cellStyle name="Calculation 3 2 3 4 4 2 4" xfId="18172"/>
    <cellStyle name="Calculation 3 2 3 4 4 2 5" xfId="19204"/>
    <cellStyle name="Calculation 3 2 3 4 4 2 6" xfId="20226"/>
    <cellStyle name="Calculation 3 2 3 4 4 2 7" xfId="21235"/>
    <cellStyle name="Calculation 3 2 3 4 4 2 8" xfId="22209"/>
    <cellStyle name="Calculation 3 2 3 4 4 2 9" xfId="23214"/>
    <cellStyle name="Calculation 3 2 3 4 4 20" xfId="35762"/>
    <cellStyle name="Calculation 3 2 3 4 4 21" xfId="36701"/>
    <cellStyle name="Calculation 3 2 3 4 4 3" xfId="16165"/>
    <cellStyle name="Calculation 3 2 3 4 4 4" xfId="17143"/>
    <cellStyle name="Calculation 3 2 3 4 4 5" xfId="18171"/>
    <cellStyle name="Calculation 3 2 3 4 4 6" xfId="19203"/>
    <cellStyle name="Calculation 3 2 3 4 4 7" xfId="20225"/>
    <cellStyle name="Calculation 3 2 3 4 4 8" xfId="21234"/>
    <cellStyle name="Calculation 3 2 3 4 4 9" xfId="22208"/>
    <cellStyle name="Calculation 3 2 3 4 5" xfId="901"/>
    <cellStyle name="Calculation 3 2 3 4 5 10" xfId="24187"/>
    <cellStyle name="Calculation 3 2 3 4 5 11" xfId="25186"/>
    <cellStyle name="Calculation 3 2 3 4 5 12" xfId="28131"/>
    <cellStyle name="Calculation 3 2 3 4 5 13" xfId="29100"/>
    <cellStyle name="Calculation 3 2 3 4 5 14" xfId="30139"/>
    <cellStyle name="Calculation 3 2 3 4 5 15" xfId="31132"/>
    <cellStyle name="Calculation 3 2 3 4 5 16" xfId="32141"/>
    <cellStyle name="Calculation 3 2 3 4 5 17" xfId="33144"/>
    <cellStyle name="Calculation 3 2 3 4 5 18" xfId="34143"/>
    <cellStyle name="Calculation 3 2 3 4 5 19" xfId="35764"/>
    <cellStyle name="Calculation 3 2 3 4 5 2" xfId="16167"/>
    <cellStyle name="Calculation 3 2 3 4 5 20" xfId="36703"/>
    <cellStyle name="Calculation 3 2 3 4 5 3" xfId="17145"/>
    <cellStyle name="Calculation 3 2 3 4 5 4" xfId="18173"/>
    <cellStyle name="Calculation 3 2 3 4 5 5" xfId="19205"/>
    <cellStyle name="Calculation 3 2 3 4 5 6" xfId="20227"/>
    <cellStyle name="Calculation 3 2 3 4 5 7" xfId="21236"/>
    <cellStyle name="Calculation 3 2 3 4 5 8" xfId="22210"/>
    <cellStyle name="Calculation 3 2 3 4 5 9" xfId="23215"/>
    <cellStyle name="Calculation 3 2 3 4 6" xfId="15419"/>
    <cellStyle name="Calculation 3 2 3 4 7" xfId="15597"/>
    <cellStyle name="Calculation 3 2 3 4 8" xfId="14213"/>
    <cellStyle name="Calculation 3 2 3 4 9" xfId="13518"/>
    <cellStyle name="Calculation 3 2 3 5" xfId="902"/>
    <cellStyle name="Calculation 3 2 3 5 10" xfId="15028"/>
    <cellStyle name="Calculation 3 2 3 5 11" xfId="14480"/>
    <cellStyle name="Calculation 3 2 3 5 12" xfId="26446"/>
    <cellStyle name="Calculation 3 2 3 5 13" xfId="27085"/>
    <cellStyle name="Calculation 3 2 3 5 14" xfId="26163"/>
    <cellStyle name="Calculation 3 2 3 5 15" xfId="26781"/>
    <cellStyle name="Calculation 3 2 3 5 16" xfId="26660"/>
    <cellStyle name="Calculation 3 2 3 5 17" xfId="26209"/>
    <cellStyle name="Calculation 3 2 3 5 18" xfId="35129"/>
    <cellStyle name="Calculation 3 2 3 5 19" xfId="35405"/>
    <cellStyle name="Calculation 3 2 3 5 2" xfId="903"/>
    <cellStyle name="Calculation 3 2 3 5 2 10" xfId="23216"/>
    <cellStyle name="Calculation 3 2 3 5 2 11" xfId="24188"/>
    <cellStyle name="Calculation 3 2 3 5 2 12" xfId="25187"/>
    <cellStyle name="Calculation 3 2 3 5 2 13" xfId="28132"/>
    <cellStyle name="Calculation 3 2 3 5 2 14" xfId="29101"/>
    <cellStyle name="Calculation 3 2 3 5 2 15" xfId="30140"/>
    <cellStyle name="Calculation 3 2 3 5 2 16" xfId="31133"/>
    <cellStyle name="Calculation 3 2 3 5 2 17" xfId="32142"/>
    <cellStyle name="Calculation 3 2 3 5 2 18" xfId="33145"/>
    <cellStyle name="Calculation 3 2 3 5 2 19" xfId="34144"/>
    <cellStyle name="Calculation 3 2 3 5 2 2" xfId="904"/>
    <cellStyle name="Calculation 3 2 3 5 2 2 10" xfId="24189"/>
    <cellStyle name="Calculation 3 2 3 5 2 2 11" xfId="25188"/>
    <cellStyle name="Calculation 3 2 3 5 2 2 12" xfId="28133"/>
    <cellStyle name="Calculation 3 2 3 5 2 2 13" xfId="29102"/>
    <cellStyle name="Calculation 3 2 3 5 2 2 14" xfId="30141"/>
    <cellStyle name="Calculation 3 2 3 5 2 2 15" xfId="31134"/>
    <cellStyle name="Calculation 3 2 3 5 2 2 16" xfId="32143"/>
    <cellStyle name="Calculation 3 2 3 5 2 2 17" xfId="33146"/>
    <cellStyle name="Calculation 3 2 3 5 2 2 18" xfId="34145"/>
    <cellStyle name="Calculation 3 2 3 5 2 2 19" xfId="35766"/>
    <cellStyle name="Calculation 3 2 3 5 2 2 2" xfId="16169"/>
    <cellStyle name="Calculation 3 2 3 5 2 2 20" xfId="36705"/>
    <cellStyle name="Calculation 3 2 3 5 2 2 3" xfId="17147"/>
    <cellStyle name="Calculation 3 2 3 5 2 2 4" xfId="18175"/>
    <cellStyle name="Calculation 3 2 3 5 2 2 5" xfId="19207"/>
    <cellStyle name="Calculation 3 2 3 5 2 2 6" xfId="20229"/>
    <cellStyle name="Calculation 3 2 3 5 2 2 7" xfId="21238"/>
    <cellStyle name="Calculation 3 2 3 5 2 2 8" xfId="22212"/>
    <cellStyle name="Calculation 3 2 3 5 2 2 9" xfId="23217"/>
    <cellStyle name="Calculation 3 2 3 5 2 20" xfId="35765"/>
    <cellStyle name="Calculation 3 2 3 5 2 21" xfId="36704"/>
    <cellStyle name="Calculation 3 2 3 5 2 3" xfId="16168"/>
    <cellStyle name="Calculation 3 2 3 5 2 4" xfId="17146"/>
    <cellStyle name="Calculation 3 2 3 5 2 5" xfId="18174"/>
    <cellStyle name="Calculation 3 2 3 5 2 6" xfId="19206"/>
    <cellStyle name="Calculation 3 2 3 5 2 7" xfId="20228"/>
    <cellStyle name="Calculation 3 2 3 5 2 8" xfId="21237"/>
    <cellStyle name="Calculation 3 2 3 5 2 9" xfId="22211"/>
    <cellStyle name="Calculation 3 2 3 5 3" xfId="905"/>
    <cellStyle name="Calculation 3 2 3 5 3 10" xfId="23218"/>
    <cellStyle name="Calculation 3 2 3 5 3 11" xfId="24190"/>
    <cellStyle name="Calculation 3 2 3 5 3 12" xfId="25189"/>
    <cellStyle name="Calculation 3 2 3 5 3 13" xfId="28134"/>
    <cellStyle name="Calculation 3 2 3 5 3 14" xfId="29103"/>
    <cellStyle name="Calculation 3 2 3 5 3 15" xfId="30142"/>
    <cellStyle name="Calculation 3 2 3 5 3 16" xfId="31135"/>
    <cellStyle name="Calculation 3 2 3 5 3 17" xfId="32144"/>
    <cellStyle name="Calculation 3 2 3 5 3 18" xfId="33147"/>
    <cellStyle name="Calculation 3 2 3 5 3 19" xfId="34146"/>
    <cellStyle name="Calculation 3 2 3 5 3 2" xfId="906"/>
    <cellStyle name="Calculation 3 2 3 5 3 2 10" xfId="24191"/>
    <cellStyle name="Calculation 3 2 3 5 3 2 11" xfId="25190"/>
    <cellStyle name="Calculation 3 2 3 5 3 2 12" xfId="28135"/>
    <cellStyle name="Calculation 3 2 3 5 3 2 13" xfId="29104"/>
    <cellStyle name="Calculation 3 2 3 5 3 2 14" xfId="30143"/>
    <cellStyle name="Calculation 3 2 3 5 3 2 15" xfId="31136"/>
    <cellStyle name="Calculation 3 2 3 5 3 2 16" xfId="32145"/>
    <cellStyle name="Calculation 3 2 3 5 3 2 17" xfId="33148"/>
    <cellStyle name="Calculation 3 2 3 5 3 2 18" xfId="34147"/>
    <cellStyle name="Calculation 3 2 3 5 3 2 19" xfId="35768"/>
    <cellStyle name="Calculation 3 2 3 5 3 2 2" xfId="16171"/>
    <cellStyle name="Calculation 3 2 3 5 3 2 20" xfId="36707"/>
    <cellStyle name="Calculation 3 2 3 5 3 2 3" xfId="17149"/>
    <cellStyle name="Calculation 3 2 3 5 3 2 4" xfId="18177"/>
    <cellStyle name="Calculation 3 2 3 5 3 2 5" xfId="19209"/>
    <cellStyle name="Calculation 3 2 3 5 3 2 6" xfId="20231"/>
    <cellStyle name="Calculation 3 2 3 5 3 2 7" xfId="21240"/>
    <cellStyle name="Calculation 3 2 3 5 3 2 8" xfId="22214"/>
    <cellStyle name="Calculation 3 2 3 5 3 2 9" xfId="23219"/>
    <cellStyle name="Calculation 3 2 3 5 3 20" xfId="35767"/>
    <cellStyle name="Calculation 3 2 3 5 3 21" xfId="36706"/>
    <cellStyle name="Calculation 3 2 3 5 3 3" xfId="16170"/>
    <cellStyle name="Calculation 3 2 3 5 3 4" xfId="17148"/>
    <cellStyle name="Calculation 3 2 3 5 3 5" xfId="18176"/>
    <cellStyle name="Calculation 3 2 3 5 3 6" xfId="19208"/>
    <cellStyle name="Calculation 3 2 3 5 3 7" xfId="20230"/>
    <cellStyle name="Calculation 3 2 3 5 3 8" xfId="21239"/>
    <cellStyle name="Calculation 3 2 3 5 3 9" xfId="22213"/>
    <cellStyle name="Calculation 3 2 3 5 4" xfId="907"/>
    <cellStyle name="Calculation 3 2 3 5 4 10" xfId="23220"/>
    <cellStyle name="Calculation 3 2 3 5 4 11" xfId="24192"/>
    <cellStyle name="Calculation 3 2 3 5 4 12" xfId="25191"/>
    <cellStyle name="Calculation 3 2 3 5 4 13" xfId="28136"/>
    <cellStyle name="Calculation 3 2 3 5 4 14" xfId="29105"/>
    <cellStyle name="Calculation 3 2 3 5 4 15" xfId="30144"/>
    <cellStyle name="Calculation 3 2 3 5 4 16" xfId="31137"/>
    <cellStyle name="Calculation 3 2 3 5 4 17" xfId="32146"/>
    <cellStyle name="Calculation 3 2 3 5 4 18" xfId="33149"/>
    <cellStyle name="Calculation 3 2 3 5 4 19" xfId="34148"/>
    <cellStyle name="Calculation 3 2 3 5 4 2" xfId="908"/>
    <cellStyle name="Calculation 3 2 3 5 4 2 10" xfId="24193"/>
    <cellStyle name="Calculation 3 2 3 5 4 2 11" xfId="25192"/>
    <cellStyle name="Calculation 3 2 3 5 4 2 12" xfId="28137"/>
    <cellStyle name="Calculation 3 2 3 5 4 2 13" xfId="29106"/>
    <cellStyle name="Calculation 3 2 3 5 4 2 14" xfId="30145"/>
    <cellStyle name="Calculation 3 2 3 5 4 2 15" xfId="31138"/>
    <cellStyle name="Calculation 3 2 3 5 4 2 16" xfId="32147"/>
    <cellStyle name="Calculation 3 2 3 5 4 2 17" xfId="33150"/>
    <cellStyle name="Calculation 3 2 3 5 4 2 18" xfId="34149"/>
    <cellStyle name="Calculation 3 2 3 5 4 2 19" xfId="35770"/>
    <cellStyle name="Calculation 3 2 3 5 4 2 2" xfId="16173"/>
    <cellStyle name="Calculation 3 2 3 5 4 2 20" xfId="36709"/>
    <cellStyle name="Calculation 3 2 3 5 4 2 3" xfId="17151"/>
    <cellStyle name="Calculation 3 2 3 5 4 2 4" xfId="18179"/>
    <cellStyle name="Calculation 3 2 3 5 4 2 5" xfId="19211"/>
    <cellStyle name="Calculation 3 2 3 5 4 2 6" xfId="20233"/>
    <cellStyle name="Calculation 3 2 3 5 4 2 7" xfId="21242"/>
    <cellStyle name="Calculation 3 2 3 5 4 2 8" xfId="22216"/>
    <cellStyle name="Calculation 3 2 3 5 4 2 9" xfId="23221"/>
    <cellStyle name="Calculation 3 2 3 5 4 20" xfId="35769"/>
    <cellStyle name="Calculation 3 2 3 5 4 21" xfId="36708"/>
    <cellStyle name="Calculation 3 2 3 5 4 3" xfId="16172"/>
    <cellStyle name="Calculation 3 2 3 5 4 4" xfId="17150"/>
    <cellStyle name="Calculation 3 2 3 5 4 5" xfId="18178"/>
    <cellStyle name="Calculation 3 2 3 5 4 6" xfId="19210"/>
    <cellStyle name="Calculation 3 2 3 5 4 7" xfId="20232"/>
    <cellStyle name="Calculation 3 2 3 5 4 8" xfId="21241"/>
    <cellStyle name="Calculation 3 2 3 5 4 9" xfId="22215"/>
    <cellStyle name="Calculation 3 2 3 5 5" xfId="909"/>
    <cellStyle name="Calculation 3 2 3 5 5 10" xfId="24194"/>
    <cellStyle name="Calculation 3 2 3 5 5 11" xfId="25193"/>
    <cellStyle name="Calculation 3 2 3 5 5 12" xfId="28138"/>
    <cellStyle name="Calculation 3 2 3 5 5 13" xfId="29107"/>
    <cellStyle name="Calculation 3 2 3 5 5 14" xfId="30146"/>
    <cellStyle name="Calculation 3 2 3 5 5 15" xfId="31139"/>
    <cellStyle name="Calculation 3 2 3 5 5 16" xfId="32148"/>
    <cellStyle name="Calculation 3 2 3 5 5 17" xfId="33151"/>
    <cellStyle name="Calculation 3 2 3 5 5 18" xfId="34150"/>
    <cellStyle name="Calculation 3 2 3 5 5 19" xfId="35771"/>
    <cellStyle name="Calculation 3 2 3 5 5 2" xfId="16174"/>
    <cellStyle name="Calculation 3 2 3 5 5 20" xfId="36710"/>
    <cellStyle name="Calculation 3 2 3 5 5 3" xfId="17152"/>
    <cellStyle name="Calculation 3 2 3 5 5 4" xfId="18180"/>
    <cellStyle name="Calculation 3 2 3 5 5 5" xfId="19212"/>
    <cellStyle name="Calculation 3 2 3 5 5 6" xfId="20234"/>
    <cellStyle name="Calculation 3 2 3 5 5 7" xfId="21243"/>
    <cellStyle name="Calculation 3 2 3 5 5 8" xfId="22217"/>
    <cellStyle name="Calculation 3 2 3 5 5 9" xfId="23222"/>
    <cellStyle name="Calculation 3 2 3 5 6" xfId="13556"/>
    <cellStyle name="Calculation 3 2 3 5 7" xfId="14385"/>
    <cellStyle name="Calculation 3 2 3 5 8" xfId="15706"/>
    <cellStyle name="Calculation 3 2 3 5 9" xfId="14647"/>
    <cellStyle name="Calculation 3 2 3 6" xfId="910"/>
    <cellStyle name="Calculation 3 2 3 6 10" xfId="23223"/>
    <cellStyle name="Calculation 3 2 3 6 11" xfId="24195"/>
    <cellStyle name="Calculation 3 2 3 6 12" xfId="25194"/>
    <cellStyle name="Calculation 3 2 3 6 13" xfId="28139"/>
    <cellStyle name="Calculation 3 2 3 6 14" xfId="29108"/>
    <cellStyle name="Calculation 3 2 3 6 15" xfId="30147"/>
    <cellStyle name="Calculation 3 2 3 6 16" xfId="31140"/>
    <cellStyle name="Calculation 3 2 3 6 17" xfId="32149"/>
    <cellStyle name="Calculation 3 2 3 6 18" xfId="33152"/>
    <cellStyle name="Calculation 3 2 3 6 19" xfId="34151"/>
    <cellStyle name="Calculation 3 2 3 6 2" xfId="911"/>
    <cellStyle name="Calculation 3 2 3 6 2 10" xfId="24196"/>
    <cellStyle name="Calculation 3 2 3 6 2 11" xfId="25195"/>
    <cellStyle name="Calculation 3 2 3 6 2 12" xfId="28140"/>
    <cellStyle name="Calculation 3 2 3 6 2 13" xfId="29109"/>
    <cellStyle name="Calculation 3 2 3 6 2 14" xfId="30148"/>
    <cellStyle name="Calculation 3 2 3 6 2 15" xfId="31141"/>
    <cellStyle name="Calculation 3 2 3 6 2 16" xfId="32150"/>
    <cellStyle name="Calculation 3 2 3 6 2 17" xfId="33153"/>
    <cellStyle name="Calculation 3 2 3 6 2 18" xfId="34152"/>
    <cellStyle name="Calculation 3 2 3 6 2 19" xfId="35773"/>
    <cellStyle name="Calculation 3 2 3 6 2 2" xfId="16176"/>
    <cellStyle name="Calculation 3 2 3 6 2 20" xfId="36712"/>
    <cellStyle name="Calculation 3 2 3 6 2 3" xfId="17154"/>
    <cellStyle name="Calculation 3 2 3 6 2 4" xfId="18182"/>
    <cellStyle name="Calculation 3 2 3 6 2 5" xfId="19214"/>
    <cellStyle name="Calculation 3 2 3 6 2 6" xfId="20236"/>
    <cellStyle name="Calculation 3 2 3 6 2 7" xfId="21245"/>
    <cellStyle name="Calculation 3 2 3 6 2 8" xfId="22219"/>
    <cellStyle name="Calculation 3 2 3 6 2 9" xfId="23224"/>
    <cellStyle name="Calculation 3 2 3 6 20" xfId="35772"/>
    <cellStyle name="Calculation 3 2 3 6 21" xfId="36711"/>
    <cellStyle name="Calculation 3 2 3 6 3" xfId="16175"/>
    <cellStyle name="Calculation 3 2 3 6 4" xfId="17153"/>
    <cellStyle name="Calculation 3 2 3 6 5" xfId="18181"/>
    <cellStyle name="Calculation 3 2 3 6 6" xfId="19213"/>
    <cellStyle name="Calculation 3 2 3 6 7" xfId="20235"/>
    <cellStyle name="Calculation 3 2 3 6 8" xfId="21244"/>
    <cellStyle name="Calculation 3 2 3 6 9" xfId="22218"/>
    <cellStyle name="Calculation 3 2 3 7" xfId="912"/>
    <cellStyle name="Calculation 3 2 3 7 10" xfId="23225"/>
    <cellStyle name="Calculation 3 2 3 7 11" xfId="24197"/>
    <cellStyle name="Calculation 3 2 3 7 12" xfId="25196"/>
    <cellStyle name="Calculation 3 2 3 7 13" xfId="28141"/>
    <cellStyle name="Calculation 3 2 3 7 14" xfId="29110"/>
    <cellStyle name="Calculation 3 2 3 7 15" xfId="30149"/>
    <cellStyle name="Calculation 3 2 3 7 16" xfId="31142"/>
    <cellStyle name="Calculation 3 2 3 7 17" xfId="32151"/>
    <cellStyle name="Calculation 3 2 3 7 18" xfId="33154"/>
    <cellStyle name="Calculation 3 2 3 7 19" xfId="34153"/>
    <cellStyle name="Calculation 3 2 3 7 2" xfId="913"/>
    <cellStyle name="Calculation 3 2 3 7 2 10" xfId="24198"/>
    <cellStyle name="Calculation 3 2 3 7 2 11" xfId="25197"/>
    <cellStyle name="Calculation 3 2 3 7 2 12" xfId="28142"/>
    <cellStyle name="Calculation 3 2 3 7 2 13" xfId="29111"/>
    <cellStyle name="Calculation 3 2 3 7 2 14" xfId="30150"/>
    <cellStyle name="Calculation 3 2 3 7 2 15" xfId="31143"/>
    <cellStyle name="Calculation 3 2 3 7 2 16" xfId="32152"/>
    <cellStyle name="Calculation 3 2 3 7 2 17" xfId="33155"/>
    <cellStyle name="Calculation 3 2 3 7 2 18" xfId="34154"/>
    <cellStyle name="Calculation 3 2 3 7 2 19" xfId="35775"/>
    <cellStyle name="Calculation 3 2 3 7 2 2" xfId="16178"/>
    <cellStyle name="Calculation 3 2 3 7 2 20" xfId="36714"/>
    <cellStyle name="Calculation 3 2 3 7 2 3" xfId="17156"/>
    <cellStyle name="Calculation 3 2 3 7 2 4" xfId="18184"/>
    <cellStyle name="Calculation 3 2 3 7 2 5" xfId="19216"/>
    <cellStyle name="Calculation 3 2 3 7 2 6" xfId="20238"/>
    <cellStyle name="Calculation 3 2 3 7 2 7" xfId="21247"/>
    <cellStyle name="Calculation 3 2 3 7 2 8" xfId="22221"/>
    <cellStyle name="Calculation 3 2 3 7 2 9" xfId="23226"/>
    <cellStyle name="Calculation 3 2 3 7 20" xfId="35774"/>
    <cellStyle name="Calculation 3 2 3 7 21" xfId="36713"/>
    <cellStyle name="Calculation 3 2 3 7 3" xfId="16177"/>
    <cellStyle name="Calculation 3 2 3 7 4" xfId="17155"/>
    <cellStyle name="Calculation 3 2 3 7 5" xfId="18183"/>
    <cellStyle name="Calculation 3 2 3 7 6" xfId="19215"/>
    <cellStyle name="Calculation 3 2 3 7 7" xfId="20237"/>
    <cellStyle name="Calculation 3 2 3 7 8" xfId="21246"/>
    <cellStyle name="Calculation 3 2 3 7 9" xfId="22220"/>
    <cellStyle name="Calculation 3 2 3 8" xfId="914"/>
    <cellStyle name="Calculation 3 2 3 8 10" xfId="23227"/>
    <cellStyle name="Calculation 3 2 3 8 11" xfId="24199"/>
    <cellStyle name="Calculation 3 2 3 8 12" xfId="25198"/>
    <cellStyle name="Calculation 3 2 3 8 13" xfId="28143"/>
    <cellStyle name="Calculation 3 2 3 8 14" xfId="29112"/>
    <cellStyle name="Calculation 3 2 3 8 15" xfId="30151"/>
    <cellStyle name="Calculation 3 2 3 8 16" xfId="31144"/>
    <cellStyle name="Calculation 3 2 3 8 17" xfId="32153"/>
    <cellStyle name="Calculation 3 2 3 8 18" xfId="33156"/>
    <cellStyle name="Calculation 3 2 3 8 19" xfId="34155"/>
    <cellStyle name="Calculation 3 2 3 8 2" xfId="915"/>
    <cellStyle name="Calculation 3 2 3 8 2 10" xfId="24200"/>
    <cellStyle name="Calculation 3 2 3 8 2 11" xfId="25199"/>
    <cellStyle name="Calculation 3 2 3 8 2 12" xfId="28144"/>
    <cellStyle name="Calculation 3 2 3 8 2 13" xfId="29113"/>
    <cellStyle name="Calculation 3 2 3 8 2 14" xfId="30152"/>
    <cellStyle name="Calculation 3 2 3 8 2 15" xfId="31145"/>
    <cellStyle name="Calculation 3 2 3 8 2 16" xfId="32154"/>
    <cellStyle name="Calculation 3 2 3 8 2 17" xfId="33157"/>
    <cellStyle name="Calculation 3 2 3 8 2 18" xfId="34156"/>
    <cellStyle name="Calculation 3 2 3 8 2 19" xfId="35777"/>
    <cellStyle name="Calculation 3 2 3 8 2 2" xfId="16180"/>
    <cellStyle name="Calculation 3 2 3 8 2 20" xfId="36716"/>
    <cellStyle name="Calculation 3 2 3 8 2 3" xfId="17158"/>
    <cellStyle name="Calculation 3 2 3 8 2 4" xfId="18186"/>
    <cellStyle name="Calculation 3 2 3 8 2 5" xfId="19218"/>
    <cellStyle name="Calculation 3 2 3 8 2 6" xfId="20240"/>
    <cellStyle name="Calculation 3 2 3 8 2 7" xfId="21249"/>
    <cellStyle name="Calculation 3 2 3 8 2 8" xfId="22223"/>
    <cellStyle name="Calculation 3 2 3 8 2 9" xfId="23228"/>
    <cellStyle name="Calculation 3 2 3 8 20" xfId="35776"/>
    <cellStyle name="Calculation 3 2 3 8 21" xfId="36715"/>
    <cellStyle name="Calculation 3 2 3 8 3" xfId="16179"/>
    <cellStyle name="Calculation 3 2 3 8 4" xfId="17157"/>
    <cellStyle name="Calculation 3 2 3 8 5" xfId="18185"/>
    <cellStyle name="Calculation 3 2 3 8 6" xfId="19217"/>
    <cellStyle name="Calculation 3 2 3 8 7" xfId="20239"/>
    <cellStyle name="Calculation 3 2 3 8 8" xfId="21248"/>
    <cellStyle name="Calculation 3 2 3 8 9" xfId="22222"/>
    <cellStyle name="Calculation 3 2 3 9" xfId="916"/>
    <cellStyle name="Calculation 3 2 3 9 10" xfId="24201"/>
    <cellStyle name="Calculation 3 2 3 9 11" xfId="25200"/>
    <cellStyle name="Calculation 3 2 3 9 12" xfId="28145"/>
    <cellStyle name="Calculation 3 2 3 9 13" xfId="29114"/>
    <cellStyle name="Calculation 3 2 3 9 14" xfId="30153"/>
    <cellStyle name="Calculation 3 2 3 9 15" xfId="31146"/>
    <cellStyle name="Calculation 3 2 3 9 16" xfId="32155"/>
    <cellStyle name="Calculation 3 2 3 9 17" xfId="33158"/>
    <cellStyle name="Calculation 3 2 3 9 18" xfId="34157"/>
    <cellStyle name="Calculation 3 2 3 9 19" xfId="35778"/>
    <cellStyle name="Calculation 3 2 3 9 2" xfId="16181"/>
    <cellStyle name="Calculation 3 2 3 9 20" xfId="36717"/>
    <cellStyle name="Calculation 3 2 3 9 3" xfId="17159"/>
    <cellStyle name="Calculation 3 2 3 9 4" xfId="18187"/>
    <cellStyle name="Calculation 3 2 3 9 5" xfId="19219"/>
    <cellStyle name="Calculation 3 2 3 9 6" xfId="20241"/>
    <cellStyle name="Calculation 3 2 3 9 7" xfId="21250"/>
    <cellStyle name="Calculation 3 2 3 9 8" xfId="22224"/>
    <cellStyle name="Calculation 3 2 3 9 9" xfId="23229"/>
    <cellStyle name="Calculation 3 2 4" xfId="917"/>
    <cellStyle name="Calculation 3 2 4 10" xfId="23230"/>
    <cellStyle name="Calculation 3 2 4 11" xfId="24202"/>
    <cellStyle name="Calculation 3 2 4 12" xfId="25201"/>
    <cellStyle name="Calculation 3 2 4 13" xfId="28146"/>
    <cellStyle name="Calculation 3 2 4 14" xfId="29115"/>
    <cellStyle name="Calculation 3 2 4 15" xfId="30154"/>
    <cellStyle name="Calculation 3 2 4 16" xfId="31147"/>
    <cellStyle name="Calculation 3 2 4 17" xfId="32156"/>
    <cellStyle name="Calculation 3 2 4 18" xfId="33159"/>
    <cellStyle name="Calculation 3 2 4 19" xfId="34158"/>
    <cellStyle name="Calculation 3 2 4 2" xfId="918"/>
    <cellStyle name="Calculation 3 2 4 2 10" xfId="24203"/>
    <cellStyle name="Calculation 3 2 4 2 11" xfId="25202"/>
    <cellStyle name="Calculation 3 2 4 2 12" xfId="28147"/>
    <cellStyle name="Calculation 3 2 4 2 13" xfId="29116"/>
    <cellStyle name="Calculation 3 2 4 2 14" xfId="30155"/>
    <cellStyle name="Calculation 3 2 4 2 15" xfId="31148"/>
    <cellStyle name="Calculation 3 2 4 2 16" xfId="32157"/>
    <cellStyle name="Calculation 3 2 4 2 17" xfId="33160"/>
    <cellStyle name="Calculation 3 2 4 2 18" xfId="34159"/>
    <cellStyle name="Calculation 3 2 4 2 19" xfId="35780"/>
    <cellStyle name="Calculation 3 2 4 2 2" xfId="16183"/>
    <cellStyle name="Calculation 3 2 4 2 20" xfId="36719"/>
    <cellStyle name="Calculation 3 2 4 2 3" xfId="17161"/>
    <cellStyle name="Calculation 3 2 4 2 4" xfId="18189"/>
    <cellStyle name="Calculation 3 2 4 2 5" xfId="19221"/>
    <cellStyle name="Calculation 3 2 4 2 6" xfId="20243"/>
    <cellStyle name="Calculation 3 2 4 2 7" xfId="21252"/>
    <cellStyle name="Calculation 3 2 4 2 8" xfId="22226"/>
    <cellStyle name="Calculation 3 2 4 2 9" xfId="23231"/>
    <cellStyle name="Calculation 3 2 4 20" xfId="35779"/>
    <cellStyle name="Calculation 3 2 4 21" xfId="36718"/>
    <cellStyle name="Calculation 3 2 4 3" xfId="16182"/>
    <cellStyle name="Calculation 3 2 4 4" xfId="17160"/>
    <cellStyle name="Calculation 3 2 4 5" xfId="18188"/>
    <cellStyle name="Calculation 3 2 4 6" xfId="19220"/>
    <cellStyle name="Calculation 3 2 4 7" xfId="20242"/>
    <cellStyle name="Calculation 3 2 4 8" xfId="21251"/>
    <cellStyle name="Calculation 3 2 4 9" xfId="22225"/>
    <cellStyle name="Calculation 3 2 5" xfId="919"/>
    <cellStyle name="Calculation 3 2 5 10" xfId="23232"/>
    <cellStyle name="Calculation 3 2 5 11" xfId="24204"/>
    <cellStyle name="Calculation 3 2 5 12" xfId="25203"/>
    <cellStyle name="Calculation 3 2 5 13" xfId="28148"/>
    <cellStyle name="Calculation 3 2 5 14" xfId="29117"/>
    <cellStyle name="Calculation 3 2 5 15" xfId="30156"/>
    <cellStyle name="Calculation 3 2 5 16" xfId="31149"/>
    <cellStyle name="Calculation 3 2 5 17" xfId="32158"/>
    <cellStyle name="Calculation 3 2 5 18" xfId="33161"/>
    <cellStyle name="Calculation 3 2 5 19" xfId="34160"/>
    <cellStyle name="Calculation 3 2 5 2" xfId="920"/>
    <cellStyle name="Calculation 3 2 5 2 10" xfId="24205"/>
    <cellStyle name="Calculation 3 2 5 2 11" xfId="25204"/>
    <cellStyle name="Calculation 3 2 5 2 12" xfId="28149"/>
    <cellStyle name="Calculation 3 2 5 2 13" xfId="29118"/>
    <cellStyle name="Calculation 3 2 5 2 14" xfId="30157"/>
    <cellStyle name="Calculation 3 2 5 2 15" xfId="31150"/>
    <cellStyle name="Calculation 3 2 5 2 16" xfId="32159"/>
    <cellStyle name="Calculation 3 2 5 2 17" xfId="33162"/>
    <cellStyle name="Calculation 3 2 5 2 18" xfId="34161"/>
    <cellStyle name="Calculation 3 2 5 2 19" xfId="35782"/>
    <cellStyle name="Calculation 3 2 5 2 2" xfId="16185"/>
    <cellStyle name="Calculation 3 2 5 2 20" xfId="36721"/>
    <cellStyle name="Calculation 3 2 5 2 3" xfId="17163"/>
    <cellStyle name="Calculation 3 2 5 2 4" xfId="18191"/>
    <cellStyle name="Calculation 3 2 5 2 5" xfId="19223"/>
    <cellStyle name="Calculation 3 2 5 2 6" xfId="20245"/>
    <cellStyle name="Calculation 3 2 5 2 7" xfId="21254"/>
    <cellStyle name="Calculation 3 2 5 2 8" xfId="22228"/>
    <cellStyle name="Calculation 3 2 5 2 9" xfId="23233"/>
    <cellStyle name="Calculation 3 2 5 20" xfId="35781"/>
    <cellStyle name="Calculation 3 2 5 21" xfId="36720"/>
    <cellStyle name="Calculation 3 2 5 3" xfId="16184"/>
    <cellStyle name="Calculation 3 2 5 4" xfId="17162"/>
    <cellStyle name="Calculation 3 2 5 5" xfId="18190"/>
    <cellStyle name="Calculation 3 2 5 6" xfId="19222"/>
    <cellStyle name="Calculation 3 2 5 7" xfId="20244"/>
    <cellStyle name="Calculation 3 2 5 8" xfId="21253"/>
    <cellStyle name="Calculation 3 2 5 9" xfId="22227"/>
    <cellStyle name="Calculation 3 2 6" xfId="921"/>
    <cellStyle name="Calculation 3 2 6 10" xfId="23234"/>
    <cellStyle name="Calculation 3 2 6 11" xfId="24206"/>
    <cellStyle name="Calculation 3 2 6 12" xfId="25205"/>
    <cellStyle name="Calculation 3 2 6 13" xfId="28150"/>
    <cellStyle name="Calculation 3 2 6 14" xfId="29119"/>
    <cellStyle name="Calculation 3 2 6 15" xfId="30158"/>
    <cellStyle name="Calculation 3 2 6 16" xfId="31151"/>
    <cellStyle name="Calculation 3 2 6 17" xfId="32160"/>
    <cellStyle name="Calculation 3 2 6 18" xfId="33163"/>
    <cellStyle name="Calculation 3 2 6 19" xfId="34162"/>
    <cellStyle name="Calculation 3 2 6 2" xfId="922"/>
    <cellStyle name="Calculation 3 2 6 2 10" xfId="24207"/>
    <cellStyle name="Calculation 3 2 6 2 11" xfId="25206"/>
    <cellStyle name="Calculation 3 2 6 2 12" xfId="28151"/>
    <cellStyle name="Calculation 3 2 6 2 13" xfId="29120"/>
    <cellStyle name="Calculation 3 2 6 2 14" xfId="30159"/>
    <cellStyle name="Calculation 3 2 6 2 15" xfId="31152"/>
    <cellStyle name="Calculation 3 2 6 2 16" xfId="32161"/>
    <cellStyle name="Calculation 3 2 6 2 17" xfId="33164"/>
    <cellStyle name="Calculation 3 2 6 2 18" xfId="34163"/>
    <cellStyle name="Calculation 3 2 6 2 19" xfId="35784"/>
    <cellStyle name="Calculation 3 2 6 2 2" xfId="16187"/>
    <cellStyle name="Calculation 3 2 6 2 20" xfId="36723"/>
    <cellStyle name="Calculation 3 2 6 2 3" xfId="17165"/>
    <cellStyle name="Calculation 3 2 6 2 4" xfId="18193"/>
    <cellStyle name="Calculation 3 2 6 2 5" xfId="19225"/>
    <cellStyle name="Calculation 3 2 6 2 6" xfId="20247"/>
    <cellStyle name="Calculation 3 2 6 2 7" xfId="21256"/>
    <cellStyle name="Calculation 3 2 6 2 8" xfId="22230"/>
    <cellStyle name="Calculation 3 2 6 2 9" xfId="23235"/>
    <cellStyle name="Calculation 3 2 6 20" xfId="35783"/>
    <cellStyle name="Calculation 3 2 6 21" xfId="36722"/>
    <cellStyle name="Calculation 3 2 6 3" xfId="16186"/>
    <cellStyle name="Calculation 3 2 6 4" xfId="17164"/>
    <cellStyle name="Calculation 3 2 6 5" xfId="18192"/>
    <cellStyle name="Calculation 3 2 6 6" xfId="19224"/>
    <cellStyle name="Calculation 3 2 6 7" xfId="20246"/>
    <cellStyle name="Calculation 3 2 6 8" xfId="21255"/>
    <cellStyle name="Calculation 3 2 6 9" xfId="22229"/>
    <cellStyle name="Calculation 3 2 7" xfId="923"/>
    <cellStyle name="Calculation 3 2 7 10" xfId="24208"/>
    <cellStyle name="Calculation 3 2 7 11" xfId="25207"/>
    <cellStyle name="Calculation 3 2 7 12" xfId="28152"/>
    <cellStyle name="Calculation 3 2 7 13" xfId="29121"/>
    <cellStyle name="Calculation 3 2 7 14" xfId="30160"/>
    <cellStyle name="Calculation 3 2 7 15" xfId="31153"/>
    <cellStyle name="Calculation 3 2 7 16" xfId="32162"/>
    <cellStyle name="Calculation 3 2 7 17" xfId="33165"/>
    <cellStyle name="Calculation 3 2 7 18" xfId="34164"/>
    <cellStyle name="Calculation 3 2 7 19" xfId="35785"/>
    <cellStyle name="Calculation 3 2 7 2" xfId="16188"/>
    <cellStyle name="Calculation 3 2 7 20" xfId="36724"/>
    <cellStyle name="Calculation 3 2 7 3" xfId="17166"/>
    <cellStyle name="Calculation 3 2 7 4" xfId="18194"/>
    <cellStyle name="Calculation 3 2 7 5" xfId="19226"/>
    <cellStyle name="Calculation 3 2 7 6" xfId="20248"/>
    <cellStyle name="Calculation 3 2 7 7" xfId="21257"/>
    <cellStyle name="Calculation 3 2 7 8" xfId="22231"/>
    <cellStyle name="Calculation 3 2 7 9" xfId="23236"/>
    <cellStyle name="Calculation 3 2 8" xfId="924"/>
    <cellStyle name="Calculation 3 2 8 10" xfId="24857"/>
    <cellStyle name="Calculation 3 2 8 11" xfId="25856"/>
    <cellStyle name="Calculation 3 2 8 12" xfId="28762"/>
    <cellStyle name="Calculation 3 2 8 13" xfId="29779"/>
    <cellStyle name="Calculation 3 2 8 14" xfId="30812"/>
    <cellStyle name="Calculation 3 2 8 15" xfId="31807"/>
    <cellStyle name="Calculation 3 2 8 16" xfId="32811"/>
    <cellStyle name="Calculation 3 2 8 17" xfId="33814"/>
    <cellStyle name="Calculation 3 2 8 18" xfId="34813"/>
    <cellStyle name="Calculation 3 2 8 19" xfId="36374"/>
    <cellStyle name="Calculation 3 2 8 2" xfId="16846"/>
    <cellStyle name="Calculation 3 2 8 20" xfId="37373"/>
    <cellStyle name="Calculation 3 2 8 3" xfId="17826"/>
    <cellStyle name="Calculation 3 2 8 4" xfId="18851"/>
    <cellStyle name="Calculation 3 2 8 5" xfId="19885"/>
    <cellStyle name="Calculation 3 2 8 6" xfId="20910"/>
    <cellStyle name="Calculation 3 2 8 7" xfId="21870"/>
    <cellStyle name="Calculation 3 2 8 8" xfId="22882"/>
    <cellStyle name="Calculation 3 2 8 9" xfId="23885"/>
    <cellStyle name="Calculation 3 2 9" xfId="34883"/>
    <cellStyle name="Calculation 3 3" xfId="925"/>
    <cellStyle name="Calculation 3 3 10" xfId="14110"/>
    <cellStyle name="Calculation 3 3 11" xfId="14812"/>
    <cellStyle name="Calculation 3 3 12" xfId="15446"/>
    <cellStyle name="Calculation 3 3 13" xfId="20934"/>
    <cellStyle name="Calculation 3 3 14" xfId="25963"/>
    <cellStyle name="Calculation 3 3 15" xfId="27306"/>
    <cellStyle name="Calculation 3 3 16" xfId="27467"/>
    <cellStyle name="Calculation 3 3 17" xfId="26605"/>
    <cellStyle name="Calculation 3 3 18" xfId="27388"/>
    <cellStyle name="Calculation 3 3 19" xfId="27569"/>
    <cellStyle name="Calculation 3 3 2" xfId="926"/>
    <cellStyle name="Calculation 3 3 2 10" xfId="15374"/>
    <cellStyle name="Calculation 3 3 2 11" xfId="15156"/>
    <cellStyle name="Calculation 3 3 2 12" xfId="13885"/>
    <cellStyle name="Calculation 3 3 2 13" xfId="13635"/>
    <cellStyle name="Calculation 3 3 2 14" xfId="14650"/>
    <cellStyle name="Calculation 3 3 2 15" xfId="15230"/>
    <cellStyle name="Calculation 3 3 2 16" xfId="26090"/>
    <cellStyle name="Calculation 3 3 2 17" xfId="27260"/>
    <cellStyle name="Calculation 3 3 2 18" xfId="27344"/>
    <cellStyle name="Calculation 3 3 2 19" xfId="27845"/>
    <cellStyle name="Calculation 3 3 2 2" xfId="927"/>
    <cellStyle name="Calculation 3 3 2 2 10" xfId="13668"/>
    <cellStyle name="Calculation 3 3 2 2 11" xfId="15744"/>
    <cellStyle name="Calculation 3 3 2 2 12" xfId="26311"/>
    <cellStyle name="Calculation 3 3 2 2 13" xfId="27172"/>
    <cellStyle name="Calculation 3 3 2 2 14" xfId="26814"/>
    <cellStyle name="Calculation 3 3 2 2 15" xfId="26245"/>
    <cellStyle name="Calculation 3 3 2 2 16" xfId="26849"/>
    <cellStyle name="Calculation 3 3 2 2 17" xfId="26980"/>
    <cellStyle name="Calculation 3 3 2 2 18" xfId="35007"/>
    <cellStyle name="Calculation 3 3 2 2 19" xfId="35454"/>
    <cellStyle name="Calculation 3 3 2 2 2" xfId="928"/>
    <cellStyle name="Calculation 3 3 2 2 2 10" xfId="23237"/>
    <cellStyle name="Calculation 3 3 2 2 2 11" xfId="24209"/>
    <cellStyle name="Calculation 3 3 2 2 2 12" xfId="25208"/>
    <cellStyle name="Calculation 3 3 2 2 2 13" xfId="28153"/>
    <cellStyle name="Calculation 3 3 2 2 2 14" xfId="29122"/>
    <cellStyle name="Calculation 3 3 2 2 2 15" xfId="30161"/>
    <cellStyle name="Calculation 3 3 2 2 2 16" xfId="31154"/>
    <cellStyle name="Calculation 3 3 2 2 2 17" xfId="32163"/>
    <cellStyle name="Calculation 3 3 2 2 2 18" xfId="33166"/>
    <cellStyle name="Calculation 3 3 2 2 2 19" xfId="34165"/>
    <cellStyle name="Calculation 3 3 2 2 2 2" xfId="929"/>
    <cellStyle name="Calculation 3 3 2 2 2 2 10" xfId="24210"/>
    <cellStyle name="Calculation 3 3 2 2 2 2 11" xfId="25209"/>
    <cellStyle name="Calculation 3 3 2 2 2 2 12" xfId="28154"/>
    <cellStyle name="Calculation 3 3 2 2 2 2 13" xfId="29123"/>
    <cellStyle name="Calculation 3 3 2 2 2 2 14" xfId="30162"/>
    <cellStyle name="Calculation 3 3 2 2 2 2 15" xfId="31155"/>
    <cellStyle name="Calculation 3 3 2 2 2 2 16" xfId="32164"/>
    <cellStyle name="Calculation 3 3 2 2 2 2 17" xfId="33167"/>
    <cellStyle name="Calculation 3 3 2 2 2 2 18" xfId="34166"/>
    <cellStyle name="Calculation 3 3 2 2 2 2 19" xfId="35787"/>
    <cellStyle name="Calculation 3 3 2 2 2 2 2" xfId="16190"/>
    <cellStyle name="Calculation 3 3 2 2 2 2 20" xfId="36726"/>
    <cellStyle name="Calculation 3 3 2 2 2 2 3" xfId="17168"/>
    <cellStyle name="Calculation 3 3 2 2 2 2 4" xfId="18196"/>
    <cellStyle name="Calculation 3 3 2 2 2 2 5" xfId="19228"/>
    <cellStyle name="Calculation 3 3 2 2 2 2 6" xfId="20250"/>
    <cellStyle name="Calculation 3 3 2 2 2 2 7" xfId="21259"/>
    <cellStyle name="Calculation 3 3 2 2 2 2 8" xfId="22233"/>
    <cellStyle name="Calculation 3 3 2 2 2 2 9" xfId="23238"/>
    <cellStyle name="Calculation 3 3 2 2 2 20" xfId="35786"/>
    <cellStyle name="Calculation 3 3 2 2 2 21" xfId="36725"/>
    <cellStyle name="Calculation 3 3 2 2 2 3" xfId="16189"/>
    <cellStyle name="Calculation 3 3 2 2 2 4" xfId="17167"/>
    <cellStyle name="Calculation 3 3 2 2 2 5" xfId="18195"/>
    <cellStyle name="Calculation 3 3 2 2 2 6" xfId="19227"/>
    <cellStyle name="Calculation 3 3 2 2 2 7" xfId="20249"/>
    <cellStyle name="Calculation 3 3 2 2 2 8" xfId="21258"/>
    <cellStyle name="Calculation 3 3 2 2 2 9" xfId="22232"/>
    <cellStyle name="Calculation 3 3 2 2 3" xfId="930"/>
    <cellStyle name="Calculation 3 3 2 2 3 10" xfId="23239"/>
    <cellStyle name="Calculation 3 3 2 2 3 11" xfId="24211"/>
    <cellStyle name="Calculation 3 3 2 2 3 12" xfId="25210"/>
    <cellStyle name="Calculation 3 3 2 2 3 13" xfId="28155"/>
    <cellStyle name="Calculation 3 3 2 2 3 14" xfId="29124"/>
    <cellStyle name="Calculation 3 3 2 2 3 15" xfId="30163"/>
    <cellStyle name="Calculation 3 3 2 2 3 16" xfId="31156"/>
    <cellStyle name="Calculation 3 3 2 2 3 17" xfId="32165"/>
    <cellStyle name="Calculation 3 3 2 2 3 18" xfId="33168"/>
    <cellStyle name="Calculation 3 3 2 2 3 19" xfId="34167"/>
    <cellStyle name="Calculation 3 3 2 2 3 2" xfId="931"/>
    <cellStyle name="Calculation 3 3 2 2 3 2 10" xfId="24212"/>
    <cellStyle name="Calculation 3 3 2 2 3 2 11" xfId="25211"/>
    <cellStyle name="Calculation 3 3 2 2 3 2 12" xfId="28156"/>
    <cellStyle name="Calculation 3 3 2 2 3 2 13" xfId="29125"/>
    <cellStyle name="Calculation 3 3 2 2 3 2 14" xfId="30164"/>
    <cellStyle name="Calculation 3 3 2 2 3 2 15" xfId="31157"/>
    <cellStyle name="Calculation 3 3 2 2 3 2 16" xfId="32166"/>
    <cellStyle name="Calculation 3 3 2 2 3 2 17" xfId="33169"/>
    <cellStyle name="Calculation 3 3 2 2 3 2 18" xfId="34168"/>
    <cellStyle name="Calculation 3 3 2 2 3 2 19" xfId="35789"/>
    <cellStyle name="Calculation 3 3 2 2 3 2 2" xfId="16192"/>
    <cellStyle name="Calculation 3 3 2 2 3 2 20" xfId="36728"/>
    <cellStyle name="Calculation 3 3 2 2 3 2 3" xfId="17170"/>
    <cellStyle name="Calculation 3 3 2 2 3 2 4" xfId="18198"/>
    <cellStyle name="Calculation 3 3 2 2 3 2 5" xfId="19230"/>
    <cellStyle name="Calculation 3 3 2 2 3 2 6" xfId="20252"/>
    <cellStyle name="Calculation 3 3 2 2 3 2 7" xfId="21261"/>
    <cellStyle name="Calculation 3 3 2 2 3 2 8" xfId="22235"/>
    <cellStyle name="Calculation 3 3 2 2 3 2 9" xfId="23240"/>
    <cellStyle name="Calculation 3 3 2 2 3 20" xfId="35788"/>
    <cellStyle name="Calculation 3 3 2 2 3 21" xfId="36727"/>
    <cellStyle name="Calculation 3 3 2 2 3 3" xfId="16191"/>
    <cellStyle name="Calculation 3 3 2 2 3 4" xfId="17169"/>
    <cellStyle name="Calculation 3 3 2 2 3 5" xfId="18197"/>
    <cellStyle name="Calculation 3 3 2 2 3 6" xfId="19229"/>
    <cellStyle name="Calculation 3 3 2 2 3 7" xfId="20251"/>
    <cellStyle name="Calculation 3 3 2 2 3 8" xfId="21260"/>
    <cellStyle name="Calculation 3 3 2 2 3 9" xfId="22234"/>
    <cellStyle name="Calculation 3 3 2 2 4" xfId="932"/>
    <cellStyle name="Calculation 3 3 2 2 4 10" xfId="23241"/>
    <cellStyle name="Calculation 3 3 2 2 4 11" xfId="24213"/>
    <cellStyle name="Calculation 3 3 2 2 4 12" xfId="25212"/>
    <cellStyle name="Calculation 3 3 2 2 4 13" xfId="28157"/>
    <cellStyle name="Calculation 3 3 2 2 4 14" xfId="29126"/>
    <cellStyle name="Calculation 3 3 2 2 4 15" xfId="30165"/>
    <cellStyle name="Calculation 3 3 2 2 4 16" xfId="31158"/>
    <cellStyle name="Calculation 3 3 2 2 4 17" xfId="32167"/>
    <cellStyle name="Calculation 3 3 2 2 4 18" xfId="33170"/>
    <cellStyle name="Calculation 3 3 2 2 4 19" xfId="34169"/>
    <cellStyle name="Calculation 3 3 2 2 4 2" xfId="933"/>
    <cellStyle name="Calculation 3 3 2 2 4 2 10" xfId="24214"/>
    <cellStyle name="Calculation 3 3 2 2 4 2 11" xfId="25213"/>
    <cellStyle name="Calculation 3 3 2 2 4 2 12" xfId="28158"/>
    <cellStyle name="Calculation 3 3 2 2 4 2 13" xfId="29127"/>
    <cellStyle name="Calculation 3 3 2 2 4 2 14" xfId="30166"/>
    <cellStyle name="Calculation 3 3 2 2 4 2 15" xfId="31159"/>
    <cellStyle name="Calculation 3 3 2 2 4 2 16" xfId="32168"/>
    <cellStyle name="Calculation 3 3 2 2 4 2 17" xfId="33171"/>
    <cellStyle name="Calculation 3 3 2 2 4 2 18" xfId="34170"/>
    <cellStyle name="Calculation 3 3 2 2 4 2 19" xfId="35791"/>
    <cellStyle name="Calculation 3 3 2 2 4 2 2" xfId="16194"/>
    <cellStyle name="Calculation 3 3 2 2 4 2 20" xfId="36730"/>
    <cellStyle name="Calculation 3 3 2 2 4 2 3" xfId="17172"/>
    <cellStyle name="Calculation 3 3 2 2 4 2 4" xfId="18200"/>
    <cellStyle name="Calculation 3 3 2 2 4 2 5" xfId="19232"/>
    <cellStyle name="Calculation 3 3 2 2 4 2 6" xfId="20254"/>
    <cellStyle name="Calculation 3 3 2 2 4 2 7" xfId="21263"/>
    <cellStyle name="Calculation 3 3 2 2 4 2 8" xfId="22237"/>
    <cellStyle name="Calculation 3 3 2 2 4 2 9" xfId="23242"/>
    <cellStyle name="Calculation 3 3 2 2 4 20" xfId="35790"/>
    <cellStyle name="Calculation 3 3 2 2 4 21" xfId="36729"/>
    <cellStyle name="Calculation 3 3 2 2 4 3" xfId="16193"/>
    <cellStyle name="Calculation 3 3 2 2 4 4" xfId="17171"/>
    <cellStyle name="Calculation 3 3 2 2 4 5" xfId="18199"/>
    <cellStyle name="Calculation 3 3 2 2 4 6" xfId="19231"/>
    <cellStyle name="Calculation 3 3 2 2 4 7" xfId="20253"/>
    <cellStyle name="Calculation 3 3 2 2 4 8" xfId="21262"/>
    <cellStyle name="Calculation 3 3 2 2 4 9" xfId="22236"/>
    <cellStyle name="Calculation 3 3 2 2 5" xfId="934"/>
    <cellStyle name="Calculation 3 3 2 2 5 10" xfId="24215"/>
    <cellStyle name="Calculation 3 3 2 2 5 11" xfId="25214"/>
    <cellStyle name="Calculation 3 3 2 2 5 12" xfId="28159"/>
    <cellStyle name="Calculation 3 3 2 2 5 13" xfId="29128"/>
    <cellStyle name="Calculation 3 3 2 2 5 14" xfId="30167"/>
    <cellStyle name="Calculation 3 3 2 2 5 15" xfId="31160"/>
    <cellStyle name="Calculation 3 3 2 2 5 16" xfId="32169"/>
    <cellStyle name="Calculation 3 3 2 2 5 17" xfId="33172"/>
    <cellStyle name="Calculation 3 3 2 2 5 18" xfId="34171"/>
    <cellStyle name="Calculation 3 3 2 2 5 19" xfId="35792"/>
    <cellStyle name="Calculation 3 3 2 2 5 2" xfId="16195"/>
    <cellStyle name="Calculation 3 3 2 2 5 20" xfId="36731"/>
    <cellStyle name="Calculation 3 3 2 2 5 3" xfId="17173"/>
    <cellStyle name="Calculation 3 3 2 2 5 4" xfId="18201"/>
    <cellStyle name="Calculation 3 3 2 2 5 5" xfId="19233"/>
    <cellStyle name="Calculation 3 3 2 2 5 6" xfId="20255"/>
    <cellStyle name="Calculation 3 3 2 2 5 7" xfId="21264"/>
    <cellStyle name="Calculation 3 3 2 2 5 8" xfId="22238"/>
    <cellStyle name="Calculation 3 3 2 2 5 9" xfId="23243"/>
    <cellStyle name="Calculation 3 3 2 2 6" xfId="13724"/>
    <cellStyle name="Calculation 3 3 2 2 7" xfId="13887"/>
    <cellStyle name="Calculation 3 3 2 2 8" xfId="13512"/>
    <cellStyle name="Calculation 3 3 2 2 9" xfId="15299"/>
    <cellStyle name="Calculation 3 3 2 20" xfId="27042"/>
    <cellStyle name="Calculation 3 3 2 21" xfId="26967"/>
    <cellStyle name="Calculation 3 3 2 22" xfId="34950"/>
    <cellStyle name="Calculation 3 3 2 23" xfId="34888"/>
    <cellStyle name="Calculation 3 3 2 3" xfId="935"/>
    <cellStyle name="Calculation 3 3 2 3 10" xfId="15762"/>
    <cellStyle name="Calculation 3 3 2 3 11" xfId="15149"/>
    <cellStyle name="Calculation 3 3 2 3 12" xfId="26391"/>
    <cellStyle name="Calculation 3 3 2 3 13" xfId="27120"/>
    <cellStyle name="Calculation 3 3 2 3 14" xfId="26826"/>
    <cellStyle name="Calculation 3 3 2 3 15" xfId="27488"/>
    <cellStyle name="Calculation 3 3 2 3 16" xfId="27434"/>
    <cellStyle name="Calculation 3 3 2 3 17" xfId="26694"/>
    <cellStyle name="Calculation 3 3 2 3 18" xfId="35082"/>
    <cellStyle name="Calculation 3 3 2 3 19" xfId="35275"/>
    <cellStyle name="Calculation 3 3 2 3 2" xfId="936"/>
    <cellStyle name="Calculation 3 3 2 3 2 10" xfId="23244"/>
    <cellStyle name="Calculation 3 3 2 3 2 11" xfId="24216"/>
    <cellStyle name="Calculation 3 3 2 3 2 12" xfId="25215"/>
    <cellStyle name="Calculation 3 3 2 3 2 13" xfId="28160"/>
    <cellStyle name="Calculation 3 3 2 3 2 14" xfId="29129"/>
    <cellStyle name="Calculation 3 3 2 3 2 15" xfId="30168"/>
    <cellStyle name="Calculation 3 3 2 3 2 16" xfId="31161"/>
    <cellStyle name="Calculation 3 3 2 3 2 17" xfId="32170"/>
    <cellStyle name="Calculation 3 3 2 3 2 18" xfId="33173"/>
    <cellStyle name="Calculation 3 3 2 3 2 19" xfId="34172"/>
    <cellStyle name="Calculation 3 3 2 3 2 2" xfId="937"/>
    <cellStyle name="Calculation 3 3 2 3 2 2 10" xfId="24217"/>
    <cellStyle name="Calculation 3 3 2 3 2 2 11" xfId="25216"/>
    <cellStyle name="Calculation 3 3 2 3 2 2 12" xfId="28161"/>
    <cellStyle name="Calculation 3 3 2 3 2 2 13" xfId="29130"/>
    <cellStyle name="Calculation 3 3 2 3 2 2 14" xfId="30169"/>
    <cellStyle name="Calculation 3 3 2 3 2 2 15" xfId="31162"/>
    <cellStyle name="Calculation 3 3 2 3 2 2 16" xfId="32171"/>
    <cellStyle name="Calculation 3 3 2 3 2 2 17" xfId="33174"/>
    <cellStyle name="Calculation 3 3 2 3 2 2 18" xfId="34173"/>
    <cellStyle name="Calculation 3 3 2 3 2 2 19" xfId="35794"/>
    <cellStyle name="Calculation 3 3 2 3 2 2 2" xfId="16197"/>
    <cellStyle name="Calculation 3 3 2 3 2 2 20" xfId="36733"/>
    <cellStyle name="Calculation 3 3 2 3 2 2 3" xfId="17175"/>
    <cellStyle name="Calculation 3 3 2 3 2 2 4" xfId="18203"/>
    <cellStyle name="Calculation 3 3 2 3 2 2 5" xfId="19235"/>
    <cellStyle name="Calculation 3 3 2 3 2 2 6" xfId="20257"/>
    <cellStyle name="Calculation 3 3 2 3 2 2 7" xfId="21266"/>
    <cellStyle name="Calculation 3 3 2 3 2 2 8" xfId="22240"/>
    <cellStyle name="Calculation 3 3 2 3 2 2 9" xfId="23245"/>
    <cellStyle name="Calculation 3 3 2 3 2 20" xfId="35793"/>
    <cellStyle name="Calculation 3 3 2 3 2 21" xfId="36732"/>
    <cellStyle name="Calculation 3 3 2 3 2 3" xfId="16196"/>
    <cellStyle name="Calculation 3 3 2 3 2 4" xfId="17174"/>
    <cellStyle name="Calculation 3 3 2 3 2 5" xfId="18202"/>
    <cellStyle name="Calculation 3 3 2 3 2 6" xfId="19234"/>
    <cellStyle name="Calculation 3 3 2 3 2 7" xfId="20256"/>
    <cellStyle name="Calculation 3 3 2 3 2 8" xfId="21265"/>
    <cellStyle name="Calculation 3 3 2 3 2 9" xfId="22239"/>
    <cellStyle name="Calculation 3 3 2 3 3" xfId="938"/>
    <cellStyle name="Calculation 3 3 2 3 3 10" xfId="23246"/>
    <cellStyle name="Calculation 3 3 2 3 3 11" xfId="24218"/>
    <cellStyle name="Calculation 3 3 2 3 3 12" xfId="25217"/>
    <cellStyle name="Calculation 3 3 2 3 3 13" xfId="28162"/>
    <cellStyle name="Calculation 3 3 2 3 3 14" xfId="29131"/>
    <cellStyle name="Calculation 3 3 2 3 3 15" xfId="30170"/>
    <cellStyle name="Calculation 3 3 2 3 3 16" xfId="31163"/>
    <cellStyle name="Calculation 3 3 2 3 3 17" xfId="32172"/>
    <cellStyle name="Calculation 3 3 2 3 3 18" xfId="33175"/>
    <cellStyle name="Calculation 3 3 2 3 3 19" xfId="34174"/>
    <cellStyle name="Calculation 3 3 2 3 3 2" xfId="939"/>
    <cellStyle name="Calculation 3 3 2 3 3 2 10" xfId="24219"/>
    <cellStyle name="Calculation 3 3 2 3 3 2 11" xfId="25218"/>
    <cellStyle name="Calculation 3 3 2 3 3 2 12" xfId="28163"/>
    <cellStyle name="Calculation 3 3 2 3 3 2 13" xfId="29132"/>
    <cellStyle name="Calculation 3 3 2 3 3 2 14" xfId="30171"/>
    <cellStyle name="Calculation 3 3 2 3 3 2 15" xfId="31164"/>
    <cellStyle name="Calculation 3 3 2 3 3 2 16" xfId="32173"/>
    <cellStyle name="Calculation 3 3 2 3 3 2 17" xfId="33176"/>
    <cellStyle name="Calculation 3 3 2 3 3 2 18" xfId="34175"/>
    <cellStyle name="Calculation 3 3 2 3 3 2 19" xfId="35796"/>
    <cellStyle name="Calculation 3 3 2 3 3 2 2" xfId="16199"/>
    <cellStyle name="Calculation 3 3 2 3 3 2 20" xfId="36735"/>
    <cellStyle name="Calculation 3 3 2 3 3 2 3" xfId="17177"/>
    <cellStyle name="Calculation 3 3 2 3 3 2 4" xfId="18205"/>
    <cellStyle name="Calculation 3 3 2 3 3 2 5" xfId="19237"/>
    <cellStyle name="Calculation 3 3 2 3 3 2 6" xfId="20259"/>
    <cellStyle name="Calculation 3 3 2 3 3 2 7" xfId="21268"/>
    <cellStyle name="Calculation 3 3 2 3 3 2 8" xfId="22242"/>
    <cellStyle name="Calculation 3 3 2 3 3 2 9" xfId="23247"/>
    <cellStyle name="Calculation 3 3 2 3 3 20" xfId="35795"/>
    <cellStyle name="Calculation 3 3 2 3 3 21" xfId="36734"/>
    <cellStyle name="Calculation 3 3 2 3 3 3" xfId="16198"/>
    <cellStyle name="Calculation 3 3 2 3 3 4" xfId="17176"/>
    <cellStyle name="Calculation 3 3 2 3 3 5" xfId="18204"/>
    <cellStyle name="Calculation 3 3 2 3 3 6" xfId="19236"/>
    <cellStyle name="Calculation 3 3 2 3 3 7" xfId="20258"/>
    <cellStyle name="Calculation 3 3 2 3 3 8" xfId="21267"/>
    <cellStyle name="Calculation 3 3 2 3 3 9" xfId="22241"/>
    <cellStyle name="Calculation 3 3 2 3 4" xfId="940"/>
    <cellStyle name="Calculation 3 3 2 3 4 10" xfId="23248"/>
    <cellStyle name="Calculation 3 3 2 3 4 11" xfId="24220"/>
    <cellStyle name="Calculation 3 3 2 3 4 12" xfId="25219"/>
    <cellStyle name="Calculation 3 3 2 3 4 13" xfId="28164"/>
    <cellStyle name="Calculation 3 3 2 3 4 14" xfId="29133"/>
    <cellStyle name="Calculation 3 3 2 3 4 15" xfId="30172"/>
    <cellStyle name="Calculation 3 3 2 3 4 16" xfId="31165"/>
    <cellStyle name="Calculation 3 3 2 3 4 17" xfId="32174"/>
    <cellStyle name="Calculation 3 3 2 3 4 18" xfId="33177"/>
    <cellStyle name="Calculation 3 3 2 3 4 19" xfId="34176"/>
    <cellStyle name="Calculation 3 3 2 3 4 2" xfId="941"/>
    <cellStyle name="Calculation 3 3 2 3 4 2 10" xfId="24221"/>
    <cellStyle name="Calculation 3 3 2 3 4 2 11" xfId="25220"/>
    <cellStyle name="Calculation 3 3 2 3 4 2 12" xfId="28165"/>
    <cellStyle name="Calculation 3 3 2 3 4 2 13" xfId="29134"/>
    <cellStyle name="Calculation 3 3 2 3 4 2 14" xfId="30173"/>
    <cellStyle name="Calculation 3 3 2 3 4 2 15" xfId="31166"/>
    <cellStyle name="Calculation 3 3 2 3 4 2 16" xfId="32175"/>
    <cellStyle name="Calculation 3 3 2 3 4 2 17" xfId="33178"/>
    <cellStyle name="Calculation 3 3 2 3 4 2 18" xfId="34177"/>
    <cellStyle name="Calculation 3 3 2 3 4 2 19" xfId="35798"/>
    <cellStyle name="Calculation 3 3 2 3 4 2 2" xfId="16201"/>
    <cellStyle name="Calculation 3 3 2 3 4 2 20" xfId="36737"/>
    <cellStyle name="Calculation 3 3 2 3 4 2 3" xfId="17179"/>
    <cellStyle name="Calculation 3 3 2 3 4 2 4" xfId="18207"/>
    <cellStyle name="Calculation 3 3 2 3 4 2 5" xfId="19239"/>
    <cellStyle name="Calculation 3 3 2 3 4 2 6" xfId="20261"/>
    <cellStyle name="Calculation 3 3 2 3 4 2 7" xfId="21270"/>
    <cellStyle name="Calculation 3 3 2 3 4 2 8" xfId="22244"/>
    <cellStyle name="Calculation 3 3 2 3 4 2 9" xfId="23249"/>
    <cellStyle name="Calculation 3 3 2 3 4 20" xfId="35797"/>
    <cellStyle name="Calculation 3 3 2 3 4 21" xfId="36736"/>
    <cellStyle name="Calculation 3 3 2 3 4 3" xfId="16200"/>
    <cellStyle name="Calculation 3 3 2 3 4 4" xfId="17178"/>
    <cellStyle name="Calculation 3 3 2 3 4 5" xfId="18206"/>
    <cellStyle name="Calculation 3 3 2 3 4 6" xfId="19238"/>
    <cellStyle name="Calculation 3 3 2 3 4 7" xfId="20260"/>
    <cellStyle name="Calculation 3 3 2 3 4 8" xfId="21269"/>
    <cellStyle name="Calculation 3 3 2 3 4 9" xfId="22243"/>
    <cellStyle name="Calculation 3 3 2 3 5" xfId="942"/>
    <cellStyle name="Calculation 3 3 2 3 5 10" xfId="24222"/>
    <cellStyle name="Calculation 3 3 2 3 5 11" xfId="25221"/>
    <cellStyle name="Calculation 3 3 2 3 5 12" xfId="28166"/>
    <cellStyle name="Calculation 3 3 2 3 5 13" xfId="29135"/>
    <cellStyle name="Calculation 3 3 2 3 5 14" xfId="30174"/>
    <cellStyle name="Calculation 3 3 2 3 5 15" xfId="31167"/>
    <cellStyle name="Calculation 3 3 2 3 5 16" xfId="32176"/>
    <cellStyle name="Calculation 3 3 2 3 5 17" xfId="33179"/>
    <cellStyle name="Calculation 3 3 2 3 5 18" xfId="34178"/>
    <cellStyle name="Calculation 3 3 2 3 5 19" xfId="35799"/>
    <cellStyle name="Calculation 3 3 2 3 5 2" xfId="16202"/>
    <cellStyle name="Calculation 3 3 2 3 5 20" xfId="36738"/>
    <cellStyle name="Calculation 3 3 2 3 5 3" xfId="17180"/>
    <cellStyle name="Calculation 3 3 2 3 5 4" xfId="18208"/>
    <cellStyle name="Calculation 3 3 2 3 5 5" xfId="19240"/>
    <cellStyle name="Calculation 3 3 2 3 5 6" xfId="20262"/>
    <cellStyle name="Calculation 3 3 2 3 5 7" xfId="21271"/>
    <cellStyle name="Calculation 3 3 2 3 5 8" xfId="22245"/>
    <cellStyle name="Calculation 3 3 2 3 5 9" xfId="23250"/>
    <cellStyle name="Calculation 3 3 2 3 6" xfId="15410"/>
    <cellStyle name="Calculation 3 3 2 3 7" xfId="14553"/>
    <cellStyle name="Calculation 3 3 2 3 8" xfId="14101"/>
    <cellStyle name="Calculation 3 3 2 3 9" xfId="14124"/>
    <cellStyle name="Calculation 3 3 2 4" xfId="943"/>
    <cellStyle name="Calculation 3 3 2 4 10" xfId="14210"/>
    <cellStyle name="Calculation 3 3 2 4 11" xfId="13806"/>
    <cellStyle name="Calculation 3 3 2 4 12" xfId="26409"/>
    <cellStyle name="Calculation 3 3 2 4 13" xfId="27106"/>
    <cellStyle name="Calculation 3 3 2 4 14" xfId="25942"/>
    <cellStyle name="Calculation 3 3 2 4 15" xfId="26738"/>
    <cellStyle name="Calculation 3 3 2 4 16" xfId="26953"/>
    <cellStyle name="Calculation 3 3 2 4 17" xfId="27604"/>
    <cellStyle name="Calculation 3 3 2 4 18" xfId="35099"/>
    <cellStyle name="Calculation 3 3 2 4 19" xfId="35262"/>
    <cellStyle name="Calculation 3 3 2 4 2" xfId="944"/>
    <cellStyle name="Calculation 3 3 2 4 2 10" xfId="23251"/>
    <cellStyle name="Calculation 3 3 2 4 2 11" xfId="24223"/>
    <cellStyle name="Calculation 3 3 2 4 2 12" xfId="25222"/>
    <cellStyle name="Calculation 3 3 2 4 2 13" xfId="28167"/>
    <cellStyle name="Calculation 3 3 2 4 2 14" xfId="29136"/>
    <cellStyle name="Calculation 3 3 2 4 2 15" xfId="30175"/>
    <cellStyle name="Calculation 3 3 2 4 2 16" xfId="31168"/>
    <cellStyle name="Calculation 3 3 2 4 2 17" xfId="32177"/>
    <cellStyle name="Calculation 3 3 2 4 2 18" xfId="33180"/>
    <cellStyle name="Calculation 3 3 2 4 2 19" xfId="34179"/>
    <cellStyle name="Calculation 3 3 2 4 2 2" xfId="945"/>
    <cellStyle name="Calculation 3 3 2 4 2 2 10" xfId="24224"/>
    <cellStyle name="Calculation 3 3 2 4 2 2 11" xfId="25223"/>
    <cellStyle name="Calculation 3 3 2 4 2 2 12" xfId="28168"/>
    <cellStyle name="Calculation 3 3 2 4 2 2 13" xfId="29137"/>
    <cellStyle name="Calculation 3 3 2 4 2 2 14" xfId="30176"/>
    <cellStyle name="Calculation 3 3 2 4 2 2 15" xfId="31169"/>
    <cellStyle name="Calculation 3 3 2 4 2 2 16" xfId="32178"/>
    <cellStyle name="Calculation 3 3 2 4 2 2 17" xfId="33181"/>
    <cellStyle name="Calculation 3 3 2 4 2 2 18" xfId="34180"/>
    <cellStyle name="Calculation 3 3 2 4 2 2 19" xfId="35801"/>
    <cellStyle name="Calculation 3 3 2 4 2 2 2" xfId="16204"/>
    <cellStyle name="Calculation 3 3 2 4 2 2 20" xfId="36740"/>
    <cellStyle name="Calculation 3 3 2 4 2 2 3" xfId="17182"/>
    <cellStyle name="Calculation 3 3 2 4 2 2 4" xfId="18210"/>
    <cellStyle name="Calculation 3 3 2 4 2 2 5" xfId="19242"/>
    <cellStyle name="Calculation 3 3 2 4 2 2 6" xfId="20264"/>
    <cellStyle name="Calculation 3 3 2 4 2 2 7" xfId="21273"/>
    <cellStyle name="Calculation 3 3 2 4 2 2 8" xfId="22247"/>
    <cellStyle name="Calculation 3 3 2 4 2 2 9" xfId="23252"/>
    <cellStyle name="Calculation 3 3 2 4 2 20" xfId="35800"/>
    <cellStyle name="Calculation 3 3 2 4 2 21" xfId="36739"/>
    <cellStyle name="Calculation 3 3 2 4 2 3" xfId="16203"/>
    <cellStyle name="Calculation 3 3 2 4 2 4" xfId="17181"/>
    <cellStyle name="Calculation 3 3 2 4 2 5" xfId="18209"/>
    <cellStyle name="Calculation 3 3 2 4 2 6" xfId="19241"/>
    <cellStyle name="Calculation 3 3 2 4 2 7" xfId="20263"/>
    <cellStyle name="Calculation 3 3 2 4 2 8" xfId="21272"/>
    <cellStyle name="Calculation 3 3 2 4 2 9" xfId="22246"/>
    <cellStyle name="Calculation 3 3 2 4 3" xfId="946"/>
    <cellStyle name="Calculation 3 3 2 4 3 10" xfId="23253"/>
    <cellStyle name="Calculation 3 3 2 4 3 11" xfId="24225"/>
    <cellStyle name="Calculation 3 3 2 4 3 12" xfId="25224"/>
    <cellStyle name="Calculation 3 3 2 4 3 13" xfId="28169"/>
    <cellStyle name="Calculation 3 3 2 4 3 14" xfId="29138"/>
    <cellStyle name="Calculation 3 3 2 4 3 15" xfId="30177"/>
    <cellStyle name="Calculation 3 3 2 4 3 16" xfId="31170"/>
    <cellStyle name="Calculation 3 3 2 4 3 17" xfId="32179"/>
    <cellStyle name="Calculation 3 3 2 4 3 18" xfId="33182"/>
    <cellStyle name="Calculation 3 3 2 4 3 19" xfId="34181"/>
    <cellStyle name="Calculation 3 3 2 4 3 2" xfId="947"/>
    <cellStyle name="Calculation 3 3 2 4 3 2 10" xfId="24226"/>
    <cellStyle name="Calculation 3 3 2 4 3 2 11" xfId="25225"/>
    <cellStyle name="Calculation 3 3 2 4 3 2 12" xfId="28170"/>
    <cellStyle name="Calculation 3 3 2 4 3 2 13" xfId="29139"/>
    <cellStyle name="Calculation 3 3 2 4 3 2 14" xfId="30178"/>
    <cellStyle name="Calculation 3 3 2 4 3 2 15" xfId="31171"/>
    <cellStyle name="Calculation 3 3 2 4 3 2 16" xfId="32180"/>
    <cellStyle name="Calculation 3 3 2 4 3 2 17" xfId="33183"/>
    <cellStyle name="Calculation 3 3 2 4 3 2 18" xfId="34182"/>
    <cellStyle name="Calculation 3 3 2 4 3 2 19" xfId="35803"/>
    <cellStyle name="Calculation 3 3 2 4 3 2 2" xfId="16206"/>
    <cellStyle name="Calculation 3 3 2 4 3 2 20" xfId="36742"/>
    <cellStyle name="Calculation 3 3 2 4 3 2 3" xfId="17184"/>
    <cellStyle name="Calculation 3 3 2 4 3 2 4" xfId="18212"/>
    <cellStyle name="Calculation 3 3 2 4 3 2 5" xfId="19244"/>
    <cellStyle name="Calculation 3 3 2 4 3 2 6" xfId="20266"/>
    <cellStyle name="Calculation 3 3 2 4 3 2 7" xfId="21275"/>
    <cellStyle name="Calculation 3 3 2 4 3 2 8" xfId="22249"/>
    <cellStyle name="Calculation 3 3 2 4 3 2 9" xfId="23254"/>
    <cellStyle name="Calculation 3 3 2 4 3 20" xfId="35802"/>
    <cellStyle name="Calculation 3 3 2 4 3 21" xfId="36741"/>
    <cellStyle name="Calculation 3 3 2 4 3 3" xfId="16205"/>
    <cellStyle name="Calculation 3 3 2 4 3 4" xfId="17183"/>
    <cellStyle name="Calculation 3 3 2 4 3 5" xfId="18211"/>
    <cellStyle name="Calculation 3 3 2 4 3 6" xfId="19243"/>
    <cellStyle name="Calculation 3 3 2 4 3 7" xfId="20265"/>
    <cellStyle name="Calculation 3 3 2 4 3 8" xfId="21274"/>
    <cellStyle name="Calculation 3 3 2 4 3 9" xfId="22248"/>
    <cellStyle name="Calculation 3 3 2 4 4" xfId="948"/>
    <cellStyle name="Calculation 3 3 2 4 4 10" xfId="23255"/>
    <cellStyle name="Calculation 3 3 2 4 4 11" xfId="24227"/>
    <cellStyle name="Calculation 3 3 2 4 4 12" xfId="25226"/>
    <cellStyle name="Calculation 3 3 2 4 4 13" xfId="28171"/>
    <cellStyle name="Calculation 3 3 2 4 4 14" xfId="29140"/>
    <cellStyle name="Calculation 3 3 2 4 4 15" xfId="30179"/>
    <cellStyle name="Calculation 3 3 2 4 4 16" xfId="31172"/>
    <cellStyle name="Calculation 3 3 2 4 4 17" xfId="32181"/>
    <cellStyle name="Calculation 3 3 2 4 4 18" xfId="33184"/>
    <cellStyle name="Calculation 3 3 2 4 4 19" xfId="34183"/>
    <cellStyle name="Calculation 3 3 2 4 4 2" xfId="949"/>
    <cellStyle name="Calculation 3 3 2 4 4 2 10" xfId="24228"/>
    <cellStyle name="Calculation 3 3 2 4 4 2 11" xfId="25227"/>
    <cellStyle name="Calculation 3 3 2 4 4 2 12" xfId="28172"/>
    <cellStyle name="Calculation 3 3 2 4 4 2 13" xfId="29141"/>
    <cellStyle name="Calculation 3 3 2 4 4 2 14" xfId="30180"/>
    <cellStyle name="Calculation 3 3 2 4 4 2 15" xfId="31173"/>
    <cellStyle name="Calculation 3 3 2 4 4 2 16" xfId="32182"/>
    <cellStyle name="Calculation 3 3 2 4 4 2 17" xfId="33185"/>
    <cellStyle name="Calculation 3 3 2 4 4 2 18" xfId="34184"/>
    <cellStyle name="Calculation 3 3 2 4 4 2 19" xfId="35805"/>
    <cellStyle name="Calculation 3 3 2 4 4 2 2" xfId="16208"/>
    <cellStyle name="Calculation 3 3 2 4 4 2 20" xfId="36744"/>
    <cellStyle name="Calculation 3 3 2 4 4 2 3" xfId="17186"/>
    <cellStyle name="Calculation 3 3 2 4 4 2 4" xfId="18214"/>
    <cellStyle name="Calculation 3 3 2 4 4 2 5" xfId="19246"/>
    <cellStyle name="Calculation 3 3 2 4 4 2 6" xfId="20268"/>
    <cellStyle name="Calculation 3 3 2 4 4 2 7" xfId="21277"/>
    <cellStyle name="Calculation 3 3 2 4 4 2 8" xfId="22251"/>
    <cellStyle name="Calculation 3 3 2 4 4 2 9" xfId="23256"/>
    <cellStyle name="Calculation 3 3 2 4 4 20" xfId="35804"/>
    <cellStyle name="Calculation 3 3 2 4 4 21" xfId="36743"/>
    <cellStyle name="Calculation 3 3 2 4 4 3" xfId="16207"/>
    <cellStyle name="Calculation 3 3 2 4 4 4" xfId="17185"/>
    <cellStyle name="Calculation 3 3 2 4 4 5" xfId="18213"/>
    <cellStyle name="Calculation 3 3 2 4 4 6" xfId="19245"/>
    <cellStyle name="Calculation 3 3 2 4 4 7" xfId="20267"/>
    <cellStyle name="Calculation 3 3 2 4 4 8" xfId="21276"/>
    <cellStyle name="Calculation 3 3 2 4 4 9" xfId="22250"/>
    <cellStyle name="Calculation 3 3 2 4 5" xfId="950"/>
    <cellStyle name="Calculation 3 3 2 4 5 10" xfId="24229"/>
    <cellStyle name="Calculation 3 3 2 4 5 11" xfId="25228"/>
    <cellStyle name="Calculation 3 3 2 4 5 12" xfId="28173"/>
    <cellStyle name="Calculation 3 3 2 4 5 13" xfId="29142"/>
    <cellStyle name="Calculation 3 3 2 4 5 14" xfId="30181"/>
    <cellStyle name="Calculation 3 3 2 4 5 15" xfId="31174"/>
    <cellStyle name="Calculation 3 3 2 4 5 16" xfId="32183"/>
    <cellStyle name="Calculation 3 3 2 4 5 17" xfId="33186"/>
    <cellStyle name="Calculation 3 3 2 4 5 18" xfId="34185"/>
    <cellStyle name="Calculation 3 3 2 4 5 19" xfId="35806"/>
    <cellStyle name="Calculation 3 3 2 4 5 2" xfId="16209"/>
    <cellStyle name="Calculation 3 3 2 4 5 20" xfId="36745"/>
    <cellStyle name="Calculation 3 3 2 4 5 3" xfId="17187"/>
    <cellStyle name="Calculation 3 3 2 4 5 4" xfId="18215"/>
    <cellStyle name="Calculation 3 3 2 4 5 5" xfId="19247"/>
    <cellStyle name="Calculation 3 3 2 4 5 6" xfId="20269"/>
    <cellStyle name="Calculation 3 3 2 4 5 7" xfId="21278"/>
    <cellStyle name="Calculation 3 3 2 4 5 8" xfId="22252"/>
    <cellStyle name="Calculation 3 3 2 4 5 9" xfId="23257"/>
    <cellStyle name="Calculation 3 3 2 4 6" xfId="15204"/>
    <cellStyle name="Calculation 3 3 2 4 7" xfId="15815"/>
    <cellStyle name="Calculation 3 3 2 4 8" xfId="13933"/>
    <cellStyle name="Calculation 3 3 2 4 9" xfId="14140"/>
    <cellStyle name="Calculation 3 3 2 5" xfId="951"/>
    <cellStyle name="Calculation 3 3 2 5 10" xfId="14016"/>
    <cellStyle name="Calculation 3 3 2 5 11" xfId="15251"/>
    <cellStyle name="Calculation 3 3 2 5 12" xfId="26370"/>
    <cellStyle name="Calculation 3 3 2 5 13" xfId="27136"/>
    <cellStyle name="Calculation 3 3 2 5 14" xfId="27524"/>
    <cellStyle name="Calculation 3 3 2 5 15" xfId="26724"/>
    <cellStyle name="Calculation 3 3 2 5 16" xfId="26681"/>
    <cellStyle name="Calculation 3 3 2 5 17" xfId="26796"/>
    <cellStyle name="Calculation 3 3 2 5 18" xfId="35062"/>
    <cellStyle name="Calculation 3 3 2 5 19" xfId="34896"/>
    <cellStyle name="Calculation 3 3 2 5 2" xfId="952"/>
    <cellStyle name="Calculation 3 3 2 5 2 10" xfId="23258"/>
    <cellStyle name="Calculation 3 3 2 5 2 11" xfId="24230"/>
    <cellStyle name="Calculation 3 3 2 5 2 12" xfId="25229"/>
    <cellStyle name="Calculation 3 3 2 5 2 13" xfId="28174"/>
    <cellStyle name="Calculation 3 3 2 5 2 14" xfId="29143"/>
    <cellStyle name="Calculation 3 3 2 5 2 15" xfId="30182"/>
    <cellStyle name="Calculation 3 3 2 5 2 16" xfId="31175"/>
    <cellStyle name="Calculation 3 3 2 5 2 17" xfId="32184"/>
    <cellStyle name="Calculation 3 3 2 5 2 18" xfId="33187"/>
    <cellStyle name="Calculation 3 3 2 5 2 19" xfId="34186"/>
    <cellStyle name="Calculation 3 3 2 5 2 2" xfId="953"/>
    <cellStyle name="Calculation 3 3 2 5 2 2 10" xfId="24231"/>
    <cellStyle name="Calculation 3 3 2 5 2 2 11" xfId="25230"/>
    <cellStyle name="Calculation 3 3 2 5 2 2 12" xfId="28175"/>
    <cellStyle name="Calculation 3 3 2 5 2 2 13" xfId="29144"/>
    <cellStyle name="Calculation 3 3 2 5 2 2 14" xfId="30183"/>
    <cellStyle name="Calculation 3 3 2 5 2 2 15" xfId="31176"/>
    <cellStyle name="Calculation 3 3 2 5 2 2 16" xfId="32185"/>
    <cellStyle name="Calculation 3 3 2 5 2 2 17" xfId="33188"/>
    <cellStyle name="Calculation 3 3 2 5 2 2 18" xfId="34187"/>
    <cellStyle name="Calculation 3 3 2 5 2 2 19" xfId="35808"/>
    <cellStyle name="Calculation 3 3 2 5 2 2 2" xfId="16211"/>
    <cellStyle name="Calculation 3 3 2 5 2 2 20" xfId="36747"/>
    <cellStyle name="Calculation 3 3 2 5 2 2 3" xfId="17189"/>
    <cellStyle name="Calculation 3 3 2 5 2 2 4" xfId="18217"/>
    <cellStyle name="Calculation 3 3 2 5 2 2 5" xfId="19249"/>
    <cellStyle name="Calculation 3 3 2 5 2 2 6" xfId="20271"/>
    <cellStyle name="Calculation 3 3 2 5 2 2 7" xfId="21280"/>
    <cellStyle name="Calculation 3 3 2 5 2 2 8" xfId="22254"/>
    <cellStyle name="Calculation 3 3 2 5 2 2 9" xfId="23259"/>
    <cellStyle name="Calculation 3 3 2 5 2 20" xfId="35807"/>
    <cellStyle name="Calculation 3 3 2 5 2 21" xfId="36746"/>
    <cellStyle name="Calculation 3 3 2 5 2 3" xfId="16210"/>
    <cellStyle name="Calculation 3 3 2 5 2 4" xfId="17188"/>
    <cellStyle name="Calculation 3 3 2 5 2 5" xfId="18216"/>
    <cellStyle name="Calculation 3 3 2 5 2 6" xfId="19248"/>
    <cellStyle name="Calculation 3 3 2 5 2 7" xfId="20270"/>
    <cellStyle name="Calculation 3 3 2 5 2 8" xfId="21279"/>
    <cellStyle name="Calculation 3 3 2 5 2 9" xfId="22253"/>
    <cellStyle name="Calculation 3 3 2 5 3" xfId="954"/>
    <cellStyle name="Calculation 3 3 2 5 3 10" xfId="23260"/>
    <cellStyle name="Calculation 3 3 2 5 3 11" xfId="24232"/>
    <cellStyle name="Calculation 3 3 2 5 3 12" xfId="25231"/>
    <cellStyle name="Calculation 3 3 2 5 3 13" xfId="28176"/>
    <cellStyle name="Calculation 3 3 2 5 3 14" xfId="29145"/>
    <cellStyle name="Calculation 3 3 2 5 3 15" xfId="30184"/>
    <cellStyle name="Calculation 3 3 2 5 3 16" xfId="31177"/>
    <cellStyle name="Calculation 3 3 2 5 3 17" xfId="32186"/>
    <cellStyle name="Calculation 3 3 2 5 3 18" xfId="33189"/>
    <cellStyle name="Calculation 3 3 2 5 3 19" xfId="34188"/>
    <cellStyle name="Calculation 3 3 2 5 3 2" xfId="955"/>
    <cellStyle name="Calculation 3 3 2 5 3 2 10" xfId="24233"/>
    <cellStyle name="Calculation 3 3 2 5 3 2 11" xfId="25232"/>
    <cellStyle name="Calculation 3 3 2 5 3 2 12" xfId="28177"/>
    <cellStyle name="Calculation 3 3 2 5 3 2 13" xfId="29146"/>
    <cellStyle name="Calculation 3 3 2 5 3 2 14" xfId="30185"/>
    <cellStyle name="Calculation 3 3 2 5 3 2 15" xfId="31178"/>
    <cellStyle name="Calculation 3 3 2 5 3 2 16" xfId="32187"/>
    <cellStyle name="Calculation 3 3 2 5 3 2 17" xfId="33190"/>
    <cellStyle name="Calculation 3 3 2 5 3 2 18" xfId="34189"/>
    <cellStyle name="Calculation 3 3 2 5 3 2 19" xfId="35810"/>
    <cellStyle name="Calculation 3 3 2 5 3 2 2" xfId="16213"/>
    <cellStyle name="Calculation 3 3 2 5 3 2 20" xfId="36749"/>
    <cellStyle name="Calculation 3 3 2 5 3 2 3" xfId="17191"/>
    <cellStyle name="Calculation 3 3 2 5 3 2 4" xfId="18219"/>
    <cellStyle name="Calculation 3 3 2 5 3 2 5" xfId="19251"/>
    <cellStyle name="Calculation 3 3 2 5 3 2 6" xfId="20273"/>
    <cellStyle name="Calculation 3 3 2 5 3 2 7" xfId="21282"/>
    <cellStyle name="Calculation 3 3 2 5 3 2 8" xfId="22256"/>
    <cellStyle name="Calculation 3 3 2 5 3 2 9" xfId="23261"/>
    <cellStyle name="Calculation 3 3 2 5 3 20" xfId="35809"/>
    <cellStyle name="Calculation 3 3 2 5 3 21" xfId="36748"/>
    <cellStyle name="Calculation 3 3 2 5 3 3" xfId="16212"/>
    <cellStyle name="Calculation 3 3 2 5 3 4" xfId="17190"/>
    <cellStyle name="Calculation 3 3 2 5 3 5" xfId="18218"/>
    <cellStyle name="Calculation 3 3 2 5 3 6" xfId="19250"/>
    <cellStyle name="Calculation 3 3 2 5 3 7" xfId="20272"/>
    <cellStyle name="Calculation 3 3 2 5 3 8" xfId="21281"/>
    <cellStyle name="Calculation 3 3 2 5 3 9" xfId="22255"/>
    <cellStyle name="Calculation 3 3 2 5 4" xfId="956"/>
    <cellStyle name="Calculation 3 3 2 5 4 10" xfId="23262"/>
    <cellStyle name="Calculation 3 3 2 5 4 11" xfId="24234"/>
    <cellStyle name="Calculation 3 3 2 5 4 12" xfId="25233"/>
    <cellStyle name="Calculation 3 3 2 5 4 13" xfId="28178"/>
    <cellStyle name="Calculation 3 3 2 5 4 14" xfId="29147"/>
    <cellStyle name="Calculation 3 3 2 5 4 15" xfId="30186"/>
    <cellStyle name="Calculation 3 3 2 5 4 16" xfId="31179"/>
    <cellStyle name="Calculation 3 3 2 5 4 17" xfId="32188"/>
    <cellStyle name="Calculation 3 3 2 5 4 18" xfId="33191"/>
    <cellStyle name="Calculation 3 3 2 5 4 19" xfId="34190"/>
    <cellStyle name="Calculation 3 3 2 5 4 2" xfId="957"/>
    <cellStyle name="Calculation 3 3 2 5 4 2 10" xfId="24235"/>
    <cellStyle name="Calculation 3 3 2 5 4 2 11" xfId="25234"/>
    <cellStyle name="Calculation 3 3 2 5 4 2 12" xfId="28179"/>
    <cellStyle name="Calculation 3 3 2 5 4 2 13" xfId="29148"/>
    <cellStyle name="Calculation 3 3 2 5 4 2 14" xfId="30187"/>
    <cellStyle name="Calculation 3 3 2 5 4 2 15" xfId="31180"/>
    <cellStyle name="Calculation 3 3 2 5 4 2 16" xfId="32189"/>
    <cellStyle name="Calculation 3 3 2 5 4 2 17" xfId="33192"/>
    <cellStyle name="Calculation 3 3 2 5 4 2 18" xfId="34191"/>
    <cellStyle name="Calculation 3 3 2 5 4 2 19" xfId="35812"/>
    <cellStyle name="Calculation 3 3 2 5 4 2 2" xfId="16215"/>
    <cellStyle name="Calculation 3 3 2 5 4 2 20" xfId="36751"/>
    <cellStyle name="Calculation 3 3 2 5 4 2 3" xfId="17193"/>
    <cellStyle name="Calculation 3 3 2 5 4 2 4" xfId="18221"/>
    <cellStyle name="Calculation 3 3 2 5 4 2 5" xfId="19253"/>
    <cellStyle name="Calculation 3 3 2 5 4 2 6" xfId="20275"/>
    <cellStyle name="Calculation 3 3 2 5 4 2 7" xfId="21284"/>
    <cellStyle name="Calculation 3 3 2 5 4 2 8" xfId="22258"/>
    <cellStyle name="Calculation 3 3 2 5 4 2 9" xfId="23263"/>
    <cellStyle name="Calculation 3 3 2 5 4 20" xfId="35811"/>
    <cellStyle name="Calculation 3 3 2 5 4 21" xfId="36750"/>
    <cellStyle name="Calculation 3 3 2 5 4 3" xfId="16214"/>
    <cellStyle name="Calculation 3 3 2 5 4 4" xfId="17192"/>
    <cellStyle name="Calculation 3 3 2 5 4 5" xfId="18220"/>
    <cellStyle name="Calculation 3 3 2 5 4 6" xfId="19252"/>
    <cellStyle name="Calculation 3 3 2 5 4 7" xfId="20274"/>
    <cellStyle name="Calculation 3 3 2 5 4 8" xfId="21283"/>
    <cellStyle name="Calculation 3 3 2 5 4 9" xfId="22257"/>
    <cellStyle name="Calculation 3 3 2 5 5" xfId="958"/>
    <cellStyle name="Calculation 3 3 2 5 5 10" xfId="24236"/>
    <cellStyle name="Calculation 3 3 2 5 5 11" xfId="25235"/>
    <cellStyle name="Calculation 3 3 2 5 5 12" xfId="28180"/>
    <cellStyle name="Calculation 3 3 2 5 5 13" xfId="29149"/>
    <cellStyle name="Calculation 3 3 2 5 5 14" xfId="30188"/>
    <cellStyle name="Calculation 3 3 2 5 5 15" xfId="31181"/>
    <cellStyle name="Calculation 3 3 2 5 5 16" xfId="32190"/>
    <cellStyle name="Calculation 3 3 2 5 5 17" xfId="33193"/>
    <cellStyle name="Calculation 3 3 2 5 5 18" xfId="34192"/>
    <cellStyle name="Calculation 3 3 2 5 5 19" xfId="35813"/>
    <cellStyle name="Calculation 3 3 2 5 5 2" xfId="16216"/>
    <cellStyle name="Calculation 3 3 2 5 5 20" xfId="36752"/>
    <cellStyle name="Calculation 3 3 2 5 5 3" xfId="17194"/>
    <cellStyle name="Calculation 3 3 2 5 5 4" xfId="18222"/>
    <cellStyle name="Calculation 3 3 2 5 5 5" xfId="19254"/>
    <cellStyle name="Calculation 3 3 2 5 5 6" xfId="20276"/>
    <cellStyle name="Calculation 3 3 2 5 5 7" xfId="21285"/>
    <cellStyle name="Calculation 3 3 2 5 5 8" xfId="22259"/>
    <cellStyle name="Calculation 3 3 2 5 5 9" xfId="23264"/>
    <cellStyle name="Calculation 3 3 2 5 6" xfId="14045"/>
    <cellStyle name="Calculation 3 3 2 5 7" xfId="14467"/>
    <cellStyle name="Calculation 3 3 2 5 8" xfId="13425"/>
    <cellStyle name="Calculation 3 3 2 5 9" xfId="14273"/>
    <cellStyle name="Calculation 3 3 2 6" xfId="959"/>
    <cellStyle name="Calculation 3 3 2 6 10" xfId="23265"/>
    <cellStyle name="Calculation 3 3 2 6 11" xfId="24237"/>
    <cellStyle name="Calculation 3 3 2 6 12" xfId="25236"/>
    <cellStyle name="Calculation 3 3 2 6 13" xfId="28181"/>
    <cellStyle name="Calculation 3 3 2 6 14" xfId="29150"/>
    <cellStyle name="Calculation 3 3 2 6 15" xfId="30189"/>
    <cellStyle name="Calculation 3 3 2 6 16" xfId="31182"/>
    <cellStyle name="Calculation 3 3 2 6 17" xfId="32191"/>
    <cellStyle name="Calculation 3 3 2 6 18" xfId="33194"/>
    <cellStyle name="Calculation 3 3 2 6 19" xfId="34193"/>
    <cellStyle name="Calculation 3 3 2 6 2" xfId="960"/>
    <cellStyle name="Calculation 3 3 2 6 2 10" xfId="24238"/>
    <cellStyle name="Calculation 3 3 2 6 2 11" xfId="25237"/>
    <cellStyle name="Calculation 3 3 2 6 2 12" xfId="28182"/>
    <cellStyle name="Calculation 3 3 2 6 2 13" xfId="29151"/>
    <cellStyle name="Calculation 3 3 2 6 2 14" xfId="30190"/>
    <cellStyle name="Calculation 3 3 2 6 2 15" xfId="31183"/>
    <cellStyle name="Calculation 3 3 2 6 2 16" xfId="32192"/>
    <cellStyle name="Calculation 3 3 2 6 2 17" xfId="33195"/>
    <cellStyle name="Calculation 3 3 2 6 2 18" xfId="34194"/>
    <cellStyle name="Calculation 3 3 2 6 2 19" xfId="35815"/>
    <cellStyle name="Calculation 3 3 2 6 2 2" xfId="16218"/>
    <cellStyle name="Calculation 3 3 2 6 2 20" xfId="36754"/>
    <cellStyle name="Calculation 3 3 2 6 2 3" xfId="17196"/>
    <cellStyle name="Calculation 3 3 2 6 2 4" xfId="18224"/>
    <cellStyle name="Calculation 3 3 2 6 2 5" xfId="19256"/>
    <cellStyle name="Calculation 3 3 2 6 2 6" xfId="20278"/>
    <cellStyle name="Calculation 3 3 2 6 2 7" xfId="21287"/>
    <cellStyle name="Calculation 3 3 2 6 2 8" xfId="22261"/>
    <cellStyle name="Calculation 3 3 2 6 2 9" xfId="23266"/>
    <cellStyle name="Calculation 3 3 2 6 20" xfId="35814"/>
    <cellStyle name="Calculation 3 3 2 6 21" xfId="36753"/>
    <cellStyle name="Calculation 3 3 2 6 3" xfId="16217"/>
    <cellStyle name="Calculation 3 3 2 6 4" xfId="17195"/>
    <cellStyle name="Calculation 3 3 2 6 5" xfId="18223"/>
    <cellStyle name="Calculation 3 3 2 6 6" xfId="19255"/>
    <cellStyle name="Calculation 3 3 2 6 7" xfId="20277"/>
    <cellStyle name="Calculation 3 3 2 6 8" xfId="21286"/>
    <cellStyle name="Calculation 3 3 2 6 9" xfId="22260"/>
    <cellStyle name="Calculation 3 3 2 7" xfId="961"/>
    <cellStyle name="Calculation 3 3 2 7 10" xfId="23267"/>
    <cellStyle name="Calculation 3 3 2 7 11" xfId="24239"/>
    <cellStyle name="Calculation 3 3 2 7 12" xfId="25238"/>
    <cellStyle name="Calculation 3 3 2 7 13" xfId="28183"/>
    <cellStyle name="Calculation 3 3 2 7 14" xfId="29152"/>
    <cellStyle name="Calculation 3 3 2 7 15" xfId="30191"/>
    <cellStyle name="Calculation 3 3 2 7 16" xfId="31184"/>
    <cellStyle name="Calculation 3 3 2 7 17" xfId="32193"/>
    <cellStyle name="Calculation 3 3 2 7 18" xfId="33196"/>
    <cellStyle name="Calculation 3 3 2 7 19" xfId="34195"/>
    <cellStyle name="Calculation 3 3 2 7 2" xfId="962"/>
    <cellStyle name="Calculation 3 3 2 7 2 10" xfId="24240"/>
    <cellStyle name="Calculation 3 3 2 7 2 11" xfId="25239"/>
    <cellStyle name="Calculation 3 3 2 7 2 12" xfId="28184"/>
    <cellStyle name="Calculation 3 3 2 7 2 13" xfId="29153"/>
    <cellStyle name="Calculation 3 3 2 7 2 14" xfId="30192"/>
    <cellStyle name="Calculation 3 3 2 7 2 15" xfId="31185"/>
    <cellStyle name="Calculation 3 3 2 7 2 16" xfId="32194"/>
    <cellStyle name="Calculation 3 3 2 7 2 17" xfId="33197"/>
    <cellStyle name="Calculation 3 3 2 7 2 18" xfId="34196"/>
    <cellStyle name="Calculation 3 3 2 7 2 19" xfId="35817"/>
    <cellStyle name="Calculation 3 3 2 7 2 2" xfId="16220"/>
    <cellStyle name="Calculation 3 3 2 7 2 20" xfId="36756"/>
    <cellStyle name="Calculation 3 3 2 7 2 3" xfId="17198"/>
    <cellStyle name="Calculation 3 3 2 7 2 4" xfId="18226"/>
    <cellStyle name="Calculation 3 3 2 7 2 5" xfId="19258"/>
    <cellStyle name="Calculation 3 3 2 7 2 6" xfId="20280"/>
    <cellStyle name="Calculation 3 3 2 7 2 7" xfId="21289"/>
    <cellStyle name="Calculation 3 3 2 7 2 8" xfId="22263"/>
    <cellStyle name="Calculation 3 3 2 7 2 9" xfId="23268"/>
    <cellStyle name="Calculation 3 3 2 7 20" xfId="35816"/>
    <cellStyle name="Calculation 3 3 2 7 21" xfId="36755"/>
    <cellStyle name="Calculation 3 3 2 7 3" xfId="16219"/>
    <cellStyle name="Calculation 3 3 2 7 4" xfId="17197"/>
    <cellStyle name="Calculation 3 3 2 7 5" xfId="18225"/>
    <cellStyle name="Calculation 3 3 2 7 6" xfId="19257"/>
    <cellStyle name="Calculation 3 3 2 7 7" xfId="20279"/>
    <cellStyle name="Calculation 3 3 2 7 8" xfId="21288"/>
    <cellStyle name="Calculation 3 3 2 7 9" xfId="22262"/>
    <cellStyle name="Calculation 3 3 2 8" xfId="963"/>
    <cellStyle name="Calculation 3 3 2 8 10" xfId="23269"/>
    <cellStyle name="Calculation 3 3 2 8 11" xfId="24241"/>
    <cellStyle name="Calculation 3 3 2 8 12" xfId="25240"/>
    <cellStyle name="Calculation 3 3 2 8 13" xfId="28185"/>
    <cellStyle name="Calculation 3 3 2 8 14" xfId="29154"/>
    <cellStyle name="Calculation 3 3 2 8 15" xfId="30193"/>
    <cellStyle name="Calculation 3 3 2 8 16" xfId="31186"/>
    <cellStyle name="Calculation 3 3 2 8 17" xfId="32195"/>
    <cellStyle name="Calculation 3 3 2 8 18" xfId="33198"/>
    <cellStyle name="Calculation 3 3 2 8 19" xfId="34197"/>
    <cellStyle name="Calculation 3 3 2 8 2" xfId="964"/>
    <cellStyle name="Calculation 3 3 2 8 2 10" xfId="24242"/>
    <cellStyle name="Calculation 3 3 2 8 2 11" xfId="25241"/>
    <cellStyle name="Calculation 3 3 2 8 2 12" xfId="28186"/>
    <cellStyle name="Calculation 3 3 2 8 2 13" xfId="29155"/>
    <cellStyle name="Calculation 3 3 2 8 2 14" xfId="30194"/>
    <cellStyle name="Calculation 3 3 2 8 2 15" xfId="31187"/>
    <cellStyle name="Calculation 3 3 2 8 2 16" xfId="32196"/>
    <cellStyle name="Calculation 3 3 2 8 2 17" xfId="33199"/>
    <cellStyle name="Calculation 3 3 2 8 2 18" xfId="34198"/>
    <cellStyle name="Calculation 3 3 2 8 2 19" xfId="35819"/>
    <cellStyle name="Calculation 3 3 2 8 2 2" xfId="16222"/>
    <cellStyle name="Calculation 3 3 2 8 2 20" xfId="36758"/>
    <cellStyle name="Calculation 3 3 2 8 2 3" xfId="17200"/>
    <cellStyle name="Calculation 3 3 2 8 2 4" xfId="18228"/>
    <cellStyle name="Calculation 3 3 2 8 2 5" xfId="19260"/>
    <cellStyle name="Calculation 3 3 2 8 2 6" xfId="20282"/>
    <cellStyle name="Calculation 3 3 2 8 2 7" xfId="21291"/>
    <cellStyle name="Calculation 3 3 2 8 2 8" xfId="22265"/>
    <cellStyle name="Calculation 3 3 2 8 2 9" xfId="23270"/>
    <cellStyle name="Calculation 3 3 2 8 20" xfId="35818"/>
    <cellStyle name="Calculation 3 3 2 8 21" xfId="36757"/>
    <cellStyle name="Calculation 3 3 2 8 3" xfId="16221"/>
    <cellStyle name="Calculation 3 3 2 8 4" xfId="17199"/>
    <cellStyle name="Calculation 3 3 2 8 5" xfId="18227"/>
    <cellStyle name="Calculation 3 3 2 8 6" xfId="19259"/>
    <cellStyle name="Calculation 3 3 2 8 7" xfId="20281"/>
    <cellStyle name="Calculation 3 3 2 8 8" xfId="21290"/>
    <cellStyle name="Calculation 3 3 2 8 9" xfId="22264"/>
    <cellStyle name="Calculation 3 3 2 9" xfId="965"/>
    <cellStyle name="Calculation 3 3 2 9 10" xfId="24243"/>
    <cellStyle name="Calculation 3 3 2 9 11" xfId="25242"/>
    <cellStyle name="Calculation 3 3 2 9 12" xfId="28187"/>
    <cellStyle name="Calculation 3 3 2 9 13" xfId="29156"/>
    <cellStyle name="Calculation 3 3 2 9 14" xfId="30195"/>
    <cellStyle name="Calculation 3 3 2 9 15" xfId="31188"/>
    <cellStyle name="Calculation 3 3 2 9 16" xfId="32197"/>
    <cellStyle name="Calculation 3 3 2 9 17" xfId="33200"/>
    <cellStyle name="Calculation 3 3 2 9 18" xfId="34199"/>
    <cellStyle name="Calculation 3 3 2 9 19" xfId="35820"/>
    <cellStyle name="Calculation 3 3 2 9 2" xfId="16223"/>
    <cellStyle name="Calculation 3 3 2 9 20" xfId="36759"/>
    <cellStyle name="Calculation 3 3 2 9 3" xfId="17201"/>
    <cellStyle name="Calculation 3 3 2 9 4" xfId="18229"/>
    <cellStyle name="Calculation 3 3 2 9 5" xfId="19261"/>
    <cellStyle name="Calculation 3 3 2 9 6" xfId="20283"/>
    <cellStyle name="Calculation 3 3 2 9 7" xfId="21292"/>
    <cellStyle name="Calculation 3 3 2 9 8" xfId="22266"/>
    <cellStyle name="Calculation 3 3 2 9 9" xfId="23271"/>
    <cellStyle name="Calculation 3 3 20" xfId="34853"/>
    <cellStyle name="Calculation 3 3 21" xfId="34872"/>
    <cellStyle name="Calculation 3 3 22" xfId="35379"/>
    <cellStyle name="Calculation 3 3 23" xfId="37472"/>
    <cellStyle name="Calculation 3 3 3" xfId="966"/>
    <cellStyle name="Calculation 3 3 3 10" xfId="14012"/>
    <cellStyle name="Calculation 3 3 3 11" xfId="14654"/>
    <cellStyle name="Calculation 3 3 3 12" xfId="15060"/>
    <cellStyle name="Calculation 3 3 3 13" xfId="17819"/>
    <cellStyle name="Calculation 3 3 3 14" xfId="14516"/>
    <cellStyle name="Calculation 3 3 3 15" xfId="21855"/>
    <cellStyle name="Calculation 3 3 3 16" xfId="26509"/>
    <cellStyle name="Calculation 3 3 3 17" xfId="27049"/>
    <cellStyle name="Calculation 3 3 3 18" xfId="26193"/>
    <cellStyle name="Calculation 3 3 3 19" xfId="26631"/>
    <cellStyle name="Calculation 3 3 3 2" xfId="967"/>
    <cellStyle name="Calculation 3 3 3 2 10" xfId="23272"/>
    <cellStyle name="Calculation 3 3 3 2 11" xfId="24244"/>
    <cellStyle name="Calculation 3 3 3 2 12" xfId="25243"/>
    <cellStyle name="Calculation 3 3 3 2 13" xfId="28188"/>
    <cellStyle name="Calculation 3 3 3 2 14" xfId="29157"/>
    <cellStyle name="Calculation 3 3 3 2 15" xfId="30196"/>
    <cellStyle name="Calculation 3 3 3 2 16" xfId="31189"/>
    <cellStyle name="Calculation 3 3 3 2 17" xfId="32198"/>
    <cellStyle name="Calculation 3 3 3 2 18" xfId="33201"/>
    <cellStyle name="Calculation 3 3 3 2 19" xfId="34200"/>
    <cellStyle name="Calculation 3 3 3 2 2" xfId="968"/>
    <cellStyle name="Calculation 3 3 3 2 2 10" xfId="24245"/>
    <cellStyle name="Calculation 3 3 3 2 2 11" xfId="25244"/>
    <cellStyle name="Calculation 3 3 3 2 2 12" xfId="28189"/>
    <cellStyle name="Calculation 3 3 3 2 2 13" xfId="29158"/>
    <cellStyle name="Calculation 3 3 3 2 2 14" xfId="30197"/>
    <cellStyle name="Calculation 3 3 3 2 2 15" xfId="31190"/>
    <cellStyle name="Calculation 3 3 3 2 2 16" xfId="32199"/>
    <cellStyle name="Calculation 3 3 3 2 2 17" xfId="33202"/>
    <cellStyle name="Calculation 3 3 3 2 2 18" xfId="34201"/>
    <cellStyle name="Calculation 3 3 3 2 2 19" xfId="35822"/>
    <cellStyle name="Calculation 3 3 3 2 2 2" xfId="16225"/>
    <cellStyle name="Calculation 3 3 3 2 2 20" xfId="36761"/>
    <cellStyle name="Calculation 3 3 3 2 2 3" xfId="17203"/>
    <cellStyle name="Calculation 3 3 3 2 2 4" xfId="18231"/>
    <cellStyle name="Calculation 3 3 3 2 2 5" xfId="19263"/>
    <cellStyle name="Calculation 3 3 3 2 2 6" xfId="20285"/>
    <cellStyle name="Calculation 3 3 3 2 2 7" xfId="21294"/>
    <cellStyle name="Calculation 3 3 3 2 2 8" xfId="22268"/>
    <cellStyle name="Calculation 3 3 3 2 2 9" xfId="23273"/>
    <cellStyle name="Calculation 3 3 3 2 20" xfId="35821"/>
    <cellStyle name="Calculation 3 3 3 2 21" xfId="36760"/>
    <cellStyle name="Calculation 3 3 3 2 3" xfId="16224"/>
    <cellStyle name="Calculation 3 3 3 2 4" xfId="17202"/>
    <cellStyle name="Calculation 3 3 3 2 5" xfId="18230"/>
    <cellStyle name="Calculation 3 3 3 2 6" xfId="19262"/>
    <cellStyle name="Calculation 3 3 3 2 7" xfId="20284"/>
    <cellStyle name="Calculation 3 3 3 2 8" xfId="21293"/>
    <cellStyle name="Calculation 3 3 3 2 9" xfId="22267"/>
    <cellStyle name="Calculation 3 3 3 20" xfId="27821"/>
    <cellStyle name="Calculation 3 3 3 21" xfId="27592"/>
    <cellStyle name="Calculation 3 3 3 22" xfId="26564"/>
    <cellStyle name="Calculation 3 3 3 23" xfId="35180"/>
    <cellStyle name="Calculation 3 3 3 24" xfId="35205"/>
    <cellStyle name="Calculation 3 3 3 3" xfId="969"/>
    <cellStyle name="Calculation 3 3 3 3 10" xfId="23274"/>
    <cellStyle name="Calculation 3 3 3 3 11" xfId="24246"/>
    <cellStyle name="Calculation 3 3 3 3 12" xfId="25245"/>
    <cellStyle name="Calculation 3 3 3 3 13" xfId="28190"/>
    <cellStyle name="Calculation 3 3 3 3 14" xfId="29159"/>
    <cellStyle name="Calculation 3 3 3 3 15" xfId="30198"/>
    <cellStyle name="Calculation 3 3 3 3 16" xfId="31191"/>
    <cellStyle name="Calculation 3 3 3 3 17" xfId="32200"/>
    <cellStyle name="Calculation 3 3 3 3 18" xfId="33203"/>
    <cellStyle name="Calculation 3 3 3 3 19" xfId="34202"/>
    <cellStyle name="Calculation 3 3 3 3 2" xfId="970"/>
    <cellStyle name="Calculation 3 3 3 3 2 10" xfId="24247"/>
    <cellStyle name="Calculation 3 3 3 3 2 11" xfId="25246"/>
    <cellStyle name="Calculation 3 3 3 3 2 12" xfId="28191"/>
    <cellStyle name="Calculation 3 3 3 3 2 13" xfId="29160"/>
    <cellStyle name="Calculation 3 3 3 3 2 14" xfId="30199"/>
    <cellStyle name="Calculation 3 3 3 3 2 15" xfId="31192"/>
    <cellStyle name="Calculation 3 3 3 3 2 16" xfId="32201"/>
    <cellStyle name="Calculation 3 3 3 3 2 17" xfId="33204"/>
    <cellStyle name="Calculation 3 3 3 3 2 18" xfId="34203"/>
    <cellStyle name="Calculation 3 3 3 3 2 19" xfId="35824"/>
    <cellStyle name="Calculation 3 3 3 3 2 2" xfId="16227"/>
    <cellStyle name="Calculation 3 3 3 3 2 20" xfId="36763"/>
    <cellStyle name="Calculation 3 3 3 3 2 3" xfId="17205"/>
    <cellStyle name="Calculation 3 3 3 3 2 4" xfId="18233"/>
    <cellStyle name="Calculation 3 3 3 3 2 5" xfId="19265"/>
    <cellStyle name="Calculation 3 3 3 3 2 6" xfId="20287"/>
    <cellStyle name="Calculation 3 3 3 3 2 7" xfId="21296"/>
    <cellStyle name="Calculation 3 3 3 3 2 8" xfId="22270"/>
    <cellStyle name="Calculation 3 3 3 3 2 9" xfId="23275"/>
    <cellStyle name="Calculation 3 3 3 3 20" xfId="35823"/>
    <cellStyle name="Calculation 3 3 3 3 21" xfId="36762"/>
    <cellStyle name="Calculation 3 3 3 3 3" xfId="16226"/>
    <cellStyle name="Calculation 3 3 3 3 4" xfId="17204"/>
    <cellStyle name="Calculation 3 3 3 3 5" xfId="18232"/>
    <cellStyle name="Calculation 3 3 3 3 6" xfId="19264"/>
    <cellStyle name="Calculation 3 3 3 3 7" xfId="20286"/>
    <cellStyle name="Calculation 3 3 3 3 8" xfId="21295"/>
    <cellStyle name="Calculation 3 3 3 3 9" xfId="22269"/>
    <cellStyle name="Calculation 3 3 3 4" xfId="971"/>
    <cellStyle name="Calculation 3 3 3 4 10" xfId="23276"/>
    <cellStyle name="Calculation 3 3 3 4 11" xfId="24248"/>
    <cellStyle name="Calculation 3 3 3 4 12" xfId="25247"/>
    <cellStyle name="Calculation 3 3 3 4 13" xfId="28192"/>
    <cellStyle name="Calculation 3 3 3 4 14" xfId="29161"/>
    <cellStyle name="Calculation 3 3 3 4 15" xfId="30200"/>
    <cellStyle name="Calculation 3 3 3 4 16" xfId="31193"/>
    <cellStyle name="Calculation 3 3 3 4 17" xfId="32202"/>
    <cellStyle name="Calculation 3 3 3 4 18" xfId="33205"/>
    <cellStyle name="Calculation 3 3 3 4 19" xfId="34204"/>
    <cellStyle name="Calculation 3 3 3 4 2" xfId="972"/>
    <cellStyle name="Calculation 3 3 3 4 2 10" xfId="24249"/>
    <cellStyle name="Calculation 3 3 3 4 2 11" xfId="25248"/>
    <cellStyle name="Calculation 3 3 3 4 2 12" xfId="28193"/>
    <cellStyle name="Calculation 3 3 3 4 2 13" xfId="29162"/>
    <cellStyle name="Calculation 3 3 3 4 2 14" xfId="30201"/>
    <cellStyle name="Calculation 3 3 3 4 2 15" xfId="31194"/>
    <cellStyle name="Calculation 3 3 3 4 2 16" xfId="32203"/>
    <cellStyle name="Calculation 3 3 3 4 2 17" xfId="33206"/>
    <cellStyle name="Calculation 3 3 3 4 2 18" xfId="34205"/>
    <cellStyle name="Calculation 3 3 3 4 2 19" xfId="35826"/>
    <cellStyle name="Calculation 3 3 3 4 2 2" xfId="16229"/>
    <cellStyle name="Calculation 3 3 3 4 2 20" xfId="36765"/>
    <cellStyle name="Calculation 3 3 3 4 2 3" xfId="17207"/>
    <cellStyle name="Calculation 3 3 3 4 2 4" xfId="18235"/>
    <cellStyle name="Calculation 3 3 3 4 2 5" xfId="19267"/>
    <cellStyle name="Calculation 3 3 3 4 2 6" xfId="20289"/>
    <cellStyle name="Calculation 3 3 3 4 2 7" xfId="21298"/>
    <cellStyle name="Calculation 3 3 3 4 2 8" xfId="22272"/>
    <cellStyle name="Calculation 3 3 3 4 2 9" xfId="23277"/>
    <cellStyle name="Calculation 3 3 3 4 20" xfId="35825"/>
    <cellStyle name="Calculation 3 3 3 4 21" xfId="36764"/>
    <cellStyle name="Calculation 3 3 3 4 3" xfId="16228"/>
    <cellStyle name="Calculation 3 3 3 4 4" xfId="17206"/>
    <cellStyle name="Calculation 3 3 3 4 5" xfId="18234"/>
    <cellStyle name="Calculation 3 3 3 4 6" xfId="19266"/>
    <cellStyle name="Calculation 3 3 3 4 7" xfId="20288"/>
    <cellStyle name="Calculation 3 3 3 4 8" xfId="21297"/>
    <cellStyle name="Calculation 3 3 3 4 9" xfId="22271"/>
    <cellStyle name="Calculation 3 3 3 5" xfId="973"/>
    <cellStyle name="Calculation 3 3 3 5 10" xfId="24250"/>
    <cellStyle name="Calculation 3 3 3 5 11" xfId="25249"/>
    <cellStyle name="Calculation 3 3 3 5 12" xfId="28194"/>
    <cellStyle name="Calculation 3 3 3 5 13" xfId="29163"/>
    <cellStyle name="Calculation 3 3 3 5 14" xfId="30202"/>
    <cellStyle name="Calculation 3 3 3 5 15" xfId="31195"/>
    <cellStyle name="Calculation 3 3 3 5 16" xfId="32204"/>
    <cellStyle name="Calculation 3 3 3 5 17" xfId="33207"/>
    <cellStyle name="Calculation 3 3 3 5 18" xfId="34206"/>
    <cellStyle name="Calculation 3 3 3 5 19" xfId="35827"/>
    <cellStyle name="Calculation 3 3 3 5 2" xfId="16230"/>
    <cellStyle name="Calculation 3 3 3 5 20" xfId="36766"/>
    <cellStyle name="Calculation 3 3 3 5 3" xfId="17208"/>
    <cellStyle name="Calculation 3 3 3 5 4" xfId="18236"/>
    <cellStyle name="Calculation 3 3 3 5 5" xfId="19268"/>
    <cellStyle name="Calculation 3 3 3 5 6" xfId="20290"/>
    <cellStyle name="Calculation 3 3 3 5 7" xfId="21299"/>
    <cellStyle name="Calculation 3 3 3 5 8" xfId="22273"/>
    <cellStyle name="Calculation 3 3 3 5 9" xfId="23278"/>
    <cellStyle name="Calculation 3 3 3 6" xfId="13948"/>
    <cellStyle name="Calculation 3 3 3 7" xfId="14819"/>
    <cellStyle name="Calculation 3 3 3 8" xfId="14444"/>
    <cellStyle name="Calculation 3 3 3 9" xfId="15754"/>
    <cellStyle name="Calculation 3 3 4" xfId="974"/>
    <cellStyle name="Calculation 3 3 4 10" xfId="23279"/>
    <cellStyle name="Calculation 3 3 4 11" xfId="24251"/>
    <cellStyle name="Calculation 3 3 4 12" xfId="25250"/>
    <cellStyle name="Calculation 3 3 4 13" xfId="28195"/>
    <cellStyle name="Calculation 3 3 4 14" xfId="29164"/>
    <cellStyle name="Calculation 3 3 4 15" xfId="30203"/>
    <cellStyle name="Calculation 3 3 4 16" xfId="31196"/>
    <cellStyle name="Calculation 3 3 4 17" xfId="32205"/>
    <cellStyle name="Calculation 3 3 4 18" xfId="33208"/>
    <cellStyle name="Calculation 3 3 4 19" xfId="34207"/>
    <cellStyle name="Calculation 3 3 4 2" xfId="975"/>
    <cellStyle name="Calculation 3 3 4 2 10" xfId="24252"/>
    <cellStyle name="Calculation 3 3 4 2 11" xfId="25251"/>
    <cellStyle name="Calculation 3 3 4 2 12" xfId="28196"/>
    <cellStyle name="Calculation 3 3 4 2 13" xfId="29165"/>
    <cellStyle name="Calculation 3 3 4 2 14" xfId="30204"/>
    <cellStyle name="Calculation 3 3 4 2 15" xfId="31197"/>
    <cellStyle name="Calculation 3 3 4 2 16" xfId="32206"/>
    <cellStyle name="Calculation 3 3 4 2 17" xfId="33209"/>
    <cellStyle name="Calculation 3 3 4 2 18" xfId="34208"/>
    <cellStyle name="Calculation 3 3 4 2 19" xfId="35829"/>
    <cellStyle name="Calculation 3 3 4 2 2" xfId="16232"/>
    <cellStyle name="Calculation 3 3 4 2 20" xfId="36768"/>
    <cellStyle name="Calculation 3 3 4 2 3" xfId="17210"/>
    <cellStyle name="Calculation 3 3 4 2 4" xfId="18238"/>
    <cellStyle name="Calculation 3 3 4 2 5" xfId="19270"/>
    <cellStyle name="Calculation 3 3 4 2 6" xfId="20292"/>
    <cellStyle name="Calculation 3 3 4 2 7" xfId="21301"/>
    <cellStyle name="Calculation 3 3 4 2 8" xfId="22275"/>
    <cellStyle name="Calculation 3 3 4 2 9" xfId="23280"/>
    <cellStyle name="Calculation 3 3 4 20" xfId="35828"/>
    <cellStyle name="Calculation 3 3 4 21" xfId="36767"/>
    <cellStyle name="Calculation 3 3 4 3" xfId="16231"/>
    <cellStyle name="Calculation 3 3 4 4" xfId="17209"/>
    <cellStyle name="Calculation 3 3 4 5" xfId="18237"/>
    <cellStyle name="Calculation 3 3 4 6" xfId="19269"/>
    <cellStyle name="Calculation 3 3 4 7" xfId="20291"/>
    <cellStyle name="Calculation 3 3 4 8" xfId="21300"/>
    <cellStyle name="Calculation 3 3 4 9" xfId="22274"/>
    <cellStyle name="Calculation 3 3 5" xfId="976"/>
    <cellStyle name="Calculation 3 3 5 10" xfId="23281"/>
    <cellStyle name="Calculation 3 3 5 11" xfId="24253"/>
    <cellStyle name="Calculation 3 3 5 12" xfId="25252"/>
    <cellStyle name="Calculation 3 3 5 13" xfId="28197"/>
    <cellStyle name="Calculation 3 3 5 14" xfId="29166"/>
    <cellStyle name="Calculation 3 3 5 15" xfId="30205"/>
    <cellStyle name="Calculation 3 3 5 16" xfId="31198"/>
    <cellStyle name="Calculation 3 3 5 17" xfId="32207"/>
    <cellStyle name="Calculation 3 3 5 18" xfId="33210"/>
    <cellStyle name="Calculation 3 3 5 19" xfId="34209"/>
    <cellStyle name="Calculation 3 3 5 2" xfId="977"/>
    <cellStyle name="Calculation 3 3 5 2 10" xfId="24254"/>
    <cellStyle name="Calculation 3 3 5 2 11" xfId="25253"/>
    <cellStyle name="Calculation 3 3 5 2 12" xfId="28198"/>
    <cellStyle name="Calculation 3 3 5 2 13" xfId="29167"/>
    <cellStyle name="Calculation 3 3 5 2 14" xfId="30206"/>
    <cellStyle name="Calculation 3 3 5 2 15" xfId="31199"/>
    <cellStyle name="Calculation 3 3 5 2 16" xfId="32208"/>
    <cellStyle name="Calculation 3 3 5 2 17" xfId="33211"/>
    <cellStyle name="Calculation 3 3 5 2 18" xfId="34210"/>
    <cellStyle name="Calculation 3 3 5 2 19" xfId="35831"/>
    <cellStyle name="Calculation 3 3 5 2 2" xfId="16234"/>
    <cellStyle name="Calculation 3 3 5 2 20" xfId="36770"/>
    <cellStyle name="Calculation 3 3 5 2 3" xfId="17212"/>
    <cellStyle name="Calculation 3 3 5 2 4" xfId="18240"/>
    <cellStyle name="Calculation 3 3 5 2 5" xfId="19272"/>
    <cellStyle name="Calculation 3 3 5 2 6" xfId="20294"/>
    <cellStyle name="Calculation 3 3 5 2 7" xfId="21303"/>
    <cellStyle name="Calculation 3 3 5 2 8" xfId="22277"/>
    <cellStyle name="Calculation 3 3 5 2 9" xfId="23282"/>
    <cellStyle name="Calculation 3 3 5 20" xfId="35830"/>
    <cellStyle name="Calculation 3 3 5 21" xfId="36769"/>
    <cellStyle name="Calculation 3 3 5 3" xfId="16233"/>
    <cellStyle name="Calculation 3 3 5 4" xfId="17211"/>
    <cellStyle name="Calculation 3 3 5 5" xfId="18239"/>
    <cellStyle name="Calculation 3 3 5 6" xfId="19271"/>
    <cellStyle name="Calculation 3 3 5 7" xfId="20293"/>
    <cellStyle name="Calculation 3 3 5 8" xfId="21302"/>
    <cellStyle name="Calculation 3 3 5 9" xfId="22276"/>
    <cellStyle name="Calculation 3 3 6" xfId="978"/>
    <cellStyle name="Calculation 3 3 6 10" xfId="23283"/>
    <cellStyle name="Calculation 3 3 6 11" xfId="24255"/>
    <cellStyle name="Calculation 3 3 6 12" xfId="25254"/>
    <cellStyle name="Calculation 3 3 6 13" xfId="28199"/>
    <cellStyle name="Calculation 3 3 6 14" xfId="29168"/>
    <cellStyle name="Calculation 3 3 6 15" xfId="30207"/>
    <cellStyle name="Calculation 3 3 6 16" xfId="31200"/>
    <cellStyle name="Calculation 3 3 6 17" xfId="32209"/>
    <cellStyle name="Calculation 3 3 6 18" xfId="33212"/>
    <cellStyle name="Calculation 3 3 6 19" xfId="34211"/>
    <cellStyle name="Calculation 3 3 6 2" xfId="979"/>
    <cellStyle name="Calculation 3 3 6 2 10" xfId="24256"/>
    <cellStyle name="Calculation 3 3 6 2 11" xfId="25255"/>
    <cellStyle name="Calculation 3 3 6 2 12" xfId="28200"/>
    <cellStyle name="Calculation 3 3 6 2 13" xfId="29169"/>
    <cellStyle name="Calculation 3 3 6 2 14" xfId="30208"/>
    <cellStyle name="Calculation 3 3 6 2 15" xfId="31201"/>
    <cellStyle name="Calculation 3 3 6 2 16" xfId="32210"/>
    <cellStyle name="Calculation 3 3 6 2 17" xfId="33213"/>
    <cellStyle name="Calculation 3 3 6 2 18" xfId="34212"/>
    <cellStyle name="Calculation 3 3 6 2 19" xfId="35833"/>
    <cellStyle name="Calculation 3 3 6 2 2" xfId="16236"/>
    <cellStyle name="Calculation 3 3 6 2 20" xfId="36772"/>
    <cellStyle name="Calculation 3 3 6 2 3" xfId="17214"/>
    <cellStyle name="Calculation 3 3 6 2 4" xfId="18242"/>
    <cellStyle name="Calculation 3 3 6 2 5" xfId="19274"/>
    <cellStyle name="Calculation 3 3 6 2 6" xfId="20296"/>
    <cellStyle name="Calculation 3 3 6 2 7" xfId="21305"/>
    <cellStyle name="Calculation 3 3 6 2 8" xfId="22279"/>
    <cellStyle name="Calculation 3 3 6 2 9" xfId="23284"/>
    <cellStyle name="Calculation 3 3 6 20" xfId="35832"/>
    <cellStyle name="Calculation 3 3 6 21" xfId="36771"/>
    <cellStyle name="Calculation 3 3 6 3" xfId="16235"/>
    <cellStyle name="Calculation 3 3 6 4" xfId="17213"/>
    <cellStyle name="Calculation 3 3 6 5" xfId="18241"/>
    <cellStyle name="Calculation 3 3 6 6" xfId="19273"/>
    <cellStyle name="Calculation 3 3 6 7" xfId="20295"/>
    <cellStyle name="Calculation 3 3 6 8" xfId="21304"/>
    <cellStyle name="Calculation 3 3 6 9" xfId="22278"/>
    <cellStyle name="Calculation 3 3 7" xfId="980"/>
    <cellStyle name="Calculation 3 3 7 10" xfId="24257"/>
    <cellStyle name="Calculation 3 3 7 11" xfId="25256"/>
    <cellStyle name="Calculation 3 3 7 12" xfId="28201"/>
    <cellStyle name="Calculation 3 3 7 13" xfId="29170"/>
    <cellStyle name="Calculation 3 3 7 14" xfId="30209"/>
    <cellStyle name="Calculation 3 3 7 15" xfId="31202"/>
    <cellStyle name="Calculation 3 3 7 16" xfId="32211"/>
    <cellStyle name="Calculation 3 3 7 17" xfId="33214"/>
    <cellStyle name="Calculation 3 3 7 18" xfId="34213"/>
    <cellStyle name="Calculation 3 3 7 19" xfId="35834"/>
    <cellStyle name="Calculation 3 3 7 2" xfId="16237"/>
    <cellStyle name="Calculation 3 3 7 20" xfId="36773"/>
    <cellStyle name="Calculation 3 3 7 3" xfId="17215"/>
    <cellStyle name="Calculation 3 3 7 4" xfId="18243"/>
    <cellStyle name="Calculation 3 3 7 5" xfId="19275"/>
    <cellStyle name="Calculation 3 3 7 6" xfId="20297"/>
    <cellStyle name="Calculation 3 3 7 7" xfId="21306"/>
    <cellStyle name="Calculation 3 3 7 8" xfId="22280"/>
    <cellStyle name="Calculation 3 3 7 9" xfId="23285"/>
    <cellStyle name="Calculation 3 3 8" xfId="13430"/>
    <cellStyle name="Calculation 3 3 9" xfId="13999"/>
    <cellStyle name="Calculation 3 4" xfId="981"/>
    <cellStyle name="Calculation 3 4 10" xfId="14024"/>
    <cellStyle name="Calculation 3 4 11" xfId="14085"/>
    <cellStyle name="Calculation 3 4 12" xfId="14665"/>
    <cellStyle name="Calculation 3 4 13" xfId="13394"/>
    <cellStyle name="Calculation 3 4 14" xfId="15577"/>
    <cellStyle name="Calculation 3 4 15" xfId="15397"/>
    <cellStyle name="Calculation 3 4 16" xfId="26282"/>
    <cellStyle name="Calculation 3 4 17" xfId="27192"/>
    <cellStyle name="Calculation 3 4 18" xfId="26132"/>
    <cellStyle name="Calculation 3 4 19" xfId="25877"/>
    <cellStyle name="Calculation 3 4 2" xfId="982"/>
    <cellStyle name="Calculation 3 4 2 10" xfId="14243"/>
    <cellStyle name="Calculation 3 4 2 11" xfId="14100"/>
    <cellStyle name="Calculation 3 4 2 12" xfId="26335"/>
    <cellStyle name="Calculation 3 4 2 13" xfId="27719"/>
    <cellStyle name="Calculation 3 4 2 14" xfId="27519"/>
    <cellStyle name="Calculation 3 4 2 15" xfId="26759"/>
    <cellStyle name="Calculation 3 4 2 16" xfId="26887"/>
    <cellStyle name="Calculation 3 4 2 17" xfId="30838"/>
    <cellStyle name="Calculation 3 4 2 18" xfId="35030"/>
    <cellStyle name="Calculation 3 4 2 19" xfId="35444"/>
    <cellStyle name="Calculation 3 4 2 2" xfId="983"/>
    <cellStyle name="Calculation 3 4 2 2 10" xfId="23286"/>
    <cellStyle name="Calculation 3 4 2 2 11" xfId="24258"/>
    <cellStyle name="Calculation 3 4 2 2 12" xfId="25257"/>
    <cellStyle name="Calculation 3 4 2 2 13" xfId="28202"/>
    <cellStyle name="Calculation 3 4 2 2 14" xfId="29171"/>
    <cellStyle name="Calculation 3 4 2 2 15" xfId="30210"/>
    <cellStyle name="Calculation 3 4 2 2 16" xfId="31203"/>
    <cellStyle name="Calculation 3 4 2 2 17" xfId="32212"/>
    <cellStyle name="Calculation 3 4 2 2 18" xfId="33215"/>
    <cellStyle name="Calculation 3 4 2 2 19" xfId="34214"/>
    <cellStyle name="Calculation 3 4 2 2 2" xfId="984"/>
    <cellStyle name="Calculation 3 4 2 2 2 10" xfId="24259"/>
    <cellStyle name="Calculation 3 4 2 2 2 11" xfId="25258"/>
    <cellStyle name="Calculation 3 4 2 2 2 12" xfId="28203"/>
    <cellStyle name="Calculation 3 4 2 2 2 13" xfId="29172"/>
    <cellStyle name="Calculation 3 4 2 2 2 14" xfId="30211"/>
    <cellStyle name="Calculation 3 4 2 2 2 15" xfId="31204"/>
    <cellStyle name="Calculation 3 4 2 2 2 16" xfId="32213"/>
    <cellStyle name="Calculation 3 4 2 2 2 17" xfId="33216"/>
    <cellStyle name="Calculation 3 4 2 2 2 18" xfId="34215"/>
    <cellStyle name="Calculation 3 4 2 2 2 19" xfId="35836"/>
    <cellStyle name="Calculation 3 4 2 2 2 2" xfId="16239"/>
    <cellStyle name="Calculation 3 4 2 2 2 20" xfId="36775"/>
    <cellStyle name="Calculation 3 4 2 2 2 3" xfId="17217"/>
    <cellStyle name="Calculation 3 4 2 2 2 4" xfId="18245"/>
    <cellStyle name="Calculation 3 4 2 2 2 5" xfId="19277"/>
    <cellStyle name="Calculation 3 4 2 2 2 6" xfId="20299"/>
    <cellStyle name="Calculation 3 4 2 2 2 7" xfId="21308"/>
    <cellStyle name="Calculation 3 4 2 2 2 8" xfId="22282"/>
    <cellStyle name="Calculation 3 4 2 2 2 9" xfId="23287"/>
    <cellStyle name="Calculation 3 4 2 2 20" xfId="35835"/>
    <cellStyle name="Calculation 3 4 2 2 21" xfId="36774"/>
    <cellStyle name="Calculation 3 4 2 2 3" xfId="16238"/>
    <cellStyle name="Calculation 3 4 2 2 4" xfId="17216"/>
    <cellStyle name="Calculation 3 4 2 2 5" xfId="18244"/>
    <cellStyle name="Calculation 3 4 2 2 6" xfId="19276"/>
    <cellStyle name="Calculation 3 4 2 2 7" xfId="20298"/>
    <cellStyle name="Calculation 3 4 2 2 8" xfId="21307"/>
    <cellStyle name="Calculation 3 4 2 2 9" xfId="22281"/>
    <cellStyle name="Calculation 3 4 2 3" xfId="985"/>
    <cellStyle name="Calculation 3 4 2 3 10" xfId="23288"/>
    <cellStyle name="Calculation 3 4 2 3 11" xfId="24260"/>
    <cellStyle name="Calculation 3 4 2 3 12" xfId="25259"/>
    <cellStyle name="Calculation 3 4 2 3 13" xfId="28204"/>
    <cellStyle name="Calculation 3 4 2 3 14" xfId="29173"/>
    <cellStyle name="Calculation 3 4 2 3 15" xfId="30212"/>
    <cellStyle name="Calculation 3 4 2 3 16" xfId="31205"/>
    <cellStyle name="Calculation 3 4 2 3 17" xfId="32214"/>
    <cellStyle name="Calculation 3 4 2 3 18" xfId="33217"/>
    <cellStyle name="Calculation 3 4 2 3 19" xfId="34216"/>
    <cellStyle name="Calculation 3 4 2 3 2" xfId="986"/>
    <cellStyle name="Calculation 3 4 2 3 2 10" xfId="24261"/>
    <cellStyle name="Calculation 3 4 2 3 2 11" xfId="25260"/>
    <cellStyle name="Calculation 3 4 2 3 2 12" xfId="28205"/>
    <cellStyle name="Calculation 3 4 2 3 2 13" xfId="29174"/>
    <cellStyle name="Calculation 3 4 2 3 2 14" xfId="30213"/>
    <cellStyle name="Calculation 3 4 2 3 2 15" xfId="31206"/>
    <cellStyle name="Calculation 3 4 2 3 2 16" xfId="32215"/>
    <cellStyle name="Calculation 3 4 2 3 2 17" xfId="33218"/>
    <cellStyle name="Calculation 3 4 2 3 2 18" xfId="34217"/>
    <cellStyle name="Calculation 3 4 2 3 2 19" xfId="35838"/>
    <cellStyle name="Calculation 3 4 2 3 2 2" xfId="16241"/>
    <cellStyle name="Calculation 3 4 2 3 2 20" xfId="36777"/>
    <cellStyle name="Calculation 3 4 2 3 2 3" xfId="17219"/>
    <cellStyle name="Calculation 3 4 2 3 2 4" xfId="18247"/>
    <cellStyle name="Calculation 3 4 2 3 2 5" xfId="19279"/>
    <cellStyle name="Calculation 3 4 2 3 2 6" xfId="20301"/>
    <cellStyle name="Calculation 3 4 2 3 2 7" xfId="21310"/>
    <cellStyle name="Calculation 3 4 2 3 2 8" xfId="22284"/>
    <cellStyle name="Calculation 3 4 2 3 2 9" xfId="23289"/>
    <cellStyle name="Calculation 3 4 2 3 20" xfId="35837"/>
    <cellStyle name="Calculation 3 4 2 3 21" xfId="36776"/>
    <cellStyle name="Calculation 3 4 2 3 3" xfId="16240"/>
    <cellStyle name="Calculation 3 4 2 3 4" xfId="17218"/>
    <cellStyle name="Calculation 3 4 2 3 5" xfId="18246"/>
    <cellStyle name="Calculation 3 4 2 3 6" xfId="19278"/>
    <cellStyle name="Calculation 3 4 2 3 7" xfId="20300"/>
    <cellStyle name="Calculation 3 4 2 3 8" xfId="21309"/>
    <cellStyle name="Calculation 3 4 2 3 9" xfId="22283"/>
    <cellStyle name="Calculation 3 4 2 4" xfId="987"/>
    <cellStyle name="Calculation 3 4 2 4 10" xfId="23290"/>
    <cellStyle name="Calculation 3 4 2 4 11" xfId="24262"/>
    <cellStyle name="Calculation 3 4 2 4 12" xfId="25261"/>
    <cellStyle name="Calculation 3 4 2 4 13" xfId="28206"/>
    <cellStyle name="Calculation 3 4 2 4 14" xfId="29175"/>
    <cellStyle name="Calculation 3 4 2 4 15" xfId="30214"/>
    <cellStyle name="Calculation 3 4 2 4 16" xfId="31207"/>
    <cellStyle name="Calculation 3 4 2 4 17" xfId="32216"/>
    <cellStyle name="Calculation 3 4 2 4 18" xfId="33219"/>
    <cellStyle name="Calculation 3 4 2 4 19" xfId="34218"/>
    <cellStyle name="Calculation 3 4 2 4 2" xfId="988"/>
    <cellStyle name="Calculation 3 4 2 4 2 10" xfId="24263"/>
    <cellStyle name="Calculation 3 4 2 4 2 11" xfId="25262"/>
    <cellStyle name="Calculation 3 4 2 4 2 12" xfId="28207"/>
    <cellStyle name="Calculation 3 4 2 4 2 13" xfId="29176"/>
    <cellStyle name="Calculation 3 4 2 4 2 14" xfId="30215"/>
    <cellStyle name="Calculation 3 4 2 4 2 15" xfId="31208"/>
    <cellStyle name="Calculation 3 4 2 4 2 16" xfId="32217"/>
    <cellStyle name="Calculation 3 4 2 4 2 17" xfId="33220"/>
    <cellStyle name="Calculation 3 4 2 4 2 18" xfId="34219"/>
    <cellStyle name="Calculation 3 4 2 4 2 19" xfId="35840"/>
    <cellStyle name="Calculation 3 4 2 4 2 2" xfId="16243"/>
    <cellStyle name="Calculation 3 4 2 4 2 20" xfId="36779"/>
    <cellStyle name="Calculation 3 4 2 4 2 3" xfId="17221"/>
    <cellStyle name="Calculation 3 4 2 4 2 4" xfId="18249"/>
    <cellStyle name="Calculation 3 4 2 4 2 5" xfId="19281"/>
    <cellStyle name="Calculation 3 4 2 4 2 6" xfId="20303"/>
    <cellStyle name="Calculation 3 4 2 4 2 7" xfId="21312"/>
    <cellStyle name="Calculation 3 4 2 4 2 8" xfId="22286"/>
    <cellStyle name="Calculation 3 4 2 4 2 9" xfId="23291"/>
    <cellStyle name="Calculation 3 4 2 4 20" xfId="35839"/>
    <cellStyle name="Calculation 3 4 2 4 21" xfId="36778"/>
    <cellStyle name="Calculation 3 4 2 4 3" xfId="16242"/>
    <cellStyle name="Calculation 3 4 2 4 4" xfId="17220"/>
    <cellStyle name="Calculation 3 4 2 4 5" xfId="18248"/>
    <cellStyle name="Calculation 3 4 2 4 6" xfId="19280"/>
    <cellStyle name="Calculation 3 4 2 4 7" xfId="20302"/>
    <cellStyle name="Calculation 3 4 2 4 8" xfId="21311"/>
    <cellStyle name="Calculation 3 4 2 4 9" xfId="22285"/>
    <cellStyle name="Calculation 3 4 2 5" xfId="989"/>
    <cellStyle name="Calculation 3 4 2 5 10" xfId="24264"/>
    <cellStyle name="Calculation 3 4 2 5 11" xfId="25263"/>
    <cellStyle name="Calculation 3 4 2 5 12" xfId="28208"/>
    <cellStyle name="Calculation 3 4 2 5 13" xfId="29177"/>
    <cellStyle name="Calculation 3 4 2 5 14" xfId="30216"/>
    <cellStyle name="Calculation 3 4 2 5 15" xfId="31209"/>
    <cellStyle name="Calculation 3 4 2 5 16" xfId="32218"/>
    <cellStyle name="Calculation 3 4 2 5 17" xfId="33221"/>
    <cellStyle name="Calculation 3 4 2 5 18" xfId="34220"/>
    <cellStyle name="Calculation 3 4 2 5 19" xfId="35841"/>
    <cellStyle name="Calculation 3 4 2 5 2" xfId="16244"/>
    <cellStyle name="Calculation 3 4 2 5 20" xfId="36780"/>
    <cellStyle name="Calculation 3 4 2 5 3" xfId="17222"/>
    <cellStyle name="Calculation 3 4 2 5 4" xfId="18250"/>
    <cellStyle name="Calculation 3 4 2 5 5" xfId="19282"/>
    <cellStyle name="Calculation 3 4 2 5 6" xfId="20304"/>
    <cellStyle name="Calculation 3 4 2 5 7" xfId="21313"/>
    <cellStyle name="Calculation 3 4 2 5 8" xfId="22287"/>
    <cellStyle name="Calculation 3 4 2 5 9" xfId="23292"/>
    <cellStyle name="Calculation 3 4 2 6" xfId="13741"/>
    <cellStyle name="Calculation 3 4 2 7" xfId="14002"/>
    <cellStyle name="Calculation 3 4 2 8" xfId="13593"/>
    <cellStyle name="Calculation 3 4 2 9" xfId="15621"/>
    <cellStyle name="Calculation 3 4 20" xfId="27331"/>
    <cellStyle name="Calculation 3 4 21" xfId="27797"/>
    <cellStyle name="Calculation 3 4 22" xfId="34978"/>
    <cellStyle name="Calculation 3 4 23" xfId="35465"/>
    <cellStyle name="Calculation 3 4 24" xfId="37473"/>
    <cellStyle name="Calculation 3 4 3" xfId="990"/>
    <cellStyle name="Calculation 3 4 3 10" xfId="14693"/>
    <cellStyle name="Calculation 3 4 3 11" xfId="14978"/>
    <cellStyle name="Calculation 3 4 3 12" xfId="26474"/>
    <cellStyle name="Calculation 3 4 3 13" xfId="27066"/>
    <cellStyle name="Calculation 3 4 3 14" xfId="26177"/>
    <cellStyle name="Calculation 3 4 3 15" xfId="27497"/>
    <cellStyle name="Calculation 3 4 3 16" xfId="27617"/>
    <cellStyle name="Calculation 3 4 3 17" xfId="26838"/>
    <cellStyle name="Calculation 3 4 3 18" xfId="35157"/>
    <cellStyle name="Calculation 3 4 3 19" xfId="35221"/>
    <cellStyle name="Calculation 3 4 3 2" xfId="991"/>
    <cellStyle name="Calculation 3 4 3 2 10" xfId="23293"/>
    <cellStyle name="Calculation 3 4 3 2 11" xfId="24265"/>
    <cellStyle name="Calculation 3 4 3 2 12" xfId="25264"/>
    <cellStyle name="Calculation 3 4 3 2 13" xfId="28209"/>
    <cellStyle name="Calculation 3 4 3 2 14" xfId="29178"/>
    <cellStyle name="Calculation 3 4 3 2 15" xfId="30217"/>
    <cellStyle name="Calculation 3 4 3 2 16" xfId="31210"/>
    <cellStyle name="Calculation 3 4 3 2 17" xfId="32219"/>
    <cellStyle name="Calculation 3 4 3 2 18" xfId="33222"/>
    <cellStyle name="Calculation 3 4 3 2 19" xfId="34221"/>
    <cellStyle name="Calculation 3 4 3 2 2" xfId="992"/>
    <cellStyle name="Calculation 3 4 3 2 2 10" xfId="24266"/>
    <cellStyle name="Calculation 3 4 3 2 2 11" xfId="25265"/>
    <cellStyle name="Calculation 3 4 3 2 2 12" xfId="28210"/>
    <cellStyle name="Calculation 3 4 3 2 2 13" xfId="29179"/>
    <cellStyle name="Calculation 3 4 3 2 2 14" xfId="30218"/>
    <cellStyle name="Calculation 3 4 3 2 2 15" xfId="31211"/>
    <cellStyle name="Calculation 3 4 3 2 2 16" xfId="32220"/>
    <cellStyle name="Calculation 3 4 3 2 2 17" xfId="33223"/>
    <cellStyle name="Calculation 3 4 3 2 2 18" xfId="34222"/>
    <cellStyle name="Calculation 3 4 3 2 2 19" xfId="35843"/>
    <cellStyle name="Calculation 3 4 3 2 2 2" xfId="16246"/>
    <cellStyle name="Calculation 3 4 3 2 2 20" xfId="36782"/>
    <cellStyle name="Calculation 3 4 3 2 2 3" xfId="17224"/>
    <cellStyle name="Calculation 3 4 3 2 2 4" xfId="18252"/>
    <cellStyle name="Calculation 3 4 3 2 2 5" xfId="19284"/>
    <cellStyle name="Calculation 3 4 3 2 2 6" xfId="20306"/>
    <cellStyle name="Calculation 3 4 3 2 2 7" xfId="21315"/>
    <cellStyle name="Calculation 3 4 3 2 2 8" xfId="22289"/>
    <cellStyle name="Calculation 3 4 3 2 2 9" xfId="23294"/>
    <cellStyle name="Calculation 3 4 3 2 20" xfId="35842"/>
    <cellStyle name="Calculation 3 4 3 2 21" xfId="36781"/>
    <cellStyle name="Calculation 3 4 3 2 3" xfId="16245"/>
    <cellStyle name="Calculation 3 4 3 2 4" xfId="17223"/>
    <cellStyle name="Calculation 3 4 3 2 5" xfId="18251"/>
    <cellStyle name="Calculation 3 4 3 2 6" xfId="19283"/>
    <cellStyle name="Calculation 3 4 3 2 7" xfId="20305"/>
    <cellStyle name="Calculation 3 4 3 2 8" xfId="21314"/>
    <cellStyle name="Calculation 3 4 3 2 9" xfId="22288"/>
    <cellStyle name="Calculation 3 4 3 3" xfId="993"/>
    <cellStyle name="Calculation 3 4 3 3 10" xfId="23295"/>
    <cellStyle name="Calculation 3 4 3 3 11" xfId="24267"/>
    <cellStyle name="Calculation 3 4 3 3 12" xfId="25266"/>
    <cellStyle name="Calculation 3 4 3 3 13" xfId="28211"/>
    <cellStyle name="Calculation 3 4 3 3 14" xfId="29180"/>
    <cellStyle name="Calculation 3 4 3 3 15" xfId="30219"/>
    <cellStyle name="Calculation 3 4 3 3 16" xfId="31212"/>
    <cellStyle name="Calculation 3 4 3 3 17" xfId="32221"/>
    <cellStyle name="Calculation 3 4 3 3 18" xfId="33224"/>
    <cellStyle name="Calculation 3 4 3 3 19" xfId="34223"/>
    <cellStyle name="Calculation 3 4 3 3 2" xfId="994"/>
    <cellStyle name="Calculation 3 4 3 3 2 10" xfId="24268"/>
    <cellStyle name="Calculation 3 4 3 3 2 11" xfId="25267"/>
    <cellStyle name="Calculation 3 4 3 3 2 12" xfId="28212"/>
    <cellStyle name="Calculation 3 4 3 3 2 13" xfId="29181"/>
    <cellStyle name="Calculation 3 4 3 3 2 14" xfId="30220"/>
    <cellStyle name="Calculation 3 4 3 3 2 15" xfId="31213"/>
    <cellStyle name="Calculation 3 4 3 3 2 16" xfId="32222"/>
    <cellStyle name="Calculation 3 4 3 3 2 17" xfId="33225"/>
    <cellStyle name="Calculation 3 4 3 3 2 18" xfId="34224"/>
    <cellStyle name="Calculation 3 4 3 3 2 19" xfId="35845"/>
    <cellStyle name="Calculation 3 4 3 3 2 2" xfId="16248"/>
    <cellStyle name="Calculation 3 4 3 3 2 20" xfId="36784"/>
    <cellStyle name="Calculation 3 4 3 3 2 3" xfId="17226"/>
    <cellStyle name="Calculation 3 4 3 3 2 4" xfId="18254"/>
    <cellStyle name="Calculation 3 4 3 3 2 5" xfId="19286"/>
    <cellStyle name="Calculation 3 4 3 3 2 6" xfId="20308"/>
    <cellStyle name="Calculation 3 4 3 3 2 7" xfId="21317"/>
    <cellStyle name="Calculation 3 4 3 3 2 8" xfId="22291"/>
    <cellStyle name="Calculation 3 4 3 3 2 9" xfId="23296"/>
    <cellStyle name="Calculation 3 4 3 3 20" xfId="35844"/>
    <cellStyle name="Calculation 3 4 3 3 21" xfId="36783"/>
    <cellStyle name="Calculation 3 4 3 3 3" xfId="16247"/>
    <cellStyle name="Calculation 3 4 3 3 4" xfId="17225"/>
    <cellStyle name="Calculation 3 4 3 3 5" xfId="18253"/>
    <cellStyle name="Calculation 3 4 3 3 6" xfId="19285"/>
    <cellStyle name="Calculation 3 4 3 3 7" xfId="20307"/>
    <cellStyle name="Calculation 3 4 3 3 8" xfId="21316"/>
    <cellStyle name="Calculation 3 4 3 3 9" xfId="22290"/>
    <cellStyle name="Calculation 3 4 3 4" xfId="995"/>
    <cellStyle name="Calculation 3 4 3 4 10" xfId="23297"/>
    <cellStyle name="Calculation 3 4 3 4 11" xfId="24269"/>
    <cellStyle name="Calculation 3 4 3 4 12" xfId="25268"/>
    <cellStyle name="Calculation 3 4 3 4 13" xfId="28213"/>
    <cellStyle name="Calculation 3 4 3 4 14" xfId="29182"/>
    <cellStyle name="Calculation 3 4 3 4 15" xfId="30221"/>
    <cellStyle name="Calculation 3 4 3 4 16" xfId="31214"/>
    <cellStyle name="Calculation 3 4 3 4 17" xfId="32223"/>
    <cellStyle name="Calculation 3 4 3 4 18" xfId="33226"/>
    <cellStyle name="Calculation 3 4 3 4 19" xfId="34225"/>
    <cellStyle name="Calculation 3 4 3 4 2" xfId="996"/>
    <cellStyle name="Calculation 3 4 3 4 2 10" xfId="24270"/>
    <cellStyle name="Calculation 3 4 3 4 2 11" xfId="25269"/>
    <cellStyle name="Calculation 3 4 3 4 2 12" xfId="28214"/>
    <cellStyle name="Calculation 3 4 3 4 2 13" xfId="29183"/>
    <cellStyle name="Calculation 3 4 3 4 2 14" xfId="30222"/>
    <cellStyle name="Calculation 3 4 3 4 2 15" xfId="31215"/>
    <cellStyle name="Calculation 3 4 3 4 2 16" xfId="32224"/>
    <cellStyle name="Calculation 3 4 3 4 2 17" xfId="33227"/>
    <cellStyle name="Calculation 3 4 3 4 2 18" xfId="34226"/>
    <cellStyle name="Calculation 3 4 3 4 2 19" xfId="35847"/>
    <cellStyle name="Calculation 3 4 3 4 2 2" xfId="16250"/>
    <cellStyle name="Calculation 3 4 3 4 2 20" xfId="36786"/>
    <cellStyle name="Calculation 3 4 3 4 2 3" xfId="17228"/>
    <cellStyle name="Calculation 3 4 3 4 2 4" xfId="18256"/>
    <cellStyle name="Calculation 3 4 3 4 2 5" xfId="19288"/>
    <cellStyle name="Calculation 3 4 3 4 2 6" xfId="20310"/>
    <cellStyle name="Calculation 3 4 3 4 2 7" xfId="21319"/>
    <cellStyle name="Calculation 3 4 3 4 2 8" xfId="22293"/>
    <cellStyle name="Calculation 3 4 3 4 2 9" xfId="23298"/>
    <cellStyle name="Calculation 3 4 3 4 20" xfId="35846"/>
    <cellStyle name="Calculation 3 4 3 4 21" xfId="36785"/>
    <cellStyle name="Calculation 3 4 3 4 3" xfId="16249"/>
    <cellStyle name="Calculation 3 4 3 4 4" xfId="17227"/>
    <cellStyle name="Calculation 3 4 3 4 5" xfId="18255"/>
    <cellStyle name="Calculation 3 4 3 4 6" xfId="19287"/>
    <cellStyle name="Calculation 3 4 3 4 7" xfId="20309"/>
    <cellStyle name="Calculation 3 4 3 4 8" xfId="21318"/>
    <cellStyle name="Calculation 3 4 3 4 9" xfId="22292"/>
    <cellStyle name="Calculation 3 4 3 5" xfId="997"/>
    <cellStyle name="Calculation 3 4 3 5 10" xfId="24271"/>
    <cellStyle name="Calculation 3 4 3 5 11" xfId="25270"/>
    <cellStyle name="Calculation 3 4 3 5 12" xfId="28215"/>
    <cellStyle name="Calculation 3 4 3 5 13" xfId="29184"/>
    <cellStyle name="Calculation 3 4 3 5 14" xfId="30223"/>
    <cellStyle name="Calculation 3 4 3 5 15" xfId="31216"/>
    <cellStyle name="Calculation 3 4 3 5 16" xfId="32225"/>
    <cellStyle name="Calculation 3 4 3 5 17" xfId="33228"/>
    <cellStyle name="Calculation 3 4 3 5 18" xfId="34227"/>
    <cellStyle name="Calculation 3 4 3 5 19" xfId="35848"/>
    <cellStyle name="Calculation 3 4 3 5 2" xfId="16251"/>
    <cellStyle name="Calculation 3 4 3 5 20" xfId="36787"/>
    <cellStyle name="Calculation 3 4 3 5 3" xfId="17229"/>
    <cellStyle name="Calculation 3 4 3 5 4" xfId="18257"/>
    <cellStyle name="Calculation 3 4 3 5 5" xfId="19289"/>
    <cellStyle name="Calculation 3 4 3 5 6" xfId="20311"/>
    <cellStyle name="Calculation 3 4 3 5 7" xfId="21320"/>
    <cellStyle name="Calculation 3 4 3 5 8" xfId="22294"/>
    <cellStyle name="Calculation 3 4 3 5 9" xfId="23299"/>
    <cellStyle name="Calculation 3 4 3 6" xfId="14434"/>
    <cellStyle name="Calculation 3 4 3 7" xfId="14139"/>
    <cellStyle name="Calculation 3 4 3 8" xfId="13675"/>
    <cellStyle name="Calculation 3 4 3 9" xfId="15832"/>
    <cellStyle name="Calculation 3 4 4" xfId="998"/>
    <cellStyle name="Calculation 3 4 4 10" xfId="13636"/>
    <cellStyle name="Calculation 3 4 4 11" xfId="14988"/>
    <cellStyle name="Calculation 3 4 4 12" xfId="26452"/>
    <cellStyle name="Calculation 3 4 4 13" xfId="27679"/>
    <cellStyle name="Calculation 3 4 4 14" xfId="26119"/>
    <cellStyle name="Calculation 3 4 4 15" xfId="27371"/>
    <cellStyle name="Calculation 3 4 4 16" xfId="28328"/>
    <cellStyle name="Calculation 3 4 4 17" xfId="26074"/>
    <cellStyle name="Calculation 3 4 4 18" xfId="35135"/>
    <cellStyle name="Calculation 3 4 4 19" xfId="35236"/>
    <cellStyle name="Calculation 3 4 4 2" xfId="999"/>
    <cellStyle name="Calculation 3 4 4 2 10" xfId="23300"/>
    <cellStyle name="Calculation 3 4 4 2 11" xfId="24272"/>
    <cellStyle name="Calculation 3 4 4 2 12" xfId="25271"/>
    <cellStyle name="Calculation 3 4 4 2 13" xfId="28216"/>
    <cellStyle name="Calculation 3 4 4 2 14" xfId="29185"/>
    <cellStyle name="Calculation 3 4 4 2 15" xfId="30224"/>
    <cellStyle name="Calculation 3 4 4 2 16" xfId="31217"/>
    <cellStyle name="Calculation 3 4 4 2 17" xfId="32226"/>
    <cellStyle name="Calculation 3 4 4 2 18" xfId="33229"/>
    <cellStyle name="Calculation 3 4 4 2 19" xfId="34228"/>
    <cellStyle name="Calculation 3 4 4 2 2" xfId="1000"/>
    <cellStyle name="Calculation 3 4 4 2 2 10" xfId="24273"/>
    <cellStyle name="Calculation 3 4 4 2 2 11" xfId="25272"/>
    <cellStyle name="Calculation 3 4 4 2 2 12" xfId="28217"/>
    <cellStyle name="Calculation 3 4 4 2 2 13" xfId="29186"/>
    <cellStyle name="Calculation 3 4 4 2 2 14" xfId="30225"/>
    <cellStyle name="Calculation 3 4 4 2 2 15" xfId="31218"/>
    <cellStyle name="Calculation 3 4 4 2 2 16" xfId="32227"/>
    <cellStyle name="Calculation 3 4 4 2 2 17" xfId="33230"/>
    <cellStyle name="Calculation 3 4 4 2 2 18" xfId="34229"/>
    <cellStyle name="Calculation 3 4 4 2 2 19" xfId="35850"/>
    <cellStyle name="Calculation 3 4 4 2 2 2" xfId="16253"/>
    <cellStyle name="Calculation 3 4 4 2 2 20" xfId="36789"/>
    <cellStyle name="Calculation 3 4 4 2 2 3" xfId="17231"/>
    <cellStyle name="Calculation 3 4 4 2 2 4" xfId="18259"/>
    <cellStyle name="Calculation 3 4 4 2 2 5" xfId="19291"/>
    <cellStyle name="Calculation 3 4 4 2 2 6" xfId="20313"/>
    <cellStyle name="Calculation 3 4 4 2 2 7" xfId="21322"/>
    <cellStyle name="Calculation 3 4 4 2 2 8" xfId="22296"/>
    <cellStyle name="Calculation 3 4 4 2 2 9" xfId="23301"/>
    <cellStyle name="Calculation 3 4 4 2 20" xfId="35849"/>
    <cellStyle name="Calculation 3 4 4 2 21" xfId="36788"/>
    <cellStyle name="Calculation 3 4 4 2 3" xfId="16252"/>
    <cellStyle name="Calculation 3 4 4 2 4" xfId="17230"/>
    <cellStyle name="Calculation 3 4 4 2 5" xfId="18258"/>
    <cellStyle name="Calculation 3 4 4 2 6" xfId="19290"/>
    <cellStyle name="Calculation 3 4 4 2 7" xfId="20312"/>
    <cellStyle name="Calculation 3 4 4 2 8" xfId="21321"/>
    <cellStyle name="Calculation 3 4 4 2 9" xfId="22295"/>
    <cellStyle name="Calculation 3 4 4 3" xfId="1001"/>
    <cellStyle name="Calculation 3 4 4 3 10" xfId="23302"/>
    <cellStyle name="Calculation 3 4 4 3 11" xfId="24274"/>
    <cellStyle name="Calculation 3 4 4 3 12" xfId="25273"/>
    <cellStyle name="Calculation 3 4 4 3 13" xfId="28218"/>
    <cellStyle name="Calculation 3 4 4 3 14" xfId="29187"/>
    <cellStyle name="Calculation 3 4 4 3 15" xfId="30226"/>
    <cellStyle name="Calculation 3 4 4 3 16" xfId="31219"/>
    <cellStyle name="Calculation 3 4 4 3 17" xfId="32228"/>
    <cellStyle name="Calculation 3 4 4 3 18" xfId="33231"/>
    <cellStyle name="Calculation 3 4 4 3 19" xfId="34230"/>
    <cellStyle name="Calculation 3 4 4 3 2" xfId="1002"/>
    <cellStyle name="Calculation 3 4 4 3 2 10" xfId="24275"/>
    <cellStyle name="Calculation 3 4 4 3 2 11" xfId="25274"/>
    <cellStyle name="Calculation 3 4 4 3 2 12" xfId="28219"/>
    <cellStyle name="Calculation 3 4 4 3 2 13" xfId="29188"/>
    <cellStyle name="Calculation 3 4 4 3 2 14" xfId="30227"/>
    <cellStyle name="Calculation 3 4 4 3 2 15" xfId="31220"/>
    <cellStyle name="Calculation 3 4 4 3 2 16" xfId="32229"/>
    <cellStyle name="Calculation 3 4 4 3 2 17" xfId="33232"/>
    <cellStyle name="Calculation 3 4 4 3 2 18" xfId="34231"/>
    <cellStyle name="Calculation 3 4 4 3 2 19" xfId="35852"/>
    <cellStyle name="Calculation 3 4 4 3 2 2" xfId="16255"/>
    <cellStyle name="Calculation 3 4 4 3 2 20" xfId="36791"/>
    <cellStyle name="Calculation 3 4 4 3 2 3" xfId="17233"/>
    <cellStyle name="Calculation 3 4 4 3 2 4" xfId="18261"/>
    <cellStyle name="Calculation 3 4 4 3 2 5" xfId="19293"/>
    <cellStyle name="Calculation 3 4 4 3 2 6" xfId="20315"/>
    <cellStyle name="Calculation 3 4 4 3 2 7" xfId="21324"/>
    <cellStyle name="Calculation 3 4 4 3 2 8" xfId="22298"/>
    <cellStyle name="Calculation 3 4 4 3 2 9" xfId="23303"/>
    <cellStyle name="Calculation 3 4 4 3 20" xfId="35851"/>
    <cellStyle name="Calculation 3 4 4 3 21" xfId="36790"/>
    <cellStyle name="Calculation 3 4 4 3 3" xfId="16254"/>
    <cellStyle name="Calculation 3 4 4 3 4" xfId="17232"/>
    <cellStyle name="Calculation 3 4 4 3 5" xfId="18260"/>
    <cellStyle name="Calculation 3 4 4 3 6" xfId="19292"/>
    <cellStyle name="Calculation 3 4 4 3 7" xfId="20314"/>
    <cellStyle name="Calculation 3 4 4 3 8" xfId="21323"/>
    <cellStyle name="Calculation 3 4 4 3 9" xfId="22297"/>
    <cellStyle name="Calculation 3 4 4 4" xfId="1003"/>
    <cellStyle name="Calculation 3 4 4 4 10" xfId="23304"/>
    <cellStyle name="Calculation 3 4 4 4 11" xfId="24276"/>
    <cellStyle name="Calculation 3 4 4 4 12" xfId="25275"/>
    <cellStyle name="Calculation 3 4 4 4 13" xfId="28220"/>
    <cellStyle name="Calculation 3 4 4 4 14" xfId="29189"/>
    <cellStyle name="Calculation 3 4 4 4 15" xfId="30228"/>
    <cellStyle name="Calculation 3 4 4 4 16" xfId="31221"/>
    <cellStyle name="Calculation 3 4 4 4 17" xfId="32230"/>
    <cellStyle name="Calculation 3 4 4 4 18" xfId="33233"/>
    <cellStyle name="Calculation 3 4 4 4 19" xfId="34232"/>
    <cellStyle name="Calculation 3 4 4 4 2" xfId="1004"/>
    <cellStyle name="Calculation 3 4 4 4 2 10" xfId="24277"/>
    <cellStyle name="Calculation 3 4 4 4 2 11" xfId="25276"/>
    <cellStyle name="Calculation 3 4 4 4 2 12" xfId="28221"/>
    <cellStyle name="Calculation 3 4 4 4 2 13" xfId="29190"/>
    <cellStyle name="Calculation 3 4 4 4 2 14" xfId="30229"/>
    <cellStyle name="Calculation 3 4 4 4 2 15" xfId="31222"/>
    <cellStyle name="Calculation 3 4 4 4 2 16" xfId="32231"/>
    <cellStyle name="Calculation 3 4 4 4 2 17" xfId="33234"/>
    <cellStyle name="Calculation 3 4 4 4 2 18" xfId="34233"/>
    <cellStyle name="Calculation 3 4 4 4 2 19" xfId="35854"/>
    <cellStyle name="Calculation 3 4 4 4 2 2" xfId="16257"/>
    <cellStyle name="Calculation 3 4 4 4 2 20" xfId="36793"/>
    <cellStyle name="Calculation 3 4 4 4 2 3" xfId="17235"/>
    <cellStyle name="Calculation 3 4 4 4 2 4" xfId="18263"/>
    <cellStyle name="Calculation 3 4 4 4 2 5" xfId="19295"/>
    <cellStyle name="Calculation 3 4 4 4 2 6" xfId="20317"/>
    <cellStyle name="Calculation 3 4 4 4 2 7" xfId="21326"/>
    <cellStyle name="Calculation 3 4 4 4 2 8" xfId="22300"/>
    <cellStyle name="Calculation 3 4 4 4 2 9" xfId="23305"/>
    <cellStyle name="Calculation 3 4 4 4 20" xfId="35853"/>
    <cellStyle name="Calculation 3 4 4 4 21" xfId="36792"/>
    <cellStyle name="Calculation 3 4 4 4 3" xfId="16256"/>
    <cellStyle name="Calculation 3 4 4 4 4" xfId="17234"/>
    <cellStyle name="Calculation 3 4 4 4 5" xfId="18262"/>
    <cellStyle name="Calculation 3 4 4 4 6" xfId="19294"/>
    <cellStyle name="Calculation 3 4 4 4 7" xfId="20316"/>
    <cellStyle name="Calculation 3 4 4 4 8" xfId="21325"/>
    <cellStyle name="Calculation 3 4 4 4 9" xfId="22299"/>
    <cellStyle name="Calculation 3 4 4 5" xfId="1005"/>
    <cellStyle name="Calculation 3 4 4 5 10" xfId="24278"/>
    <cellStyle name="Calculation 3 4 4 5 11" xfId="25277"/>
    <cellStyle name="Calculation 3 4 4 5 12" xfId="28222"/>
    <cellStyle name="Calculation 3 4 4 5 13" xfId="29191"/>
    <cellStyle name="Calculation 3 4 4 5 14" xfId="30230"/>
    <cellStyle name="Calculation 3 4 4 5 15" xfId="31223"/>
    <cellStyle name="Calculation 3 4 4 5 16" xfId="32232"/>
    <cellStyle name="Calculation 3 4 4 5 17" xfId="33235"/>
    <cellStyle name="Calculation 3 4 4 5 18" xfId="34234"/>
    <cellStyle name="Calculation 3 4 4 5 19" xfId="35855"/>
    <cellStyle name="Calculation 3 4 4 5 2" xfId="16258"/>
    <cellStyle name="Calculation 3 4 4 5 20" xfId="36794"/>
    <cellStyle name="Calculation 3 4 4 5 3" xfId="17236"/>
    <cellStyle name="Calculation 3 4 4 5 4" xfId="18264"/>
    <cellStyle name="Calculation 3 4 4 5 5" xfId="19296"/>
    <cellStyle name="Calculation 3 4 4 5 6" xfId="20318"/>
    <cellStyle name="Calculation 3 4 4 5 7" xfId="21327"/>
    <cellStyle name="Calculation 3 4 4 5 8" xfId="22301"/>
    <cellStyle name="Calculation 3 4 4 5 9" xfId="23306"/>
    <cellStyle name="Calculation 3 4 4 6" xfId="13557"/>
    <cellStyle name="Calculation 3 4 4 7" xfId="15388"/>
    <cellStyle name="Calculation 3 4 4 8" xfId="13463"/>
    <cellStyle name="Calculation 3 4 4 9" xfId="15497"/>
    <cellStyle name="Calculation 3 4 5" xfId="1006"/>
    <cellStyle name="Calculation 3 4 5 10" xfId="14184"/>
    <cellStyle name="Calculation 3 4 5 11" xfId="18888"/>
    <cellStyle name="Calculation 3 4 5 12" xfId="26488"/>
    <cellStyle name="Calculation 3 4 5 13" xfId="27056"/>
    <cellStyle name="Calculation 3 4 5 14" xfId="26183"/>
    <cellStyle name="Calculation 3 4 5 15" xfId="26792"/>
    <cellStyle name="Calculation 3 4 5 16" xfId="27593"/>
    <cellStyle name="Calculation 3 4 5 17" xfId="26992"/>
    <cellStyle name="Calculation 3 4 5 18" xfId="35171"/>
    <cellStyle name="Calculation 3 4 5 19" xfId="35211"/>
    <cellStyle name="Calculation 3 4 5 2" xfId="1007"/>
    <cellStyle name="Calculation 3 4 5 2 10" xfId="23307"/>
    <cellStyle name="Calculation 3 4 5 2 11" xfId="24279"/>
    <cellStyle name="Calculation 3 4 5 2 12" xfId="25278"/>
    <cellStyle name="Calculation 3 4 5 2 13" xfId="28223"/>
    <cellStyle name="Calculation 3 4 5 2 14" xfId="29192"/>
    <cellStyle name="Calculation 3 4 5 2 15" xfId="30231"/>
    <cellStyle name="Calculation 3 4 5 2 16" xfId="31224"/>
    <cellStyle name="Calculation 3 4 5 2 17" xfId="32233"/>
    <cellStyle name="Calculation 3 4 5 2 18" xfId="33236"/>
    <cellStyle name="Calculation 3 4 5 2 19" xfId="34235"/>
    <cellStyle name="Calculation 3 4 5 2 2" xfId="1008"/>
    <cellStyle name="Calculation 3 4 5 2 2 10" xfId="24280"/>
    <cellStyle name="Calculation 3 4 5 2 2 11" xfId="25279"/>
    <cellStyle name="Calculation 3 4 5 2 2 12" xfId="28224"/>
    <cellStyle name="Calculation 3 4 5 2 2 13" xfId="29193"/>
    <cellStyle name="Calculation 3 4 5 2 2 14" xfId="30232"/>
    <cellStyle name="Calculation 3 4 5 2 2 15" xfId="31225"/>
    <cellStyle name="Calculation 3 4 5 2 2 16" xfId="32234"/>
    <cellStyle name="Calculation 3 4 5 2 2 17" xfId="33237"/>
    <cellStyle name="Calculation 3 4 5 2 2 18" xfId="34236"/>
    <cellStyle name="Calculation 3 4 5 2 2 19" xfId="35857"/>
    <cellStyle name="Calculation 3 4 5 2 2 2" xfId="16260"/>
    <cellStyle name="Calculation 3 4 5 2 2 20" xfId="36796"/>
    <cellStyle name="Calculation 3 4 5 2 2 3" xfId="17238"/>
    <cellStyle name="Calculation 3 4 5 2 2 4" xfId="18266"/>
    <cellStyle name="Calculation 3 4 5 2 2 5" xfId="19298"/>
    <cellStyle name="Calculation 3 4 5 2 2 6" xfId="20320"/>
    <cellStyle name="Calculation 3 4 5 2 2 7" xfId="21329"/>
    <cellStyle name="Calculation 3 4 5 2 2 8" xfId="22303"/>
    <cellStyle name="Calculation 3 4 5 2 2 9" xfId="23308"/>
    <cellStyle name="Calculation 3 4 5 2 20" xfId="35856"/>
    <cellStyle name="Calculation 3 4 5 2 21" xfId="36795"/>
    <cellStyle name="Calculation 3 4 5 2 3" xfId="16259"/>
    <cellStyle name="Calculation 3 4 5 2 4" xfId="17237"/>
    <cellStyle name="Calculation 3 4 5 2 5" xfId="18265"/>
    <cellStyle name="Calculation 3 4 5 2 6" xfId="19297"/>
    <cellStyle name="Calculation 3 4 5 2 7" xfId="20319"/>
    <cellStyle name="Calculation 3 4 5 2 8" xfId="21328"/>
    <cellStyle name="Calculation 3 4 5 2 9" xfId="22302"/>
    <cellStyle name="Calculation 3 4 5 3" xfId="1009"/>
    <cellStyle name="Calculation 3 4 5 3 10" xfId="23309"/>
    <cellStyle name="Calculation 3 4 5 3 11" xfId="24281"/>
    <cellStyle name="Calculation 3 4 5 3 12" xfId="25280"/>
    <cellStyle name="Calculation 3 4 5 3 13" xfId="28225"/>
    <cellStyle name="Calculation 3 4 5 3 14" xfId="29194"/>
    <cellStyle name="Calculation 3 4 5 3 15" xfId="30233"/>
    <cellStyle name="Calculation 3 4 5 3 16" xfId="31226"/>
    <cellStyle name="Calculation 3 4 5 3 17" xfId="32235"/>
    <cellStyle name="Calculation 3 4 5 3 18" xfId="33238"/>
    <cellStyle name="Calculation 3 4 5 3 19" xfId="34237"/>
    <cellStyle name="Calculation 3 4 5 3 2" xfId="1010"/>
    <cellStyle name="Calculation 3 4 5 3 2 10" xfId="24282"/>
    <cellStyle name="Calculation 3 4 5 3 2 11" xfId="25281"/>
    <cellStyle name="Calculation 3 4 5 3 2 12" xfId="28226"/>
    <cellStyle name="Calculation 3 4 5 3 2 13" xfId="29195"/>
    <cellStyle name="Calculation 3 4 5 3 2 14" xfId="30234"/>
    <cellStyle name="Calculation 3 4 5 3 2 15" xfId="31227"/>
    <cellStyle name="Calculation 3 4 5 3 2 16" xfId="32236"/>
    <cellStyle name="Calculation 3 4 5 3 2 17" xfId="33239"/>
    <cellStyle name="Calculation 3 4 5 3 2 18" xfId="34238"/>
    <cellStyle name="Calculation 3 4 5 3 2 19" xfId="35859"/>
    <cellStyle name="Calculation 3 4 5 3 2 2" xfId="16262"/>
    <cellStyle name="Calculation 3 4 5 3 2 20" xfId="36798"/>
    <cellStyle name="Calculation 3 4 5 3 2 3" xfId="17240"/>
    <cellStyle name="Calculation 3 4 5 3 2 4" xfId="18268"/>
    <cellStyle name="Calculation 3 4 5 3 2 5" xfId="19300"/>
    <cellStyle name="Calculation 3 4 5 3 2 6" xfId="20322"/>
    <cellStyle name="Calculation 3 4 5 3 2 7" xfId="21331"/>
    <cellStyle name="Calculation 3 4 5 3 2 8" xfId="22305"/>
    <cellStyle name="Calculation 3 4 5 3 2 9" xfId="23310"/>
    <cellStyle name="Calculation 3 4 5 3 20" xfId="35858"/>
    <cellStyle name="Calculation 3 4 5 3 21" xfId="36797"/>
    <cellStyle name="Calculation 3 4 5 3 3" xfId="16261"/>
    <cellStyle name="Calculation 3 4 5 3 4" xfId="17239"/>
    <cellStyle name="Calculation 3 4 5 3 5" xfId="18267"/>
    <cellStyle name="Calculation 3 4 5 3 6" xfId="19299"/>
    <cellStyle name="Calculation 3 4 5 3 7" xfId="20321"/>
    <cellStyle name="Calculation 3 4 5 3 8" xfId="21330"/>
    <cellStyle name="Calculation 3 4 5 3 9" xfId="22304"/>
    <cellStyle name="Calculation 3 4 5 4" xfId="1011"/>
    <cellStyle name="Calculation 3 4 5 4 10" xfId="23311"/>
    <cellStyle name="Calculation 3 4 5 4 11" xfId="24283"/>
    <cellStyle name="Calculation 3 4 5 4 12" xfId="25282"/>
    <cellStyle name="Calculation 3 4 5 4 13" xfId="28227"/>
    <cellStyle name="Calculation 3 4 5 4 14" xfId="29196"/>
    <cellStyle name="Calculation 3 4 5 4 15" xfId="30235"/>
    <cellStyle name="Calculation 3 4 5 4 16" xfId="31228"/>
    <cellStyle name="Calculation 3 4 5 4 17" xfId="32237"/>
    <cellStyle name="Calculation 3 4 5 4 18" xfId="33240"/>
    <cellStyle name="Calculation 3 4 5 4 19" xfId="34239"/>
    <cellStyle name="Calculation 3 4 5 4 2" xfId="1012"/>
    <cellStyle name="Calculation 3 4 5 4 2 10" xfId="24284"/>
    <cellStyle name="Calculation 3 4 5 4 2 11" xfId="25283"/>
    <cellStyle name="Calculation 3 4 5 4 2 12" xfId="28228"/>
    <cellStyle name="Calculation 3 4 5 4 2 13" xfId="29197"/>
    <cellStyle name="Calculation 3 4 5 4 2 14" xfId="30236"/>
    <cellStyle name="Calculation 3 4 5 4 2 15" xfId="31229"/>
    <cellStyle name="Calculation 3 4 5 4 2 16" xfId="32238"/>
    <cellStyle name="Calculation 3 4 5 4 2 17" xfId="33241"/>
    <cellStyle name="Calculation 3 4 5 4 2 18" xfId="34240"/>
    <cellStyle name="Calculation 3 4 5 4 2 19" xfId="35861"/>
    <cellStyle name="Calculation 3 4 5 4 2 2" xfId="16264"/>
    <cellStyle name="Calculation 3 4 5 4 2 20" xfId="36800"/>
    <cellStyle name="Calculation 3 4 5 4 2 3" xfId="17242"/>
    <cellStyle name="Calculation 3 4 5 4 2 4" xfId="18270"/>
    <cellStyle name="Calculation 3 4 5 4 2 5" xfId="19302"/>
    <cellStyle name="Calculation 3 4 5 4 2 6" xfId="20324"/>
    <cellStyle name="Calculation 3 4 5 4 2 7" xfId="21333"/>
    <cellStyle name="Calculation 3 4 5 4 2 8" xfId="22307"/>
    <cellStyle name="Calculation 3 4 5 4 2 9" xfId="23312"/>
    <cellStyle name="Calculation 3 4 5 4 20" xfId="35860"/>
    <cellStyle name="Calculation 3 4 5 4 21" xfId="36799"/>
    <cellStyle name="Calculation 3 4 5 4 3" xfId="16263"/>
    <cellStyle name="Calculation 3 4 5 4 4" xfId="17241"/>
    <cellStyle name="Calculation 3 4 5 4 5" xfId="18269"/>
    <cellStyle name="Calculation 3 4 5 4 6" xfId="19301"/>
    <cellStyle name="Calculation 3 4 5 4 7" xfId="20323"/>
    <cellStyle name="Calculation 3 4 5 4 8" xfId="21332"/>
    <cellStyle name="Calculation 3 4 5 4 9" xfId="22306"/>
    <cellStyle name="Calculation 3 4 5 5" xfId="1013"/>
    <cellStyle name="Calculation 3 4 5 5 10" xfId="24285"/>
    <cellStyle name="Calculation 3 4 5 5 11" xfId="25284"/>
    <cellStyle name="Calculation 3 4 5 5 12" xfId="28229"/>
    <cellStyle name="Calculation 3 4 5 5 13" xfId="29198"/>
    <cellStyle name="Calculation 3 4 5 5 14" xfId="30237"/>
    <cellStyle name="Calculation 3 4 5 5 15" xfId="31230"/>
    <cellStyle name="Calculation 3 4 5 5 16" xfId="32239"/>
    <cellStyle name="Calculation 3 4 5 5 17" xfId="33242"/>
    <cellStyle name="Calculation 3 4 5 5 18" xfId="34241"/>
    <cellStyle name="Calculation 3 4 5 5 19" xfId="35862"/>
    <cellStyle name="Calculation 3 4 5 5 2" xfId="16265"/>
    <cellStyle name="Calculation 3 4 5 5 20" xfId="36801"/>
    <cellStyle name="Calculation 3 4 5 5 3" xfId="17243"/>
    <cellStyle name="Calculation 3 4 5 5 4" xfId="18271"/>
    <cellStyle name="Calculation 3 4 5 5 5" xfId="19303"/>
    <cellStyle name="Calculation 3 4 5 5 6" xfId="20325"/>
    <cellStyle name="Calculation 3 4 5 5 7" xfId="21334"/>
    <cellStyle name="Calculation 3 4 5 5 8" xfId="22308"/>
    <cellStyle name="Calculation 3 4 5 5 9" xfId="23313"/>
    <cellStyle name="Calculation 3 4 5 6" xfId="15421"/>
    <cellStyle name="Calculation 3 4 5 7" xfId="14392"/>
    <cellStyle name="Calculation 3 4 5 8" xfId="14874"/>
    <cellStyle name="Calculation 3 4 5 9" xfId="14715"/>
    <cellStyle name="Calculation 3 4 6" xfId="1014"/>
    <cellStyle name="Calculation 3 4 6 10" xfId="23314"/>
    <cellStyle name="Calculation 3 4 6 11" xfId="24286"/>
    <cellStyle name="Calculation 3 4 6 12" xfId="25285"/>
    <cellStyle name="Calculation 3 4 6 13" xfId="28230"/>
    <cellStyle name="Calculation 3 4 6 14" xfId="29199"/>
    <cellStyle name="Calculation 3 4 6 15" xfId="30238"/>
    <cellStyle name="Calculation 3 4 6 16" xfId="31231"/>
    <cellStyle name="Calculation 3 4 6 17" xfId="32240"/>
    <cellStyle name="Calculation 3 4 6 18" xfId="33243"/>
    <cellStyle name="Calculation 3 4 6 19" xfId="34242"/>
    <cellStyle name="Calculation 3 4 6 2" xfId="1015"/>
    <cellStyle name="Calculation 3 4 6 2 10" xfId="24287"/>
    <cellStyle name="Calculation 3 4 6 2 11" xfId="25286"/>
    <cellStyle name="Calculation 3 4 6 2 12" xfId="28231"/>
    <cellStyle name="Calculation 3 4 6 2 13" xfId="29200"/>
    <cellStyle name="Calculation 3 4 6 2 14" xfId="30239"/>
    <cellStyle name="Calculation 3 4 6 2 15" xfId="31232"/>
    <cellStyle name="Calculation 3 4 6 2 16" xfId="32241"/>
    <cellStyle name="Calculation 3 4 6 2 17" xfId="33244"/>
    <cellStyle name="Calculation 3 4 6 2 18" xfId="34243"/>
    <cellStyle name="Calculation 3 4 6 2 19" xfId="35864"/>
    <cellStyle name="Calculation 3 4 6 2 2" xfId="16267"/>
    <cellStyle name="Calculation 3 4 6 2 20" xfId="36803"/>
    <cellStyle name="Calculation 3 4 6 2 3" xfId="17245"/>
    <cellStyle name="Calculation 3 4 6 2 4" xfId="18273"/>
    <cellStyle name="Calculation 3 4 6 2 5" xfId="19305"/>
    <cellStyle name="Calculation 3 4 6 2 6" xfId="20327"/>
    <cellStyle name="Calculation 3 4 6 2 7" xfId="21336"/>
    <cellStyle name="Calculation 3 4 6 2 8" xfId="22310"/>
    <cellStyle name="Calculation 3 4 6 2 9" xfId="23315"/>
    <cellStyle name="Calculation 3 4 6 20" xfId="35863"/>
    <cellStyle name="Calculation 3 4 6 21" xfId="36802"/>
    <cellStyle name="Calculation 3 4 6 3" xfId="16266"/>
    <cellStyle name="Calculation 3 4 6 4" xfId="17244"/>
    <cellStyle name="Calculation 3 4 6 5" xfId="18272"/>
    <cellStyle name="Calculation 3 4 6 6" xfId="19304"/>
    <cellStyle name="Calculation 3 4 6 7" xfId="20326"/>
    <cellStyle name="Calculation 3 4 6 8" xfId="21335"/>
    <cellStyle name="Calculation 3 4 6 9" xfId="22309"/>
    <cellStyle name="Calculation 3 4 7" xfId="1016"/>
    <cellStyle name="Calculation 3 4 7 10" xfId="23316"/>
    <cellStyle name="Calculation 3 4 7 11" xfId="24288"/>
    <cellStyle name="Calculation 3 4 7 12" xfId="25287"/>
    <cellStyle name="Calculation 3 4 7 13" xfId="28232"/>
    <cellStyle name="Calculation 3 4 7 14" xfId="29201"/>
    <cellStyle name="Calculation 3 4 7 15" xfId="30240"/>
    <cellStyle name="Calculation 3 4 7 16" xfId="31233"/>
    <cellStyle name="Calculation 3 4 7 17" xfId="32242"/>
    <cellStyle name="Calculation 3 4 7 18" xfId="33245"/>
    <cellStyle name="Calculation 3 4 7 19" xfId="34244"/>
    <cellStyle name="Calculation 3 4 7 2" xfId="1017"/>
    <cellStyle name="Calculation 3 4 7 2 10" xfId="24289"/>
    <cellStyle name="Calculation 3 4 7 2 11" xfId="25288"/>
    <cellStyle name="Calculation 3 4 7 2 12" xfId="28233"/>
    <cellStyle name="Calculation 3 4 7 2 13" xfId="29202"/>
    <cellStyle name="Calculation 3 4 7 2 14" xfId="30241"/>
    <cellStyle name="Calculation 3 4 7 2 15" xfId="31234"/>
    <cellStyle name="Calculation 3 4 7 2 16" xfId="32243"/>
    <cellStyle name="Calculation 3 4 7 2 17" xfId="33246"/>
    <cellStyle name="Calculation 3 4 7 2 18" xfId="34245"/>
    <cellStyle name="Calculation 3 4 7 2 19" xfId="35866"/>
    <cellStyle name="Calculation 3 4 7 2 2" xfId="16269"/>
    <cellStyle name="Calculation 3 4 7 2 20" xfId="36805"/>
    <cellStyle name="Calculation 3 4 7 2 3" xfId="17247"/>
    <cellStyle name="Calculation 3 4 7 2 4" xfId="18275"/>
    <cellStyle name="Calculation 3 4 7 2 5" xfId="19307"/>
    <cellStyle name="Calculation 3 4 7 2 6" xfId="20329"/>
    <cellStyle name="Calculation 3 4 7 2 7" xfId="21338"/>
    <cellStyle name="Calculation 3 4 7 2 8" xfId="22312"/>
    <cellStyle name="Calculation 3 4 7 2 9" xfId="23317"/>
    <cellStyle name="Calculation 3 4 7 20" xfId="35865"/>
    <cellStyle name="Calculation 3 4 7 21" xfId="36804"/>
    <cellStyle name="Calculation 3 4 7 3" xfId="16268"/>
    <cellStyle name="Calculation 3 4 7 4" xfId="17246"/>
    <cellStyle name="Calculation 3 4 7 5" xfId="18274"/>
    <cellStyle name="Calculation 3 4 7 6" xfId="19306"/>
    <cellStyle name="Calculation 3 4 7 7" xfId="20328"/>
    <cellStyle name="Calculation 3 4 7 8" xfId="21337"/>
    <cellStyle name="Calculation 3 4 7 9" xfId="22311"/>
    <cellStyle name="Calculation 3 4 8" xfId="1018"/>
    <cellStyle name="Calculation 3 4 8 10" xfId="23318"/>
    <cellStyle name="Calculation 3 4 8 11" xfId="24290"/>
    <cellStyle name="Calculation 3 4 8 12" xfId="25289"/>
    <cellStyle name="Calculation 3 4 8 13" xfId="28234"/>
    <cellStyle name="Calculation 3 4 8 14" xfId="29203"/>
    <cellStyle name="Calculation 3 4 8 15" xfId="30242"/>
    <cellStyle name="Calculation 3 4 8 16" xfId="31235"/>
    <cellStyle name="Calculation 3 4 8 17" xfId="32244"/>
    <cellStyle name="Calculation 3 4 8 18" xfId="33247"/>
    <cellStyle name="Calculation 3 4 8 19" xfId="34246"/>
    <cellStyle name="Calculation 3 4 8 2" xfId="1019"/>
    <cellStyle name="Calculation 3 4 8 2 10" xfId="24291"/>
    <cellStyle name="Calculation 3 4 8 2 11" xfId="25290"/>
    <cellStyle name="Calculation 3 4 8 2 12" xfId="28235"/>
    <cellStyle name="Calculation 3 4 8 2 13" xfId="29204"/>
    <cellStyle name="Calculation 3 4 8 2 14" xfId="30243"/>
    <cellStyle name="Calculation 3 4 8 2 15" xfId="31236"/>
    <cellStyle name="Calculation 3 4 8 2 16" xfId="32245"/>
    <cellStyle name="Calculation 3 4 8 2 17" xfId="33248"/>
    <cellStyle name="Calculation 3 4 8 2 18" xfId="34247"/>
    <cellStyle name="Calculation 3 4 8 2 19" xfId="35868"/>
    <cellStyle name="Calculation 3 4 8 2 2" xfId="16271"/>
    <cellStyle name="Calculation 3 4 8 2 20" xfId="36807"/>
    <cellStyle name="Calculation 3 4 8 2 3" xfId="17249"/>
    <cellStyle name="Calculation 3 4 8 2 4" xfId="18277"/>
    <cellStyle name="Calculation 3 4 8 2 5" xfId="19309"/>
    <cellStyle name="Calculation 3 4 8 2 6" xfId="20331"/>
    <cellStyle name="Calculation 3 4 8 2 7" xfId="21340"/>
    <cellStyle name="Calculation 3 4 8 2 8" xfId="22314"/>
    <cellStyle name="Calculation 3 4 8 2 9" xfId="23319"/>
    <cellStyle name="Calculation 3 4 8 20" xfId="35867"/>
    <cellStyle name="Calculation 3 4 8 21" xfId="36806"/>
    <cellStyle name="Calculation 3 4 8 3" xfId="16270"/>
    <cellStyle name="Calculation 3 4 8 4" xfId="17248"/>
    <cellStyle name="Calculation 3 4 8 5" xfId="18276"/>
    <cellStyle name="Calculation 3 4 8 6" xfId="19308"/>
    <cellStyle name="Calculation 3 4 8 7" xfId="20330"/>
    <cellStyle name="Calculation 3 4 8 8" xfId="21339"/>
    <cellStyle name="Calculation 3 4 8 9" xfId="22313"/>
    <cellStyle name="Calculation 3 4 9" xfId="1020"/>
    <cellStyle name="Calculation 3 4 9 10" xfId="24292"/>
    <cellStyle name="Calculation 3 4 9 11" xfId="25291"/>
    <cellStyle name="Calculation 3 4 9 12" xfId="28236"/>
    <cellStyle name="Calculation 3 4 9 13" xfId="29205"/>
    <cellStyle name="Calculation 3 4 9 14" xfId="30244"/>
    <cellStyle name="Calculation 3 4 9 15" xfId="31237"/>
    <cellStyle name="Calculation 3 4 9 16" xfId="32246"/>
    <cellStyle name="Calculation 3 4 9 17" xfId="33249"/>
    <cellStyle name="Calculation 3 4 9 18" xfId="34248"/>
    <cellStyle name="Calculation 3 4 9 19" xfId="35869"/>
    <cellStyle name="Calculation 3 4 9 2" xfId="16272"/>
    <cellStyle name="Calculation 3 4 9 20" xfId="36808"/>
    <cellStyle name="Calculation 3 4 9 3" xfId="17250"/>
    <cellStyle name="Calculation 3 4 9 4" xfId="18278"/>
    <cellStyle name="Calculation 3 4 9 5" xfId="19310"/>
    <cellStyle name="Calculation 3 4 9 6" xfId="20332"/>
    <cellStyle name="Calculation 3 4 9 7" xfId="21341"/>
    <cellStyle name="Calculation 3 4 9 8" xfId="22315"/>
    <cellStyle name="Calculation 3 4 9 9" xfId="23320"/>
    <cellStyle name="Calculation 3 5" xfId="1021"/>
    <cellStyle name="Calculation 3 5 10" xfId="15840"/>
    <cellStyle name="Calculation 3 5 11" xfId="17850"/>
    <cellStyle name="Calculation 3 5 12" xfId="13785"/>
    <cellStyle name="Calculation 3 5 13" xfId="17860"/>
    <cellStyle name="Calculation 3 5 14" xfId="20907"/>
    <cellStyle name="Calculation 3 5 15" xfId="13691"/>
    <cellStyle name="Calculation 3 5 16" xfId="26072"/>
    <cellStyle name="Calculation 3 5 17" xfId="27846"/>
    <cellStyle name="Calculation 3 5 18" xfId="25955"/>
    <cellStyle name="Calculation 3 5 19" xfId="29817"/>
    <cellStyle name="Calculation 3 5 2" xfId="1022"/>
    <cellStyle name="Calculation 3 5 2 10" xfId="14147"/>
    <cellStyle name="Calculation 3 5 2 11" xfId="13780"/>
    <cellStyle name="Calculation 3 5 2 12" xfId="26295"/>
    <cellStyle name="Calculation 3 5 2 13" xfId="27735"/>
    <cellStyle name="Calculation 3 5 2 14" xfId="26250"/>
    <cellStyle name="Calculation 3 5 2 15" xfId="27360"/>
    <cellStyle name="Calculation 3 5 2 16" xfId="27847"/>
    <cellStyle name="Calculation 3 5 2 17" xfId="26740"/>
    <cellStyle name="Calculation 3 5 2 18" xfId="34991"/>
    <cellStyle name="Calculation 3 5 2 19" xfId="35335"/>
    <cellStyle name="Calculation 3 5 2 2" xfId="1023"/>
    <cellStyle name="Calculation 3 5 2 2 10" xfId="23321"/>
    <cellStyle name="Calculation 3 5 2 2 11" xfId="24293"/>
    <cellStyle name="Calculation 3 5 2 2 12" xfId="25292"/>
    <cellStyle name="Calculation 3 5 2 2 13" xfId="28237"/>
    <cellStyle name="Calculation 3 5 2 2 14" xfId="29206"/>
    <cellStyle name="Calculation 3 5 2 2 15" xfId="30245"/>
    <cellStyle name="Calculation 3 5 2 2 16" xfId="31238"/>
    <cellStyle name="Calculation 3 5 2 2 17" xfId="32247"/>
    <cellStyle name="Calculation 3 5 2 2 18" xfId="33250"/>
    <cellStyle name="Calculation 3 5 2 2 19" xfId="34249"/>
    <cellStyle name="Calculation 3 5 2 2 2" xfId="1024"/>
    <cellStyle name="Calculation 3 5 2 2 2 10" xfId="24294"/>
    <cellStyle name="Calculation 3 5 2 2 2 11" xfId="25293"/>
    <cellStyle name="Calculation 3 5 2 2 2 12" xfId="28238"/>
    <cellStyle name="Calculation 3 5 2 2 2 13" xfId="29207"/>
    <cellStyle name="Calculation 3 5 2 2 2 14" xfId="30246"/>
    <cellStyle name="Calculation 3 5 2 2 2 15" xfId="31239"/>
    <cellStyle name="Calculation 3 5 2 2 2 16" xfId="32248"/>
    <cellStyle name="Calculation 3 5 2 2 2 17" xfId="33251"/>
    <cellStyle name="Calculation 3 5 2 2 2 18" xfId="34250"/>
    <cellStyle name="Calculation 3 5 2 2 2 19" xfId="35871"/>
    <cellStyle name="Calculation 3 5 2 2 2 2" xfId="16274"/>
    <cellStyle name="Calculation 3 5 2 2 2 20" xfId="36810"/>
    <cellStyle name="Calculation 3 5 2 2 2 3" xfId="17252"/>
    <cellStyle name="Calculation 3 5 2 2 2 4" xfId="18280"/>
    <cellStyle name="Calculation 3 5 2 2 2 5" xfId="19312"/>
    <cellStyle name="Calculation 3 5 2 2 2 6" xfId="20334"/>
    <cellStyle name="Calculation 3 5 2 2 2 7" xfId="21343"/>
    <cellStyle name="Calculation 3 5 2 2 2 8" xfId="22317"/>
    <cellStyle name="Calculation 3 5 2 2 2 9" xfId="23322"/>
    <cellStyle name="Calculation 3 5 2 2 20" xfId="35870"/>
    <cellStyle name="Calculation 3 5 2 2 21" xfId="36809"/>
    <cellStyle name="Calculation 3 5 2 2 3" xfId="16273"/>
    <cellStyle name="Calculation 3 5 2 2 4" xfId="17251"/>
    <cellStyle name="Calculation 3 5 2 2 5" xfId="18279"/>
    <cellStyle name="Calculation 3 5 2 2 6" xfId="19311"/>
    <cellStyle name="Calculation 3 5 2 2 7" xfId="20333"/>
    <cellStyle name="Calculation 3 5 2 2 8" xfId="21342"/>
    <cellStyle name="Calculation 3 5 2 2 9" xfId="22316"/>
    <cellStyle name="Calculation 3 5 2 3" xfId="1025"/>
    <cellStyle name="Calculation 3 5 2 3 10" xfId="23323"/>
    <cellStyle name="Calculation 3 5 2 3 11" xfId="24295"/>
    <cellStyle name="Calculation 3 5 2 3 12" xfId="25294"/>
    <cellStyle name="Calculation 3 5 2 3 13" xfId="28239"/>
    <cellStyle name="Calculation 3 5 2 3 14" xfId="29208"/>
    <cellStyle name="Calculation 3 5 2 3 15" xfId="30247"/>
    <cellStyle name="Calculation 3 5 2 3 16" xfId="31240"/>
    <cellStyle name="Calculation 3 5 2 3 17" xfId="32249"/>
    <cellStyle name="Calculation 3 5 2 3 18" xfId="33252"/>
    <cellStyle name="Calculation 3 5 2 3 19" xfId="34251"/>
    <cellStyle name="Calculation 3 5 2 3 2" xfId="1026"/>
    <cellStyle name="Calculation 3 5 2 3 2 10" xfId="24296"/>
    <cellStyle name="Calculation 3 5 2 3 2 11" xfId="25295"/>
    <cellStyle name="Calculation 3 5 2 3 2 12" xfId="28240"/>
    <cellStyle name="Calculation 3 5 2 3 2 13" xfId="29209"/>
    <cellStyle name="Calculation 3 5 2 3 2 14" xfId="30248"/>
    <cellStyle name="Calculation 3 5 2 3 2 15" xfId="31241"/>
    <cellStyle name="Calculation 3 5 2 3 2 16" xfId="32250"/>
    <cellStyle name="Calculation 3 5 2 3 2 17" xfId="33253"/>
    <cellStyle name="Calculation 3 5 2 3 2 18" xfId="34252"/>
    <cellStyle name="Calculation 3 5 2 3 2 19" xfId="35873"/>
    <cellStyle name="Calculation 3 5 2 3 2 2" xfId="16276"/>
    <cellStyle name="Calculation 3 5 2 3 2 20" xfId="36812"/>
    <cellStyle name="Calculation 3 5 2 3 2 3" xfId="17254"/>
    <cellStyle name="Calculation 3 5 2 3 2 4" xfId="18282"/>
    <cellStyle name="Calculation 3 5 2 3 2 5" xfId="19314"/>
    <cellStyle name="Calculation 3 5 2 3 2 6" xfId="20336"/>
    <cellStyle name="Calculation 3 5 2 3 2 7" xfId="21345"/>
    <cellStyle name="Calculation 3 5 2 3 2 8" xfId="22319"/>
    <cellStyle name="Calculation 3 5 2 3 2 9" xfId="23324"/>
    <cellStyle name="Calculation 3 5 2 3 20" xfId="35872"/>
    <cellStyle name="Calculation 3 5 2 3 21" xfId="36811"/>
    <cellStyle name="Calculation 3 5 2 3 3" xfId="16275"/>
    <cellStyle name="Calculation 3 5 2 3 4" xfId="17253"/>
    <cellStyle name="Calculation 3 5 2 3 5" xfId="18281"/>
    <cellStyle name="Calculation 3 5 2 3 6" xfId="19313"/>
    <cellStyle name="Calculation 3 5 2 3 7" xfId="20335"/>
    <cellStyle name="Calculation 3 5 2 3 8" xfId="21344"/>
    <cellStyle name="Calculation 3 5 2 3 9" xfId="22318"/>
    <cellStyle name="Calculation 3 5 2 4" xfId="1027"/>
    <cellStyle name="Calculation 3 5 2 4 10" xfId="23325"/>
    <cellStyle name="Calculation 3 5 2 4 11" xfId="24297"/>
    <cellStyle name="Calculation 3 5 2 4 12" xfId="25296"/>
    <cellStyle name="Calculation 3 5 2 4 13" xfId="28241"/>
    <cellStyle name="Calculation 3 5 2 4 14" xfId="29210"/>
    <cellStyle name="Calculation 3 5 2 4 15" xfId="30249"/>
    <cellStyle name="Calculation 3 5 2 4 16" xfId="31242"/>
    <cellStyle name="Calculation 3 5 2 4 17" xfId="32251"/>
    <cellStyle name="Calculation 3 5 2 4 18" xfId="33254"/>
    <cellStyle name="Calculation 3 5 2 4 19" xfId="34253"/>
    <cellStyle name="Calculation 3 5 2 4 2" xfId="1028"/>
    <cellStyle name="Calculation 3 5 2 4 2 10" xfId="24298"/>
    <cellStyle name="Calculation 3 5 2 4 2 11" xfId="25297"/>
    <cellStyle name="Calculation 3 5 2 4 2 12" xfId="28242"/>
    <cellStyle name="Calculation 3 5 2 4 2 13" xfId="29211"/>
    <cellStyle name="Calculation 3 5 2 4 2 14" xfId="30250"/>
    <cellStyle name="Calculation 3 5 2 4 2 15" xfId="31243"/>
    <cellStyle name="Calculation 3 5 2 4 2 16" xfId="32252"/>
    <cellStyle name="Calculation 3 5 2 4 2 17" xfId="33255"/>
    <cellStyle name="Calculation 3 5 2 4 2 18" xfId="34254"/>
    <cellStyle name="Calculation 3 5 2 4 2 19" xfId="35875"/>
    <cellStyle name="Calculation 3 5 2 4 2 2" xfId="16278"/>
    <cellStyle name="Calculation 3 5 2 4 2 20" xfId="36814"/>
    <cellStyle name="Calculation 3 5 2 4 2 3" xfId="17256"/>
    <cellStyle name="Calculation 3 5 2 4 2 4" xfId="18284"/>
    <cellStyle name="Calculation 3 5 2 4 2 5" xfId="19316"/>
    <cellStyle name="Calculation 3 5 2 4 2 6" xfId="20338"/>
    <cellStyle name="Calculation 3 5 2 4 2 7" xfId="21347"/>
    <cellStyle name="Calculation 3 5 2 4 2 8" xfId="22321"/>
    <cellStyle name="Calculation 3 5 2 4 2 9" xfId="23326"/>
    <cellStyle name="Calculation 3 5 2 4 20" xfId="35874"/>
    <cellStyle name="Calculation 3 5 2 4 21" xfId="36813"/>
    <cellStyle name="Calculation 3 5 2 4 3" xfId="16277"/>
    <cellStyle name="Calculation 3 5 2 4 4" xfId="17255"/>
    <cellStyle name="Calculation 3 5 2 4 5" xfId="18283"/>
    <cellStyle name="Calculation 3 5 2 4 6" xfId="19315"/>
    <cellStyle name="Calculation 3 5 2 4 7" xfId="20337"/>
    <cellStyle name="Calculation 3 5 2 4 8" xfId="21346"/>
    <cellStyle name="Calculation 3 5 2 4 9" xfId="22320"/>
    <cellStyle name="Calculation 3 5 2 5" xfId="1029"/>
    <cellStyle name="Calculation 3 5 2 5 10" xfId="24299"/>
    <cellStyle name="Calculation 3 5 2 5 11" xfId="25298"/>
    <cellStyle name="Calculation 3 5 2 5 12" xfId="28243"/>
    <cellStyle name="Calculation 3 5 2 5 13" xfId="29212"/>
    <cellStyle name="Calculation 3 5 2 5 14" xfId="30251"/>
    <cellStyle name="Calculation 3 5 2 5 15" xfId="31244"/>
    <cellStyle name="Calculation 3 5 2 5 16" xfId="32253"/>
    <cellStyle name="Calculation 3 5 2 5 17" xfId="33256"/>
    <cellStyle name="Calculation 3 5 2 5 18" xfId="34255"/>
    <cellStyle name="Calculation 3 5 2 5 19" xfId="35876"/>
    <cellStyle name="Calculation 3 5 2 5 2" xfId="16279"/>
    <cellStyle name="Calculation 3 5 2 5 20" xfId="36815"/>
    <cellStyle name="Calculation 3 5 2 5 3" xfId="17257"/>
    <cellStyle name="Calculation 3 5 2 5 4" xfId="18285"/>
    <cellStyle name="Calculation 3 5 2 5 5" xfId="19317"/>
    <cellStyle name="Calculation 3 5 2 5 6" xfId="20339"/>
    <cellStyle name="Calculation 3 5 2 5 7" xfId="21348"/>
    <cellStyle name="Calculation 3 5 2 5 8" xfId="22322"/>
    <cellStyle name="Calculation 3 5 2 5 9" xfId="23327"/>
    <cellStyle name="Calculation 3 5 2 6" xfId="13714"/>
    <cellStyle name="Calculation 3 5 2 7" xfId="14378"/>
    <cellStyle name="Calculation 3 5 2 8" xfId="14307"/>
    <cellStyle name="Calculation 3 5 2 9" xfId="13803"/>
    <cellStyle name="Calculation 3 5 20" xfId="27426"/>
    <cellStyle name="Calculation 3 5 21" xfId="26976"/>
    <cellStyle name="Calculation 3 5 22" xfId="34934"/>
    <cellStyle name="Calculation 3 5 23" xfId="35368"/>
    <cellStyle name="Calculation 3 5 3" xfId="1030"/>
    <cellStyle name="Calculation 3 5 3 10" xfId="13590"/>
    <cellStyle name="Calculation 3 5 3 11" xfId="19916"/>
    <cellStyle name="Calculation 3 5 3 12" xfId="26375"/>
    <cellStyle name="Calculation 3 5 3 13" xfId="27707"/>
    <cellStyle name="Calculation 3 5 3 14" xfId="26496"/>
    <cellStyle name="Calculation 3 5 3 15" xfId="26545"/>
    <cellStyle name="Calculation 3 5 3 16" xfId="26972"/>
    <cellStyle name="Calculation 3 5 3 17" xfId="27005"/>
    <cellStyle name="Calculation 3 5 3 18" xfId="35066"/>
    <cellStyle name="Calculation 3 5 3 19" xfId="35431"/>
    <cellStyle name="Calculation 3 5 3 2" xfId="1031"/>
    <cellStyle name="Calculation 3 5 3 2 10" xfId="23328"/>
    <cellStyle name="Calculation 3 5 3 2 11" xfId="24300"/>
    <cellStyle name="Calculation 3 5 3 2 12" xfId="25299"/>
    <cellStyle name="Calculation 3 5 3 2 13" xfId="28244"/>
    <cellStyle name="Calculation 3 5 3 2 14" xfId="29213"/>
    <cellStyle name="Calculation 3 5 3 2 15" xfId="30252"/>
    <cellStyle name="Calculation 3 5 3 2 16" xfId="31245"/>
    <cellStyle name="Calculation 3 5 3 2 17" xfId="32254"/>
    <cellStyle name="Calculation 3 5 3 2 18" xfId="33257"/>
    <cellStyle name="Calculation 3 5 3 2 19" xfId="34256"/>
    <cellStyle name="Calculation 3 5 3 2 2" xfId="1032"/>
    <cellStyle name="Calculation 3 5 3 2 2 10" xfId="24301"/>
    <cellStyle name="Calculation 3 5 3 2 2 11" xfId="25300"/>
    <cellStyle name="Calculation 3 5 3 2 2 12" xfId="28245"/>
    <cellStyle name="Calculation 3 5 3 2 2 13" xfId="29214"/>
    <cellStyle name="Calculation 3 5 3 2 2 14" xfId="30253"/>
    <cellStyle name="Calculation 3 5 3 2 2 15" xfId="31246"/>
    <cellStyle name="Calculation 3 5 3 2 2 16" xfId="32255"/>
    <cellStyle name="Calculation 3 5 3 2 2 17" xfId="33258"/>
    <cellStyle name="Calculation 3 5 3 2 2 18" xfId="34257"/>
    <cellStyle name="Calculation 3 5 3 2 2 19" xfId="35878"/>
    <cellStyle name="Calculation 3 5 3 2 2 2" xfId="16281"/>
    <cellStyle name="Calculation 3 5 3 2 2 20" xfId="36817"/>
    <cellStyle name="Calculation 3 5 3 2 2 3" xfId="17259"/>
    <cellStyle name="Calculation 3 5 3 2 2 4" xfId="18287"/>
    <cellStyle name="Calculation 3 5 3 2 2 5" xfId="19319"/>
    <cellStyle name="Calculation 3 5 3 2 2 6" xfId="20341"/>
    <cellStyle name="Calculation 3 5 3 2 2 7" xfId="21350"/>
    <cellStyle name="Calculation 3 5 3 2 2 8" xfId="22324"/>
    <cellStyle name="Calculation 3 5 3 2 2 9" xfId="23329"/>
    <cellStyle name="Calculation 3 5 3 2 20" xfId="35877"/>
    <cellStyle name="Calculation 3 5 3 2 21" xfId="36816"/>
    <cellStyle name="Calculation 3 5 3 2 3" xfId="16280"/>
    <cellStyle name="Calculation 3 5 3 2 4" xfId="17258"/>
    <cellStyle name="Calculation 3 5 3 2 5" xfId="18286"/>
    <cellStyle name="Calculation 3 5 3 2 6" xfId="19318"/>
    <cellStyle name="Calculation 3 5 3 2 7" xfId="20340"/>
    <cellStyle name="Calculation 3 5 3 2 8" xfId="21349"/>
    <cellStyle name="Calculation 3 5 3 2 9" xfId="22323"/>
    <cellStyle name="Calculation 3 5 3 3" xfId="1033"/>
    <cellStyle name="Calculation 3 5 3 3 10" xfId="23330"/>
    <cellStyle name="Calculation 3 5 3 3 11" xfId="24302"/>
    <cellStyle name="Calculation 3 5 3 3 12" xfId="25301"/>
    <cellStyle name="Calculation 3 5 3 3 13" xfId="28246"/>
    <cellStyle name="Calculation 3 5 3 3 14" xfId="29215"/>
    <cellStyle name="Calculation 3 5 3 3 15" xfId="30254"/>
    <cellStyle name="Calculation 3 5 3 3 16" xfId="31247"/>
    <cellStyle name="Calculation 3 5 3 3 17" xfId="32256"/>
    <cellStyle name="Calculation 3 5 3 3 18" xfId="33259"/>
    <cellStyle name="Calculation 3 5 3 3 19" xfId="34258"/>
    <cellStyle name="Calculation 3 5 3 3 2" xfId="1034"/>
    <cellStyle name="Calculation 3 5 3 3 2 10" xfId="24303"/>
    <cellStyle name="Calculation 3 5 3 3 2 11" xfId="25302"/>
    <cellStyle name="Calculation 3 5 3 3 2 12" xfId="28247"/>
    <cellStyle name="Calculation 3 5 3 3 2 13" xfId="29216"/>
    <cellStyle name="Calculation 3 5 3 3 2 14" xfId="30255"/>
    <cellStyle name="Calculation 3 5 3 3 2 15" xfId="31248"/>
    <cellStyle name="Calculation 3 5 3 3 2 16" xfId="32257"/>
    <cellStyle name="Calculation 3 5 3 3 2 17" xfId="33260"/>
    <cellStyle name="Calculation 3 5 3 3 2 18" xfId="34259"/>
    <cellStyle name="Calculation 3 5 3 3 2 19" xfId="35880"/>
    <cellStyle name="Calculation 3 5 3 3 2 2" xfId="16283"/>
    <cellStyle name="Calculation 3 5 3 3 2 20" xfId="36819"/>
    <cellStyle name="Calculation 3 5 3 3 2 3" xfId="17261"/>
    <cellStyle name="Calculation 3 5 3 3 2 4" xfId="18289"/>
    <cellStyle name="Calculation 3 5 3 3 2 5" xfId="19321"/>
    <cellStyle name="Calculation 3 5 3 3 2 6" xfId="20343"/>
    <cellStyle name="Calculation 3 5 3 3 2 7" xfId="21352"/>
    <cellStyle name="Calculation 3 5 3 3 2 8" xfId="22326"/>
    <cellStyle name="Calculation 3 5 3 3 2 9" xfId="23331"/>
    <cellStyle name="Calculation 3 5 3 3 20" xfId="35879"/>
    <cellStyle name="Calculation 3 5 3 3 21" xfId="36818"/>
    <cellStyle name="Calculation 3 5 3 3 3" xfId="16282"/>
    <cellStyle name="Calculation 3 5 3 3 4" xfId="17260"/>
    <cellStyle name="Calculation 3 5 3 3 5" xfId="18288"/>
    <cellStyle name="Calculation 3 5 3 3 6" xfId="19320"/>
    <cellStyle name="Calculation 3 5 3 3 7" xfId="20342"/>
    <cellStyle name="Calculation 3 5 3 3 8" xfId="21351"/>
    <cellStyle name="Calculation 3 5 3 3 9" xfId="22325"/>
    <cellStyle name="Calculation 3 5 3 4" xfId="1035"/>
    <cellStyle name="Calculation 3 5 3 4 10" xfId="23332"/>
    <cellStyle name="Calculation 3 5 3 4 11" xfId="24304"/>
    <cellStyle name="Calculation 3 5 3 4 12" xfId="25303"/>
    <cellStyle name="Calculation 3 5 3 4 13" xfId="28248"/>
    <cellStyle name="Calculation 3 5 3 4 14" xfId="29217"/>
    <cellStyle name="Calculation 3 5 3 4 15" xfId="30256"/>
    <cellStyle name="Calculation 3 5 3 4 16" xfId="31249"/>
    <cellStyle name="Calculation 3 5 3 4 17" xfId="32258"/>
    <cellStyle name="Calculation 3 5 3 4 18" xfId="33261"/>
    <cellStyle name="Calculation 3 5 3 4 19" xfId="34260"/>
    <cellStyle name="Calculation 3 5 3 4 2" xfId="1036"/>
    <cellStyle name="Calculation 3 5 3 4 2 10" xfId="24305"/>
    <cellStyle name="Calculation 3 5 3 4 2 11" xfId="25304"/>
    <cellStyle name="Calculation 3 5 3 4 2 12" xfId="28249"/>
    <cellStyle name="Calculation 3 5 3 4 2 13" xfId="29218"/>
    <cellStyle name="Calculation 3 5 3 4 2 14" xfId="30257"/>
    <cellStyle name="Calculation 3 5 3 4 2 15" xfId="31250"/>
    <cellStyle name="Calculation 3 5 3 4 2 16" xfId="32259"/>
    <cellStyle name="Calculation 3 5 3 4 2 17" xfId="33262"/>
    <cellStyle name="Calculation 3 5 3 4 2 18" xfId="34261"/>
    <cellStyle name="Calculation 3 5 3 4 2 19" xfId="35882"/>
    <cellStyle name="Calculation 3 5 3 4 2 2" xfId="16285"/>
    <cellStyle name="Calculation 3 5 3 4 2 20" xfId="36821"/>
    <cellStyle name="Calculation 3 5 3 4 2 3" xfId="17263"/>
    <cellStyle name="Calculation 3 5 3 4 2 4" xfId="18291"/>
    <cellStyle name="Calculation 3 5 3 4 2 5" xfId="19323"/>
    <cellStyle name="Calculation 3 5 3 4 2 6" xfId="20345"/>
    <cellStyle name="Calculation 3 5 3 4 2 7" xfId="21354"/>
    <cellStyle name="Calculation 3 5 3 4 2 8" xfId="22328"/>
    <cellStyle name="Calculation 3 5 3 4 2 9" xfId="23333"/>
    <cellStyle name="Calculation 3 5 3 4 20" xfId="35881"/>
    <cellStyle name="Calculation 3 5 3 4 21" xfId="36820"/>
    <cellStyle name="Calculation 3 5 3 4 3" xfId="16284"/>
    <cellStyle name="Calculation 3 5 3 4 4" xfId="17262"/>
    <cellStyle name="Calculation 3 5 3 4 5" xfId="18290"/>
    <cellStyle name="Calculation 3 5 3 4 6" xfId="19322"/>
    <cellStyle name="Calculation 3 5 3 4 7" xfId="20344"/>
    <cellStyle name="Calculation 3 5 3 4 8" xfId="21353"/>
    <cellStyle name="Calculation 3 5 3 4 9" xfId="22327"/>
    <cellStyle name="Calculation 3 5 3 5" xfId="1037"/>
    <cellStyle name="Calculation 3 5 3 5 10" xfId="24306"/>
    <cellStyle name="Calculation 3 5 3 5 11" xfId="25305"/>
    <cellStyle name="Calculation 3 5 3 5 12" xfId="28250"/>
    <cellStyle name="Calculation 3 5 3 5 13" xfId="29219"/>
    <cellStyle name="Calculation 3 5 3 5 14" xfId="30258"/>
    <cellStyle name="Calculation 3 5 3 5 15" xfId="31251"/>
    <cellStyle name="Calculation 3 5 3 5 16" xfId="32260"/>
    <cellStyle name="Calculation 3 5 3 5 17" xfId="33263"/>
    <cellStyle name="Calculation 3 5 3 5 18" xfId="34262"/>
    <cellStyle name="Calculation 3 5 3 5 19" xfId="35883"/>
    <cellStyle name="Calculation 3 5 3 5 2" xfId="16286"/>
    <cellStyle name="Calculation 3 5 3 5 20" xfId="36822"/>
    <cellStyle name="Calculation 3 5 3 5 3" xfId="17264"/>
    <cellStyle name="Calculation 3 5 3 5 4" xfId="18292"/>
    <cellStyle name="Calculation 3 5 3 5 5" xfId="19324"/>
    <cellStyle name="Calculation 3 5 3 5 6" xfId="20346"/>
    <cellStyle name="Calculation 3 5 3 5 7" xfId="21355"/>
    <cellStyle name="Calculation 3 5 3 5 8" xfId="22329"/>
    <cellStyle name="Calculation 3 5 3 5 9" xfId="23334"/>
    <cellStyle name="Calculation 3 5 3 6" xfId="15407"/>
    <cellStyle name="Calculation 3 5 3 7" xfId="14135"/>
    <cellStyle name="Calculation 3 5 3 8" xfId="15424"/>
    <cellStyle name="Calculation 3 5 3 9" xfId="14220"/>
    <cellStyle name="Calculation 3 5 4" xfId="1038"/>
    <cellStyle name="Calculation 3 5 4 10" xfId="15066"/>
    <cellStyle name="Calculation 3 5 4 11" xfId="13871"/>
    <cellStyle name="Calculation 3 5 4 12" xfId="26346"/>
    <cellStyle name="Calculation 3 5 4 13" xfId="27147"/>
    <cellStyle name="Calculation 3 5 4 14" xfId="27838"/>
    <cellStyle name="Calculation 3 5 4 15" xfId="26214"/>
    <cellStyle name="Calculation 3 5 4 16" xfId="26974"/>
    <cellStyle name="Calculation 3 5 4 17" xfId="26990"/>
    <cellStyle name="Calculation 3 5 4 18" xfId="35040"/>
    <cellStyle name="Calculation 3 5 4 19" xfId="35302"/>
    <cellStyle name="Calculation 3 5 4 2" xfId="1039"/>
    <cellStyle name="Calculation 3 5 4 2 10" xfId="23335"/>
    <cellStyle name="Calculation 3 5 4 2 11" xfId="24307"/>
    <cellStyle name="Calculation 3 5 4 2 12" xfId="25306"/>
    <cellStyle name="Calculation 3 5 4 2 13" xfId="28251"/>
    <cellStyle name="Calculation 3 5 4 2 14" xfId="29220"/>
    <cellStyle name="Calculation 3 5 4 2 15" xfId="30259"/>
    <cellStyle name="Calculation 3 5 4 2 16" xfId="31252"/>
    <cellStyle name="Calculation 3 5 4 2 17" xfId="32261"/>
    <cellStyle name="Calculation 3 5 4 2 18" xfId="33264"/>
    <cellStyle name="Calculation 3 5 4 2 19" xfId="34263"/>
    <cellStyle name="Calculation 3 5 4 2 2" xfId="1040"/>
    <cellStyle name="Calculation 3 5 4 2 2 10" xfId="24308"/>
    <cellStyle name="Calculation 3 5 4 2 2 11" xfId="25307"/>
    <cellStyle name="Calculation 3 5 4 2 2 12" xfId="28252"/>
    <cellStyle name="Calculation 3 5 4 2 2 13" xfId="29221"/>
    <cellStyle name="Calculation 3 5 4 2 2 14" xfId="30260"/>
    <cellStyle name="Calculation 3 5 4 2 2 15" xfId="31253"/>
    <cellStyle name="Calculation 3 5 4 2 2 16" xfId="32262"/>
    <cellStyle name="Calculation 3 5 4 2 2 17" xfId="33265"/>
    <cellStyle name="Calculation 3 5 4 2 2 18" xfId="34264"/>
    <cellStyle name="Calculation 3 5 4 2 2 19" xfId="35885"/>
    <cellStyle name="Calculation 3 5 4 2 2 2" xfId="16288"/>
    <cellStyle name="Calculation 3 5 4 2 2 20" xfId="36824"/>
    <cellStyle name="Calculation 3 5 4 2 2 3" xfId="17266"/>
    <cellStyle name="Calculation 3 5 4 2 2 4" xfId="18294"/>
    <cellStyle name="Calculation 3 5 4 2 2 5" xfId="19326"/>
    <cellStyle name="Calculation 3 5 4 2 2 6" xfId="20348"/>
    <cellStyle name="Calculation 3 5 4 2 2 7" xfId="21357"/>
    <cellStyle name="Calculation 3 5 4 2 2 8" xfId="22331"/>
    <cellStyle name="Calculation 3 5 4 2 2 9" xfId="23336"/>
    <cellStyle name="Calculation 3 5 4 2 20" xfId="35884"/>
    <cellStyle name="Calculation 3 5 4 2 21" xfId="36823"/>
    <cellStyle name="Calculation 3 5 4 2 3" xfId="16287"/>
    <cellStyle name="Calculation 3 5 4 2 4" xfId="17265"/>
    <cellStyle name="Calculation 3 5 4 2 5" xfId="18293"/>
    <cellStyle name="Calculation 3 5 4 2 6" xfId="19325"/>
    <cellStyle name="Calculation 3 5 4 2 7" xfId="20347"/>
    <cellStyle name="Calculation 3 5 4 2 8" xfId="21356"/>
    <cellStyle name="Calculation 3 5 4 2 9" xfId="22330"/>
    <cellStyle name="Calculation 3 5 4 3" xfId="1041"/>
    <cellStyle name="Calculation 3 5 4 3 10" xfId="23337"/>
    <cellStyle name="Calculation 3 5 4 3 11" xfId="24309"/>
    <cellStyle name="Calculation 3 5 4 3 12" xfId="25308"/>
    <cellStyle name="Calculation 3 5 4 3 13" xfId="28253"/>
    <cellStyle name="Calculation 3 5 4 3 14" xfId="29222"/>
    <cellStyle name="Calculation 3 5 4 3 15" xfId="30261"/>
    <cellStyle name="Calculation 3 5 4 3 16" xfId="31254"/>
    <cellStyle name="Calculation 3 5 4 3 17" xfId="32263"/>
    <cellStyle name="Calculation 3 5 4 3 18" xfId="33266"/>
    <cellStyle name="Calculation 3 5 4 3 19" xfId="34265"/>
    <cellStyle name="Calculation 3 5 4 3 2" xfId="1042"/>
    <cellStyle name="Calculation 3 5 4 3 2 10" xfId="24310"/>
    <cellStyle name="Calculation 3 5 4 3 2 11" xfId="25309"/>
    <cellStyle name="Calculation 3 5 4 3 2 12" xfId="28254"/>
    <cellStyle name="Calculation 3 5 4 3 2 13" xfId="29223"/>
    <cellStyle name="Calculation 3 5 4 3 2 14" xfId="30262"/>
    <cellStyle name="Calculation 3 5 4 3 2 15" xfId="31255"/>
    <cellStyle name="Calculation 3 5 4 3 2 16" xfId="32264"/>
    <cellStyle name="Calculation 3 5 4 3 2 17" xfId="33267"/>
    <cellStyle name="Calculation 3 5 4 3 2 18" xfId="34266"/>
    <cellStyle name="Calculation 3 5 4 3 2 19" xfId="35887"/>
    <cellStyle name="Calculation 3 5 4 3 2 2" xfId="16290"/>
    <cellStyle name="Calculation 3 5 4 3 2 20" xfId="36826"/>
    <cellStyle name="Calculation 3 5 4 3 2 3" xfId="17268"/>
    <cellStyle name="Calculation 3 5 4 3 2 4" xfId="18296"/>
    <cellStyle name="Calculation 3 5 4 3 2 5" xfId="19328"/>
    <cellStyle name="Calculation 3 5 4 3 2 6" xfId="20350"/>
    <cellStyle name="Calculation 3 5 4 3 2 7" xfId="21359"/>
    <cellStyle name="Calculation 3 5 4 3 2 8" xfId="22333"/>
    <cellStyle name="Calculation 3 5 4 3 2 9" xfId="23338"/>
    <cellStyle name="Calculation 3 5 4 3 20" xfId="35886"/>
    <cellStyle name="Calculation 3 5 4 3 21" xfId="36825"/>
    <cellStyle name="Calculation 3 5 4 3 3" xfId="16289"/>
    <cellStyle name="Calculation 3 5 4 3 4" xfId="17267"/>
    <cellStyle name="Calculation 3 5 4 3 5" xfId="18295"/>
    <cellStyle name="Calculation 3 5 4 3 6" xfId="19327"/>
    <cellStyle name="Calculation 3 5 4 3 7" xfId="20349"/>
    <cellStyle name="Calculation 3 5 4 3 8" xfId="21358"/>
    <cellStyle name="Calculation 3 5 4 3 9" xfId="22332"/>
    <cellStyle name="Calculation 3 5 4 4" xfId="1043"/>
    <cellStyle name="Calculation 3 5 4 4 10" xfId="23339"/>
    <cellStyle name="Calculation 3 5 4 4 11" xfId="24311"/>
    <cellStyle name="Calculation 3 5 4 4 12" xfId="25310"/>
    <cellStyle name="Calculation 3 5 4 4 13" xfId="28255"/>
    <cellStyle name="Calculation 3 5 4 4 14" xfId="29224"/>
    <cellStyle name="Calculation 3 5 4 4 15" xfId="30263"/>
    <cellStyle name="Calculation 3 5 4 4 16" xfId="31256"/>
    <cellStyle name="Calculation 3 5 4 4 17" xfId="32265"/>
    <cellStyle name="Calculation 3 5 4 4 18" xfId="33268"/>
    <cellStyle name="Calculation 3 5 4 4 19" xfId="34267"/>
    <cellStyle name="Calculation 3 5 4 4 2" xfId="1044"/>
    <cellStyle name="Calculation 3 5 4 4 2 10" xfId="24312"/>
    <cellStyle name="Calculation 3 5 4 4 2 11" xfId="25311"/>
    <cellStyle name="Calculation 3 5 4 4 2 12" xfId="28256"/>
    <cellStyle name="Calculation 3 5 4 4 2 13" xfId="29225"/>
    <cellStyle name="Calculation 3 5 4 4 2 14" xfId="30264"/>
    <cellStyle name="Calculation 3 5 4 4 2 15" xfId="31257"/>
    <cellStyle name="Calculation 3 5 4 4 2 16" xfId="32266"/>
    <cellStyle name="Calculation 3 5 4 4 2 17" xfId="33269"/>
    <cellStyle name="Calculation 3 5 4 4 2 18" xfId="34268"/>
    <cellStyle name="Calculation 3 5 4 4 2 19" xfId="35889"/>
    <cellStyle name="Calculation 3 5 4 4 2 2" xfId="16292"/>
    <cellStyle name="Calculation 3 5 4 4 2 20" xfId="36828"/>
    <cellStyle name="Calculation 3 5 4 4 2 3" xfId="17270"/>
    <cellStyle name="Calculation 3 5 4 4 2 4" xfId="18298"/>
    <cellStyle name="Calculation 3 5 4 4 2 5" xfId="19330"/>
    <cellStyle name="Calculation 3 5 4 4 2 6" xfId="20352"/>
    <cellStyle name="Calculation 3 5 4 4 2 7" xfId="21361"/>
    <cellStyle name="Calculation 3 5 4 4 2 8" xfId="22335"/>
    <cellStyle name="Calculation 3 5 4 4 2 9" xfId="23340"/>
    <cellStyle name="Calculation 3 5 4 4 20" xfId="35888"/>
    <cellStyle name="Calculation 3 5 4 4 21" xfId="36827"/>
    <cellStyle name="Calculation 3 5 4 4 3" xfId="16291"/>
    <cellStyle name="Calculation 3 5 4 4 4" xfId="17269"/>
    <cellStyle name="Calculation 3 5 4 4 5" xfId="18297"/>
    <cellStyle name="Calculation 3 5 4 4 6" xfId="19329"/>
    <cellStyle name="Calculation 3 5 4 4 7" xfId="20351"/>
    <cellStyle name="Calculation 3 5 4 4 8" xfId="21360"/>
    <cellStyle name="Calculation 3 5 4 4 9" xfId="22334"/>
    <cellStyle name="Calculation 3 5 4 5" xfId="1045"/>
    <cellStyle name="Calculation 3 5 4 5 10" xfId="24313"/>
    <cellStyle name="Calculation 3 5 4 5 11" xfId="25312"/>
    <cellStyle name="Calculation 3 5 4 5 12" xfId="28257"/>
    <cellStyle name="Calculation 3 5 4 5 13" xfId="29226"/>
    <cellStyle name="Calculation 3 5 4 5 14" xfId="30265"/>
    <cellStyle name="Calculation 3 5 4 5 15" xfId="31258"/>
    <cellStyle name="Calculation 3 5 4 5 16" xfId="32267"/>
    <cellStyle name="Calculation 3 5 4 5 17" xfId="33270"/>
    <cellStyle name="Calculation 3 5 4 5 18" xfId="34269"/>
    <cellStyle name="Calculation 3 5 4 5 19" xfId="35890"/>
    <cellStyle name="Calculation 3 5 4 5 2" xfId="16293"/>
    <cellStyle name="Calculation 3 5 4 5 20" xfId="36829"/>
    <cellStyle name="Calculation 3 5 4 5 3" xfId="17271"/>
    <cellStyle name="Calculation 3 5 4 5 4" xfId="18299"/>
    <cellStyle name="Calculation 3 5 4 5 5" xfId="19331"/>
    <cellStyle name="Calculation 3 5 4 5 6" xfId="20353"/>
    <cellStyle name="Calculation 3 5 4 5 7" xfId="21362"/>
    <cellStyle name="Calculation 3 5 4 5 8" xfId="22336"/>
    <cellStyle name="Calculation 3 5 4 5 9" xfId="23341"/>
    <cellStyle name="Calculation 3 5 4 6" xfId="15161"/>
    <cellStyle name="Calculation 3 5 4 7" xfId="13462"/>
    <cellStyle name="Calculation 3 5 4 8" xfId="15580"/>
    <cellStyle name="Calculation 3 5 4 9" xfId="14588"/>
    <cellStyle name="Calculation 3 5 5" xfId="1046"/>
    <cellStyle name="Calculation 3 5 5 10" xfId="15325"/>
    <cellStyle name="Calculation 3 5 5 11" xfId="15572"/>
    <cellStyle name="Calculation 3 5 5 12" xfId="26447"/>
    <cellStyle name="Calculation 3 5 5 13" xfId="27681"/>
    <cellStyle name="Calculation 3 5 5 14" xfId="26164"/>
    <cellStyle name="Calculation 3 5 5 15" xfId="26259"/>
    <cellStyle name="Calculation 3 5 5 16" xfId="27827"/>
    <cellStyle name="Calculation 3 5 5 17" xfId="26798"/>
    <cellStyle name="Calculation 3 5 5 18" xfId="35130"/>
    <cellStyle name="Calculation 3 5 5 19" xfId="35240"/>
    <cellStyle name="Calculation 3 5 5 2" xfId="1047"/>
    <cellStyle name="Calculation 3 5 5 2 10" xfId="23342"/>
    <cellStyle name="Calculation 3 5 5 2 11" xfId="24314"/>
    <cellStyle name="Calculation 3 5 5 2 12" xfId="25313"/>
    <cellStyle name="Calculation 3 5 5 2 13" xfId="28258"/>
    <cellStyle name="Calculation 3 5 5 2 14" xfId="29227"/>
    <cellStyle name="Calculation 3 5 5 2 15" xfId="30266"/>
    <cellStyle name="Calculation 3 5 5 2 16" xfId="31259"/>
    <cellStyle name="Calculation 3 5 5 2 17" xfId="32268"/>
    <cellStyle name="Calculation 3 5 5 2 18" xfId="33271"/>
    <cellStyle name="Calculation 3 5 5 2 19" xfId="34270"/>
    <cellStyle name="Calculation 3 5 5 2 2" xfId="1048"/>
    <cellStyle name="Calculation 3 5 5 2 2 10" xfId="24315"/>
    <cellStyle name="Calculation 3 5 5 2 2 11" xfId="25314"/>
    <cellStyle name="Calculation 3 5 5 2 2 12" xfId="28259"/>
    <cellStyle name="Calculation 3 5 5 2 2 13" xfId="29228"/>
    <cellStyle name="Calculation 3 5 5 2 2 14" xfId="30267"/>
    <cellStyle name="Calculation 3 5 5 2 2 15" xfId="31260"/>
    <cellStyle name="Calculation 3 5 5 2 2 16" xfId="32269"/>
    <cellStyle name="Calculation 3 5 5 2 2 17" xfId="33272"/>
    <cellStyle name="Calculation 3 5 5 2 2 18" xfId="34271"/>
    <cellStyle name="Calculation 3 5 5 2 2 19" xfId="35892"/>
    <cellStyle name="Calculation 3 5 5 2 2 2" xfId="16295"/>
    <cellStyle name="Calculation 3 5 5 2 2 20" xfId="36831"/>
    <cellStyle name="Calculation 3 5 5 2 2 3" xfId="17273"/>
    <cellStyle name="Calculation 3 5 5 2 2 4" xfId="18301"/>
    <cellStyle name="Calculation 3 5 5 2 2 5" xfId="19333"/>
    <cellStyle name="Calculation 3 5 5 2 2 6" xfId="20355"/>
    <cellStyle name="Calculation 3 5 5 2 2 7" xfId="21364"/>
    <cellStyle name="Calculation 3 5 5 2 2 8" xfId="22338"/>
    <cellStyle name="Calculation 3 5 5 2 2 9" xfId="23343"/>
    <cellStyle name="Calculation 3 5 5 2 20" xfId="35891"/>
    <cellStyle name="Calculation 3 5 5 2 21" xfId="36830"/>
    <cellStyle name="Calculation 3 5 5 2 3" xfId="16294"/>
    <cellStyle name="Calculation 3 5 5 2 4" xfId="17272"/>
    <cellStyle name="Calculation 3 5 5 2 5" xfId="18300"/>
    <cellStyle name="Calculation 3 5 5 2 6" xfId="19332"/>
    <cellStyle name="Calculation 3 5 5 2 7" xfId="20354"/>
    <cellStyle name="Calculation 3 5 5 2 8" xfId="21363"/>
    <cellStyle name="Calculation 3 5 5 2 9" xfId="22337"/>
    <cellStyle name="Calculation 3 5 5 3" xfId="1049"/>
    <cellStyle name="Calculation 3 5 5 3 10" xfId="23344"/>
    <cellStyle name="Calculation 3 5 5 3 11" xfId="24316"/>
    <cellStyle name="Calculation 3 5 5 3 12" xfId="25315"/>
    <cellStyle name="Calculation 3 5 5 3 13" xfId="28260"/>
    <cellStyle name="Calculation 3 5 5 3 14" xfId="29229"/>
    <cellStyle name="Calculation 3 5 5 3 15" xfId="30268"/>
    <cellStyle name="Calculation 3 5 5 3 16" xfId="31261"/>
    <cellStyle name="Calculation 3 5 5 3 17" xfId="32270"/>
    <cellStyle name="Calculation 3 5 5 3 18" xfId="33273"/>
    <cellStyle name="Calculation 3 5 5 3 19" xfId="34272"/>
    <cellStyle name="Calculation 3 5 5 3 2" xfId="1050"/>
    <cellStyle name="Calculation 3 5 5 3 2 10" xfId="24317"/>
    <cellStyle name="Calculation 3 5 5 3 2 11" xfId="25316"/>
    <cellStyle name="Calculation 3 5 5 3 2 12" xfId="28261"/>
    <cellStyle name="Calculation 3 5 5 3 2 13" xfId="29230"/>
    <cellStyle name="Calculation 3 5 5 3 2 14" xfId="30269"/>
    <cellStyle name="Calculation 3 5 5 3 2 15" xfId="31262"/>
    <cellStyle name="Calculation 3 5 5 3 2 16" xfId="32271"/>
    <cellStyle name="Calculation 3 5 5 3 2 17" xfId="33274"/>
    <cellStyle name="Calculation 3 5 5 3 2 18" xfId="34273"/>
    <cellStyle name="Calculation 3 5 5 3 2 19" xfId="35894"/>
    <cellStyle name="Calculation 3 5 5 3 2 2" xfId="16297"/>
    <cellStyle name="Calculation 3 5 5 3 2 20" xfId="36833"/>
    <cellStyle name="Calculation 3 5 5 3 2 3" xfId="17275"/>
    <cellStyle name="Calculation 3 5 5 3 2 4" xfId="18303"/>
    <cellStyle name="Calculation 3 5 5 3 2 5" xfId="19335"/>
    <cellStyle name="Calculation 3 5 5 3 2 6" xfId="20357"/>
    <cellStyle name="Calculation 3 5 5 3 2 7" xfId="21366"/>
    <cellStyle name="Calculation 3 5 5 3 2 8" xfId="22340"/>
    <cellStyle name="Calculation 3 5 5 3 2 9" xfId="23345"/>
    <cellStyle name="Calculation 3 5 5 3 20" xfId="35893"/>
    <cellStyle name="Calculation 3 5 5 3 21" xfId="36832"/>
    <cellStyle name="Calculation 3 5 5 3 3" xfId="16296"/>
    <cellStyle name="Calculation 3 5 5 3 4" xfId="17274"/>
    <cellStyle name="Calculation 3 5 5 3 5" xfId="18302"/>
    <cellStyle name="Calculation 3 5 5 3 6" xfId="19334"/>
    <cellStyle name="Calculation 3 5 5 3 7" xfId="20356"/>
    <cellStyle name="Calculation 3 5 5 3 8" xfId="21365"/>
    <cellStyle name="Calculation 3 5 5 3 9" xfId="22339"/>
    <cellStyle name="Calculation 3 5 5 4" xfId="1051"/>
    <cellStyle name="Calculation 3 5 5 4 10" xfId="23346"/>
    <cellStyle name="Calculation 3 5 5 4 11" xfId="24318"/>
    <cellStyle name="Calculation 3 5 5 4 12" xfId="25317"/>
    <cellStyle name="Calculation 3 5 5 4 13" xfId="28262"/>
    <cellStyle name="Calculation 3 5 5 4 14" xfId="29231"/>
    <cellStyle name="Calculation 3 5 5 4 15" xfId="30270"/>
    <cellStyle name="Calculation 3 5 5 4 16" xfId="31263"/>
    <cellStyle name="Calculation 3 5 5 4 17" xfId="32272"/>
    <cellStyle name="Calculation 3 5 5 4 18" xfId="33275"/>
    <cellStyle name="Calculation 3 5 5 4 19" xfId="34274"/>
    <cellStyle name="Calculation 3 5 5 4 2" xfId="1052"/>
    <cellStyle name="Calculation 3 5 5 4 2 10" xfId="24319"/>
    <cellStyle name="Calculation 3 5 5 4 2 11" xfId="25318"/>
    <cellStyle name="Calculation 3 5 5 4 2 12" xfId="28263"/>
    <cellStyle name="Calculation 3 5 5 4 2 13" xfId="29232"/>
    <cellStyle name="Calculation 3 5 5 4 2 14" xfId="30271"/>
    <cellStyle name="Calculation 3 5 5 4 2 15" xfId="31264"/>
    <cellStyle name="Calculation 3 5 5 4 2 16" xfId="32273"/>
    <cellStyle name="Calculation 3 5 5 4 2 17" xfId="33276"/>
    <cellStyle name="Calculation 3 5 5 4 2 18" xfId="34275"/>
    <cellStyle name="Calculation 3 5 5 4 2 19" xfId="35896"/>
    <cellStyle name="Calculation 3 5 5 4 2 2" xfId="16299"/>
    <cellStyle name="Calculation 3 5 5 4 2 20" xfId="36835"/>
    <cellStyle name="Calculation 3 5 5 4 2 3" xfId="17277"/>
    <cellStyle name="Calculation 3 5 5 4 2 4" xfId="18305"/>
    <cellStyle name="Calculation 3 5 5 4 2 5" xfId="19337"/>
    <cellStyle name="Calculation 3 5 5 4 2 6" xfId="20359"/>
    <cellStyle name="Calculation 3 5 5 4 2 7" xfId="21368"/>
    <cellStyle name="Calculation 3 5 5 4 2 8" xfId="22342"/>
    <cellStyle name="Calculation 3 5 5 4 2 9" xfId="23347"/>
    <cellStyle name="Calculation 3 5 5 4 20" xfId="35895"/>
    <cellStyle name="Calculation 3 5 5 4 21" xfId="36834"/>
    <cellStyle name="Calculation 3 5 5 4 3" xfId="16298"/>
    <cellStyle name="Calculation 3 5 5 4 4" xfId="17276"/>
    <cellStyle name="Calculation 3 5 5 4 5" xfId="18304"/>
    <cellStyle name="Calculation 3 5 5 4 6" xfId="19336"/>
    <cellStyle name="Calculation 3 5 5 4 7" xfId="20358"/>
    <cellStyle name="Calculation 3 5 5 4 8" xfId="21367"/>
    <cellStyle name="Calculation 3 5 5 4 9" xfId="22341"/>
    <cellStyle name="Calculation 3 5 5 5" xfId="1053"/>
    <cellStyle name="Calculation 3 5 5 5 10" xfId="24320"/>
    <cellStyle name="Calculation 3 5 5 5 11" xfId="25319"/>
    <cellStyle name="Calculation 3 5 5 5 12" xfId="28264"/>
    <cellStyle name="Calculation 3 5 5 5 13" xfId="29233"/>
    <cellStyle name="Calculation 3 5 5 5 14" xfId="30272"/>
    <cellStyle name="Calculation 3 5 5 5 15" xfId="31265"/>
    <cellStyle name="Calculation 3 5 5 5 16" xfId="32274"/>
    <cellStyle name="Calculation 3 5 5 5 17" xfId="33277"/>
    <cellStyle name="Calculation 3 5 5 5 18" xfId="34276"/>
    <cellStyle name="Calculation 3 5 5 5 19" xfId="35897"/>
    <cellStyle name="Calculation 3 5 5 5 2" xfId="16300"/>
    <cellStyle name="Calculation 3 5 5 5 20" xfId="36836"/>
    <cellStyle name="Calculation 3 5 5 5 3" xfId="17278"/>
    <cellStyle name="Calculation 3 5 5 5 4" xfId="18306"/>
    <cellStyle name="Calculation 3 5 5 5 5" xfId="19338"/>
    <cellStyle name="Calculation 3 5 5 5 6" xfId="20360"/>
    <cellStyle name="Calculation 3 5 5 5 7" xfId="21369"/>
    <cellStyle name="Calculation 3 5 5 5 8" xfId="22343"/>
    <cellStyle name="Calculation 3 5 5 5 9" xfId="23348"/>
    <cellStyle name="Calculation 3 5 5 6" xfId="14063"/>
    <cellStyle name="Calculation 3 5 5 7" xfId="14474"/>
    <cellStyle name="Calculation 3 5 5 8" xfId="15554"/>
    <cellStyle name="Calculation 3 5 5 9" xfId="13868"/>
    <cellStyle name="Calculation 3 5 6" xfId="1054"/>
    <cellStyle name="Calculation 3 5 6 10" xfId="23349"/>
    <cellStyle name="Calculation 3 5 6 11" xfId="24321"/>
    <cellStyle name="Calculation 3 5 6 12" xfId="25320"/>
    <cellStyle name="Calculation 3 5 6 13" xfId="28265"/>
    <cellStyle name="Calculation 3 5 6 14" xfId="29234"/>
    <cellStyle name="Calculation 3 5 6 15" xfId="30273"/>
    <cellStyle name="Calculation 3 5 6 16" xfId="31266"/>
    <cellStyle name="Calculation 3 5 6 17" xfId="32275"/>
    <cellStyle name="Calculation 3 5 6 18" xfId="33278"/>
    <cellStyle name="Calculation 3 5 6 19" xfId="34277"/>
    <cellStyle name="Calculation 3 5 6 2" xfId="1055"/>
    <cellStyle name="Calculation 3 5 6 2 10" xfId="24322"/>
    <cellStyle name="Calculation 3 5 6 2 11" xfId="25321"/>
    <cellStyle name="Calculation 3 5 6 2 12" xfId="28266"/>
    <cellStyle name="Calculation 3 5 6 2 13" xfId="29235"/>
    <cellStyle name="Calculation 3 5 6 2 14" xfId="30274"/>
    <cellStyle name="Calculation 3 5 6 2 15" xfId="31267"/>
    <cellStyle name="Calculation 3 5 6 2 16" xfId="32276"/>
    <cellStyle name="Calculation 3 5 6 2 17" xfId="33279"/>
    <cellStyle name="Calculation 3 5 6 2 18" xfId="34278"/>
    <cellStyle name="Calculation 3 5 6 2 19" xfId="35899"/>
    <cellStyle name="Calculation 3 5 6 2 2" xfId="16302"/>
    <cellStyle name="Calculation 3 5 6 2 20" xfId="36838"/>
    <cellStyle name="Calculation 3 5 6 2 3" xfId="17280"/>
    <cellStyle name="Calculation 3 5 6 2 4" xfId="18308"/>
    <cellStyle name="Calculation 3 5 6 2 5" xfId="19340"/>
    <cellStyle name="Calculation 3 5 6 2 6" xfId="20362"/>
    <cellStyle name="Calculation 3 5 6 2 7" xfId="21371"/>
    <cellStyle name="Calculation 3 5 6 2 8" xfId="22345"/>
    <cellStyle name="Calculation 3 5 6 2 9" xfId="23350"/>
    <cellStyle name="Calculation 3 5 6 20" xfId="35898"/>
    <cellStyle name="Calculation 3 5 6 21" xfId="36837"/>
    <cellStyle name="Calculation 3 5 6 3" xfId="16301"/>
    <cellStyle name="Calculation 3 5 6 4" xfId="17279"/>
    <cellStyle name="Calculation 3 5 6 5" xfId="18307"/>
    <cellStyle name="Calculation 3 5 6 6" xfId="19339"/>
    <cellStyle name="Calculation 3 5 6 7" xfId="20361"/>
    <cellStyle name="Calculation 3 5 6 8" xfId="21370"/>
    <cellStyle name="Calculation 3 5 6 9" xfId="22344"/>
    <cellStyle name="Calculation 3 5 7" xfId="1056"/>
    <cellStyle name="Calculation 3 5 7 10" xfId="23351"/>
    <cellStyle name="Calculation 3 5 7 11" xfId="24323"/>
    <cellStyle name="Calculation 3 5 7 12" xfId="25322"/>
    <cellStyle name="Calculation 3 5 7 13" xfId="28267"/>
    <cellStyle name="Calculation 3 5 7 14" xfId="29236"/>
    <cellStyle name="Calculation 3 5 7 15" xfId="30275"/>
    <cellStyle name="Calculation 3 5 7 16" xfId="31268"/>
    <cellStyle name="Calculation 3 5 7 17" xfId="32277"/>
    <cellStyle name="Calculation 3 5 7 18" xfId="33280"/>
    <cellStyle name="Calculation 3 5 7 19" xfId="34279"/>
    <cellStyle name="Calculation 3 5 7 2" xfId="1057"/>
    <cellStyle name="Calculation 3 5 7 2 10" xfId="24324"/>
    <cellStyle name="Calculation 3 5 7 2 11" xfId="25323"/>
    <cellStyle name="Calculation 3 5 7 2 12" xfId="28268"/>
    <cellStyle name="Calculation 3 5 7 2 13" xfId="29237"/>
    <cellStyle name="Calculation 3 5 7 2 14" xfId="30276"/>
    <cellStyle name="Calculation 3 5 7 2 15" xfId="31269"/>
    <cellStyle name="Calculation 3 5 7 2 16" xfId="32278"/>
    <cellStyle name="Calculation 3 5 7 2 17" xfId="33281"/>
    <cellStyle name="Calculation 3 5 7 2 18" xfId="34280"/>
    <cellStyle name="Calculation 3 5 7 2 19" xfId="35901"/>
    <cellStyle name="Calculation 3 5 7 2 2" xfId="16304"/>
    <cellStyle name="Calculation 3 5 7 2 20" xfId="36840"/>
    <cellStyle name="Calculation 3 5 7 2 3" xfId="17282"/>
    <cellStyle name="Calculation 3 5 7 2 4" xfId="18310"/>
    <cellStyle name="Calculation 3 5 7 2 5" xfId="19342"/>
    <cellStyle name="Calculation 3 5 7 2 6" xfId="20364"/>
    <cellStyle name="Calculation 3 5 7 2 7" xfId="21373"/>
    <cellStyle name="Calculation 3 5 7 2 8" xfId="22347"/>
    <cellStyle name="Calculation 3 5 7 2 9" xfId="23352"/>
    <cellStyle name="Calculation 3 5 7 20" xfId="35900"/>
    <cellStyle name="Calculation 3 5 7 21" xfId="36839"/>
    <cellStyle name="Calculation 3 5 7 3" xfId="16303"/>
    <cellStyle name="Calculation 3 5 7 4" xfId="17281"/>
    <cellStyle name="Calculation 3 5 7 5" xfId="18309"/>
    <cellStyle name="Calculation 3 5 7 6" xfId="19341"/>
    <cellStyle name="Calculation 3 5 7 7" xfId="20363"/>
    <cellStyle name="Calculation 3 5 7 8" xfId="21372"/>
    <cellStyle name="Calculation 3 5 7 9" xfId="22346"/>
    <cellStyle name="Calculation 3 5 8" xfId="1058"/>
    <cellStyle name="Calculation 3 5 8 10" xfId="23353"/>
    <cellStyle name="Calculation 3 5 8 11" xfId="24325"/>
    <cellStyle name="Calculation 3 5 8 12" xfId="25324"/>
    <cellStyle name="Calculation 3 5 8 13" xfId="28269"/>
    <cellStyle name="Calculation 3 5 8 14" xfId="29238"/>
    <cellStyle name="Calculation 3 5 8 15" xfId="30277"/>
    <cellStyle name="Calculation 3 5 8 16" xfId="31270"/>
    <cellStyle name="Calculation 3 5 8 17" xfId="32279"/>
    <cellStyle name="Calculation 3 5 8 18" xfId="33282"/>
    <cellStyle name="Calculation 3 5 8 19" xfId="34281"/>
    <cellStyle name="Calculation 3 5 8 2" xfId="1059"/>
    <cellStyle name="Calculation 3 5 8 2 10" xfId="24326"/>
    <cellStyle name="Calculation 3 5 8 2 11" xfId="25325"/>
    <cellStyle name="Calculation 3 5 8 2 12" xfId="28270"/>
    <cellStyle name="Calculation 3 5 8 2 13" xfId="29239"/>
    <cellStyle name="Calculation 3 5 8 2 14" xfId="30278"/>
    <cellStyle name="Calculation 3 5 8 2 15" xfId="31271"/>
    <cellStyle name="Calculation 3 5 8 2 16" xfId="32280"/>
    <cellStyle name="Calculation 3 5 8 2 17" xfId="33283"/>
    <cellStyle name="Calculation 3 5 8 2 18" xfId="34282"/>
    <cellStyle name="Calculation 3 5 8 2 19" xfId="35903"/>
    <cellStyle name="Calculation 3 5 8 2 2" xfId="16306"/>
    <cellStyle name="Calculation 3 5 8 2 20" xfId="36842"/>
    <cellStyle name="Calculation 3 5 8 2 3" xfId="17284"/>
    <cellStyle name="Calculation 3 5 8 2 4" xfId="18312"/>
    <cellStyle name="Calculation 3 5 8 2 5" xfId="19344"/>
    <cellStyle name="Calculation 3 5 8 2 6" xfId="20366"/>
    <cellStyle name="Calculation 3 5 8 2 7" xfId="21375"/>
    <cellStyle name="Calculation 3 5 8 2 8" xfId="22349"/>
    <cellStyle name="Calculation 3 5 8 2 9" xfId="23354"/>
    <cellStyle name="Calculation 3 5 8 20" xfId="35902"/>
    <cellStyle name="Calculation 3 5 8 21" xfId="36841"/>
    <cellStyle name="Calculation 3 5 8 3" xfId="16305"/>
    <cellStyle name="Calculation 3 5 8 4" xfId="17283"/>
    <cellStyle name="Calculation 3 5 8 5" xfId="18311"/>
    <cellStyle name="Calculation 3 5 8 6" xfId="19343"/>
    <cellStyle name="Calculation 3 5 8 7" xfId="20365"/>
    <cellStyle name="Calculation 3 5 8 8" xfId="21374"/>
    <cellStyle name="Calculation 3 5 8 9" xfId="22348"/>
    <cellStyle name="Calculation 3 5 9" xfId="1060"/>
    <cellStyle name="Calculation 3 5 9 10" xfId="24327"/>
    <cellStyle name="Calculation 3 5 9 11" xfId="25326"/>
    <cellStyle name="Calculation 3 5 9 12" xfId="28271"/>
    <cellStyle name="Calculation 3 5 9 13" xfId="29240"/>
    <cellStyle name="Calculation 3 5 9 14" xfId="30279"/>
    <cellStyle name="Calculation 3 5 9 15" xfId="31272"/>
    <cellStyle name="Calculation 3 5 9 16" xfId="32281"/>
    <cellStyle name="Calculation 3 5 9 17" xfId="33284"/>
    <cellStyle name="Calculation 3 5 9 18" xfId="34283"/>
    <cellStyle name="Calculation 3 5 9 19" xfId="35904"/>
    <cellStyle name="Calculation 3 5 9 2" xfId="16307"/>
    <cellStyle name="Calculation 3 5 9 20" xfId="36843"/>
    <cellStyle name="Calculation 3 5 9 3" xfId="17285"/>
    <cellStyle name="Calculation 3 5 9 4" xfId="18313"/>
    <cellStyle name="Calculation 3 5 9 5" xfId="19345"/>
    <cellStyle name="Calculation 3 5 9 6" xfId="20367"/>
    <cellStyle name="Calculation 3 5 9 7" xfId="21376"/>
    <cellStyle name="Calculation 3 5 9 8" xfId="22350"/>
    <cellStyle name="Calculation 3 5 9 9" xfId="23355"/>
    <cellStyle name="Calculation 3 6" xfId="1061"/>
    <cellStyle name="Calculation 3 6 10" xfId="23356"/>
    <cellStyle name="Calculation 3 6 11" xfId="24328"/>
    <cellStyle name="Calculation 3 6 12" xfId="25327"/>
    <cellStyle name="Calculation 3 6 13" xfId="28272"/>
    <cellStyle name="Calculation 3 6 14" xfId="29241"/>
    <cellStyle name="Calculation 3 6 15" xfId="30280"/>
    <cellStyle name="Calculation 3 6 16" xfId="31273"/>
    <cellStyle name="Calculation 3 6 17" xfId="32282"/>
    <cellStyle name="Calculation 3 6 18" xfId="33285"/>
    <cellStyle name="Calculation 3 6 19" xfId="34284"/>
    <cellStyle name="Calculation 3 6 2" xfId="1062"/>
    <cellStyle name="Calculation 3 6 2 10" xfId="24329"/>
    <cellStyle name="Calculation 3 6 2 11" xfId="25328"/>
    <cellStyle name="Calculation 3 6 2 12" xfId="28273"/>
    <cellStyle name="Calculation 3 6 2 13" xfId="29242"/>
    <cellStyle name="Calculation 3 6 2 14" xfId="30281"/>
    <cellStyle name="Calculation 3 6 2 15" xfId="31274"/>
    <cellStyle name="Calculation 3 6 2 16" xfId="32283"/>
    <cellStyle name="Calculation 3 6 2 17" xfId="33286"/>
    <cellStyle name="Calculation 3 6 2 18" xfId="34285"/>
    <cellStyle name="Calculation 3 6 2 19" xfId="35906"/>
    <cellStyle name="Calculation 3 6 2 2" xfId="16309"/>
    <cellStyle name="Calculation 3 6 2 20" xfId="36845"/>
    <cellStyle name="Calculation 3 6 2 3" xfId="17287"/>
    <cellStyle name="Calculation 3 6 2 4" xfId="18315"/>
    <cellStyle name="Calculation 3 6 2 5" xfId="19347"/>
    <cellStyle name="Calculation 3 6 2 6" xfId="20369"/>
    <cellStyle name="Calculation 3 6 2 7" xfId="21378"/>
    <cellStyle name="Calculation 3 6 2 8" xfId="22352"/>
    <cellStyle name="Calculation 3 6 2 9" xfId="23357"/>
    <cellStyle name="Calculation 3 6 20" xfId="35905"/>
    <cellStyle name="Calculation 3 6 21" xfId="36844"/>
    <cellStyle name="Calculation 3 6 3" xfId="16308"/>
    <cellStyle name="Calculation 3 6 4" xfId="17286"/>
    <cellStyle name="Calculation 3 6 5" xfId="18314"/>
    <cellStyle name="Calculation 3 6 6" xfId="19346"/>
    <cellStyle name="Calculation 3 6 7" xfId="20368"/>
    <cellStyle name="Calculation 3 6 8" xfId="21377"/>
    <cellStyle name="Calculation 3 6 9" xfId="22351"/>
    <cellStyle name="Calculation 3 7" xfId="1063"/>
    <cellStyle name="Calculation 3 7 10" xfId="23358"/>
    <cellStyle name="Calculation 3 7 11" xfId="24330"/>
    <cellStyle name="Calculation 3 7 12" xfId="25329"/>
    <cellStyle name="Calculation 3 7 13" xfId="28274"/>
    <cellStyle name="Calculation 3 7 14" xfId="29243"/>
    <cellStyle name="Calculation 3 7 15" xfId="30282"/>
    <cellStyle name="Calculation 3 7 16" xfId="31275"/>
    <cellStyle name="Calculation 3 7 17" xfId="32284"/>
    <cellStyle name="Calculation 3 7 18" xfId="33287"/>
    <cellStyle name="Calculation 3 7 19" xfId="34286"/>
    <cellStyle name="Calculation 3 7 2" xfId="1064"/>
    <cellStyle name="Calculation 3 7 2 10" xfId="24331"/>
    <cellStyle name="Calculation 3 7 2 11" xfId="25330"/>
    <cellStyle name="Calculation 3 7 2 12" xfId="28275"/>
    <cellStyle name="Calculation 3 7 2 13" xfId="29244"/>
    <cellStyle name="Calculation 3 7 2 14" xfId="30283"/>
    <cellStyle name="Calculation 3 7 2 15" xfId="31276"/>
    <cellStyle name="Calculation 3 7 2 16" xfId="32285"/>
    <cellStyle name="Calculation 3 7 2 17" xfId="33288"/>
    <cellStyle name="Calculation 3 7 2 18" xfId="34287"/>
    <cellStyle name="Calculation 3 7 2 19" xfId="35908"/>
    <cellStyle name="Calculation 3 7 2 2" xfId="16311"/>
    <cellStyle name="Calculation 3 7 2 20" xfId="36847"/>
    <cellStyle name="Calculation 3 7 2 3" xfId="17289"/>
    <cellStyle name="Calculation 3 7 2 4" xfId="18317"/>
    <cellStyle name="Calculation 3 7 2 5" xfId="19349"/>
    <cellStyle name="Calculation 3 7 2 6" xfId="20371"/>
    <cellStyle name="Calculation 3 7 2 7" xfId="21380"/>
    <cellStyle name="Calculation 3 7 2 8" xfId="22354"/>
    <cellStyle name="Calculation 3 7 2 9" xfId="23359"/>
    <cellStyle name="Calculation 3 7 20" xfId="35907"/>
    <cellStyle name="Calculation 3 7 21" xfId="36846"/>
    <cellStyle name="Calculation 3 7 3" xfId="16310"/>
    <cellStyle name="Calculation 3 7 4" xfId="17288"/>
    <cellStyle name="Calculation 3 7 5" xfId="18316"/>
    <cellStyle name="Calculation 3 7 6" xfId="19348"/>
    <cellStyle name="Calculation 3 7 7" xfId="20370"/>
    <cellStyle name="Calculation 3 7 8" xfId="21379"/>
    <cellStyle name="Calculation 3 7 9" xfId="22353"/>
    <cellStyle name="Calculation 3 8" xfId="1065"/>
    <cellStyle name="Calculation 3 8 10" xfId="23360"/>
    <cellStyle name="Calculation 3 8 11" xfId="24332"/>
    <cellStyle name="Calculation 3 8 12" xfId="25331"/>
    <cellStyle name="Calculation 3 8 13" xfId="28276"/>
    <cellStyle name="Calculation 3 8 14" xfId="29245"/>
    <cellStyle name="Calculation 3 8 15" xfId="30284"/>
    <cellStyle name="Calculation 3 8 16" xfId="31277"/>
    <cellStyle name="Calculation 3 8 17" xfId="32286"/>
    <cellStyle name="Calculation 3 8 18" xfId="33289"/>
    <cellStyle name="Calculation 3 8 19" xfId="34288"/>
    <cellStyle name="Calculation 3 8 2" xfId="1066"/>
    <cellStyle name="Calculation 3 8 2 10" xfId="24333"/>
    <cellStyle name="Calculation 3 8 2 11" xfId="25332"/>
    <cellStyle name="Calculation 3 8 2 12" xfId="28277"/>
    <cellStyle name="Calculation 3 8 2 13" xfId="29246"/>
    <cellStyle name="Calculation 3 8 2 14" xfId="30285"/>
    <cellStyle name="Calculation 3 8 2 15" xfId="31278"/>
    <cellStyle name="Calculation 3 8 2 16" xfId="32287"/>
    <cellStyle name="Calculation 3 8 2 17" xfId="33290"/>
    <cellStyle name="Calculation 3 8 2 18" xfId="34289"/>
    <cellStyle name="Calculation 3 8 2 19" xfId="35910"/>
    <cellStyle name="Calculation 3 8 2 2" xfId="16313"/>
    <cellStyle name="Calculation 3 8 2 20" xfId="36849"/>
    <cellStyle name="Calculation 3 8 2 3" xfId="17291"/>
    <cellStyle name="Calculation 3 8 2 4" xfId="18319"/>
    <cellStyle name="Calculation 3 8 2 5" xfId="19351"/>
    <cellStyle name="Calculation 3 8 2 6" xfId="20373"/>
    <cellStyle name="Calculation 3 8 2 7" xfId="21382"/>
    <cellStyle name="Calculation 3 8 2 8" xfId="22356"/>
    <cellStyle name="Calculation 3 8 2 9" xfId="23361"/>
    <cellStyle name="Calculation 3 8 20" xfId="35909"/>
    <cellStyle name="Calculation 3 8 21" xfId="36848"/>
    <cellStyle name="Calculation 3 8 3" xfId="16312"/>
    <cellStyle name="Calculation 3 8 4" xfId="17290"/>
    <cellStyle name="Calculation 3 8 5" xfId="18318"/>
    <cellStyle name="Calculation 3 8 6" xfId="19350"/>
    <cellStyle name="Calculation 3 8 7" xfId="20372"/>
    <cellStyle name="Calculation 3 8 8" xfId="21381"/>
    <cellStyle name="Calculation 3 8 9" xfId="22355"/>
    <cellStyle name="Calculation 3 9" xfId="1067"/>
    <cellStyle name="Calculation 3 9 10" xfId="24334"/>
    <cellStyle name="Calculation 3 9 11" xfId="25333"/>
    <cellStyle name="Calculation 3 9 12" xfId="28278"/>
    <cellStyle name="Calculation 3 9 13" xfId="29247"/>
    <cellStyle name="Calculation 3 9 14" xfId="30286"/>
    <cellStyle name="Calculation 3 9 15" xfId="31279"/>
    <cellStyle name="Calculation 3 9 16" xfId="32288"/>
    <cellStyle name="Calculation 3 9 17" xfId="33291"/>
    <cellStyle name="Calculation 3 9 18" xfId="34290"/>
    <cellStyle name="Calculation 3 9 19" xfId="35911"/>
    <cellStyle name="Calculation 3 9 2" xfId="16314"/>
    <cellStyle name="Calculation 3 9 20" xfId="36850"/>
    <cellStyle name="Calculation 3 9 3" xfId="17292"/>
    <cellStyle name="Calculation 3 9 4" xfId="18320"/>
    <cellStyle name="Calculation 3 9 5" xfId="19352"/>
    <cellStyle name="Calculation 3 9 6" xfId="20374"/>
    <cellStyle name="Calculation 3 9 7" xfId="21383"/>
    <cellStyle name="Calculation 3 9 8" xfId="22357"/>
    <cellStyle name="Calculation 3 9 9" xfId="23362"/>
    <cellStyle name="Calculation 4" xfId="1068"/>
    <cellStyle name="Calculation 4 10" xfId="13461"/>
    <cellStyle name="Calculation 4 11" xfId="15326"/>
    <cellStyle name="Calculation 4 12" xfId="18872"/>
    <cellStyle name="Calculation 4 13" xfId="13586"/>
    <cellStyle name="Calculation 4 14" xfId="15120"/>
    <cellStyle name="Calculation 4 15" xfId="25964"/>
    <cellStyle name="Calculation 4 16" xfId="27305"/>
    <cellStyle name="Calculation 4 17" xfId="26731"/>
    <cellStyle name="Calculation 4 18" xfId="26978"/>
    <cellStyle name="Calculation 4 19" xfId="27402"/>
    <cellStyle name="Calculation 4 2" xfId="1069"/>
    <cellStyle name="Calculation 4 20" xfId="32831"/>
    <cellStyle name="Calculation 4 21" xfId="34854"/>
    <cellStyle name="Calculation 4 22" xfId="34871"/>
    <cellStyle name="Calculation 4 23" xfId="35378"/>
    <cellStyle name="Calculation 4 24" xfId="37474"/>
    <cellStyle name="Calculation 4 3" xfId="1070"/>
    <cellStyle name="Calculation 4 3 10" xfId="14355"/>
    <cellStyle name="Calculation 4 3 11" xfId="14311"/>
    <cellStyle name="Calculation 4 3 12" xfId="13884"/>
    <cellStyle name="Calculation 4 3 13" xfId="14510"/>
    <cellStyle name="Calculation 4 3 14" xfId="14114"/>
    <cellStyle name="Calculation 4 3 15" xfId="14179"/>
    <cellStyle name="Calculation 4 3 16" xfId="26091"/>
    <cellStyle name="Calculation 4 3 17" xfId="27259"/>
    <cellStyle name="Calculation 4 3 18" xfId="27834"/>
    <cellStyle name="Calculation 4 3 19" xfId="26688"/>
    <cellStyle name="Calculation 4 3 2" xfId="1071"/>
    <cellStyle name="Calculation 4 3 2 10" xfId="14822"/>
    <cellStyle name="Calculation 4 3 2 11" xfId="13455"/>
    <cellStyle name="Calculation 4 3 2 12" xfId="26312"/>
    <cellStyle name="Calculation 4 3 2 13" xfId="27729"/>
    <cellStyle name="Calculation 4 3 2 14" xfId="26815"/>
    <cellStyle name="Calculation 4 3 2 15" xfId="25921"/>
    <cellStyle name="Calculation 4 3 2 16" xfId="27002"/>
    <cellStyle name="Calculation 4 3 2 17" xfId="26006"/>
    <cellStyle name="Calculation 4 3 2 18" xfId="35008"/>
    <cellStyle name="Calculation 4 3 2 19" xfId="35326"/>
    <cellStyle name="Calculation 4 3 2 2" xfId="1072"/>
    <cellStyle name="Calculation 4 3 2 2 10" xfId="23363"/>
    <cellStyle name="Calculation 4 3 2 2 11" xfId="24335"/>
    <cellStyle name="Calculation 4 3 2 2 12" xfId="25334"/>
    <cellStyle name="Calculation 4 3 2 2 13" xfId="28279"/>
    <cellStyle name="Calculation 4 3 2 2 14" xfId="29248"/>
    <cellStyle name="Calculation 4 3 2 2 15" xfId="30287"/>
    <cellStyle name="Calculation 4 3 2 2 16" xfId="31280"/>
    <cellStyle name="Calculation 4 3 2 2 17" xfId="32289"/>
    <cellStyle name="Calculation 4 3 2 2 18" xfId="33292"/>
    <cellStyle name="Calculation 4 3 2 2 19" xfId="34291"/>
    <cellStyle name="Calculation 4 3 2 2 2" xfId="1073"/>
    <cellStyle name="Calculation 4 3 2 2 2 10" xfId="24336"/>
    <cellStyle name="Calculation 4 3 2 2 2 11" xfId="25335"/>
    <cellStyle name="Calculation 4 3 2 2 2 12" xfId="28280"/>
    <cellStyle name="Calculation 4 3 2 2 2 13" xfId="29249"/>
    <cellStyle name="Calculation 4 3 2 2 2 14" xfId="30288"/>
    <cellStyle name="Calculation 4 3 2 2 2 15" xfId="31281"/>
    <cellStyle name="Calculation 4 3 2 2 2 16" xfId="32290"/>
    <cellStyle name="Calculation 4 3 2 2 2 17" xfId="33293"/>
    <cellStyle name="Calculation 4 3 2 2 2 18" xfId="34292"/>
    <cellStyle name="Calculation 4 3 2 2 2 19" xfId="35913"/>
    <cellStyle name="Calculation 4 3 2 2 2 2" xfId="16316"/>
    <cellStyle name="Calculation 4 3 2 2 2 20" xfId="36852"/>
    <cellStyle name="Calculation 4 3 2 2 2 3" xfId="17294"/>
    <cellStyle name="Calculation 4 3 2 2 2 4" xfId="18322"/>
    <cellStyle name="Calculation 4 3 2 2 2 5" xfId="19354"/>
    <cellStyle name="Calculation 4 3 2 2 2 6" xfId="20376"/>
    <cellStyle name="Calculation 4 3 2 2 2 7" xfId="21385"/>
    <cellStyle name="Calculation 4 3 2 2 2 8" xfId="22359"/>
    <cellStyle name="Calculation 4 3 2 2 2 9" xfId="23364"/>
    <cellStyle name="Calculation 4 3 2 2 20" xfId="35912"/>
    <cellStyle name="Calculation 4 3 2 2 21" xfId="36851"/>
    <cellStyle name="Calculation 4 3 2 2 3" xfId="16315"/>
    <cellStyle name="Calculation 4 3 2 2 4" xfId="17293"/>
    <cellStyle name="Calculation 4 3 2 2 5" xfId="18321"/>
    <cellStyle name="Calculation 4 3 2 2 6" xfId="19353"/>
    <cellStyle name="Calculation 4 3 2 2 7" xfId="20375"/>
    <cellStyle name="Calculation 4 3 2 2 8" xfId="21384"/>
    <cellStyle name="Calculation 4 3 2 2 9" xfId="22358"/>
    <cellStyle name="Calculation 4 3 2 3" xfId="1074"/>
    <cellStyle name="Calculation 4 3 2 3 10" xfId="23365"/>
    <cellStyle name="Calculation 4 3 2 3 11" xfId="24337"/>
    <cellStyle name="Calculation 4 3 2 3 12" xfId="25336"/>
    <cellStyle name="Calculation 4 3 2 3 13" xfId="28281"/>
    <cellStyle name="Calculation 4 3 2 3 14" xfId="29250"/>
    <cellStyle name="Calculation 4 3 2 3 15" xfId="30289"/>
    <cellStyle name="Calculation 4 3 2 3 16" xfId="31282"/>
    <cellStyle name="Calculation 4 3 2 3 17" xfId="32291"/>
    <cellStyle name="Calculation 4 3 2 3 18" xfId="33294"/>
    <cellStyle name="Calculation 4 3 2 3 19" xfId="34293"/>
    <cellStyle name="Calculation 4 3 2 3 2" xfId="1075"/>
    <cellStyle name="Calculation 4 3 2 3 2 10" xfId="24338"/>
    <cellStyle name="Calculation 4 3 2 3 2 11" xfId="25337"/>
    <cellStyle name="Calculation 4 3 2 3 2 12" xfId="28282"/>
    <cellStyle name="Calculation 4 3 2 3 2 13" xfId="29251"/>
    <cellStyle name="Calculation 4 3 2 3 2 14" xfId="30290"/>
    <cellStyle name="Calculation 4 3 2 3 2 15" xfId="31283"/>
    <cellStyle name="Calculation 4 3 2 3 2 16" xfId="32292"/>
    <cellStyle name="Calculation 4 3 2 3 2 17" xfId="33295"/>
    <cellStyle name="Calculation 4 3 2 3 2 18" xfId="34294"/>
    <cellStyle name="Calculation 4 3 2 3 2 19" xfId="35915"/>
    <cellStyle name="Calculation 4 3 2 3 2 2" xfId="16318"/>
    <cellStyle name="Calculation 4 3 2 3 2 20" xfId="36854"/>
    <cellStyle name="Calculation 4 3 2 3 2 3" xfId="17296"/>
    <cellStyle name="Calculation 4 3 2 3 2 4" xfId="18324"/>
    <cellStyle name="Calculation 4 3 2 3 2 5" xfId="19356"/>
    <cellStyle name="Calculation 4 3 2 3 2 6" xfId="20378"/>
    <cellStyle name="Calculation 4 3 2 3 2 7" xfId="21387"/>
    <cellStyle name="Calculation 4 3 2 3 2 8" xfId="22361"/>
    <cellStyle name="Calculation 4 3 2 3 2 9" xfId="23366"/>
    <cellStyle name="Calculation 4 3 2 3 20" xfId="35914"/>
    <cellStyle name="Calculation 4 3 2 3 21" xfId="36853"/>
    <cellStyle name="Calculation 4 3 2 3 3" xfId="16317"/>
    <cellStyle name="Calculation 4 3 2 3 4" xfId="17295"/>
    <cellStyle name="Calculation 4 3 2 3 5" xfId="18323"/>
    <cellStyle name="Calculation 4 3 2 3 6" xfId="19355"/>
    <cellStyle name="Calculation 4 3 2 3 7" xfId="20377"/>
    <cellStyle name="Calculation 4 3 2 3 8" xfId="21386"/>
    <cellStyle name="Calculation 4 3 2 3 9" xfId="22360"/>
    <cellStyle name="Calculation 4 3 2 4" xfId="1076"/>
    <cellStyle name="Calculation 4 3 2 4 10" xfId="23367"/>
    <cellStyle name="Calculation 4 3 2 4 11" xfId="24339"/>
    <cellStyle name="Calculation 4 3 2 4 12" xfId="25338"/>
    <cellStyle name="Calculation 4 3 2 4 13" xfId="28283"/>
    <cellStyle name="Calculation 4 3 2 4 14" xfId="29252"/>
    <cellStyle name="Calculation 4 3 2 4 15" xfId="30291"/>
    <cellStyle name="Calculation 4 3 2 4 16" xfId="31284"/>
    <cellStyle name="Calculation 4 3 2 4 17" xfId="32293"/>
    <cellStyle name="Calculation 4 3 2 4 18" xfId="33296"/>
    <cellStyle name="Calculation 4 3 2 4 19" xfId="34295"/>
    <cellStyle name="Calculation 4 3 2 4 2" xfId="1077"/>
    <cellStyle name="Calculation 4 3 2 4 2 10" xfId="24340"/>
    <cellStyle name="Calculation 4 3 2 4 2 11" xfId="25339"/>
    <cellStyle name="Calculation 4 3 2 4 2 12" xfId="28284"/>
    <cellStyle name="Calculation 4 3 2 4 2 13" xfId="29253"/>
    <cellStyle name="Calculation 4 3 2 4 2 14" xfId="30292"/>
    <cellStyle name="Calculation 4 3 2 4 2 15" xfId="31285"/>
    <cellStyle name="Calculation 4 3 2 4 2 16" xfId="32294"/>
    <cellStyle name="Calculation 4 3 2 4 2 17" xfId="33297"/>
    <cellStyle name="Calculation 4 3 2 4 2 18" xfId="34296"/>
    <cellStyle name="Calculation 4 3 2 4 2 19" xfId="35917"/>
    <cellStyle name="Calculation 4 3 2 4 2 2" xfId="16320"/>
    <cellStyle name="Calculation 4 3 2 4 2 20" xfId="36856"/>
    <cellStyle name="Calculation 4 3 2 4 2 3" xfId="17298"/>
    <cellStyle name="Calculation 4 3 2 4 2 4" xfId="18326"/>
    <cellStyle name="Calculation 4 3 2 4 2 5" xfId="19358"/>
    <cellStyle name="Calculation 4 3 2 4 2 6" xfId="20380"/>
    <cellStyle name="Calculation 4 3 2 4 2 7" xfId="21389"/>
    <cellStyle name="Calculation 4 3 2 4 2 8" xfId="22363"/>
    <cellStyle name="Calculation 4 3 2 4 2 9" xfId="23368"/>
    <cellStyle name="Calculation 4 3 2 4 20" xfId="35916"/>
    <cellStyle name="Calculation 4 3 2 4 21" xfId="36855"/>
    <cellStyle name="Calculation 4 3 2 4 3" xfId="16319"/>
    <cellStyle name="Calculation 4 3 2 4 4" xfId="17297"/>
    <cellStyle name="Calculation 4 3 2 4 5" xfId="18325"/>
    <cellStyle name="Calculation 4 3 2 4 6" xfId="19357"/>
    <cellStyle name="Calculation 4 3 2 4 7" xfId="20379"/>
    <cellStyle name="Calculation 4 3 2 4 8" xfId="21388"/>
    <cellStyle name="Calculation 4 3 2 4 9" xfId="22362"/>
    <cellStyle name="Calculation 4 3 2 5" xfId="1078"/>
    <cellStyle name="Calculation 4 3 2 5 10" xfId="24341"/>
    <cellStyle name="Calculation 4 3 2 5 11" xfId="25340"/>
    <cellStyle name="Calculation 4 3 2 5 12" xfId="28285"/>
    <cellStyle name="Calculation 4 3 2 5 13" xfId="29254"/>
    <cellStyle name="Calculation 4 3 2 5 14" xfId="30293"/>
    <cellStyle name="Calculation 4 3 2 5 15" xfId="31286"/>
    <cellStyle name="Calculation 4 3 2 5 16" xfId="32295"/>
    <cellStyle name="Calculation 4 3 2 5 17" xfId="33298"/>
    <cellStyle name="Calculation 4 3 2 5 18" xfId="34297"/>
    <cellStyle name="Calculation 4 3 2 5 19" xfId="35918"/>
    <cellStyle name="Calculation 4 3 2 5 2" xfId="16321"/>
    <cellStyle name="Calculation 4 3 2 5 20" xfId="36857"/>
    <cellStyle name="Calculation 4 3 2 5 3" xfId="17299"/>
    <cellStyle name="Calculation 4 3 2 5 4" xfId="18327"/>
    <cellStyle name="Calculation 4 3 2 5 5" xfId="19359"/>
    <cellStyle name="Calculation 4 3 2 5 6" xfId="20381"/>
    <cellStyle name="Calculation 4 3 2 5 7" xfId="21390"/>
    <cellStyle name="Calculation 4 3 2 5 8" xfId="22364"/>
    <cellStyle name="Calculation 4 3 2 5 9" xfId="23369"/>
    <cellStyle name="Calculation 4 3 2 6" xfId="14033"/>
    <cellStyle name="Calculation 4 3 2 7" xfId="15433"/>
    <cellStyle name="Calculation 4 3 2 8" xfId="13657"/>
    <cellStyle name="Calculation 4 3 2 9" xfId="13497"/>
    <cellStyle name="Calculation 4 3 20" xfId="26684"/>
    <cellStyle name="Calculation 4 3 21" xfId="26124"/>
    <cellStyle name="Calculation 4 3 22" xfId="34951"/>
    <cellStyle name="Calculation 4 3 23" xfId="34889"/>
    <cellStyle name="Calculation 4 3 3" xfId="1079"/>
    <cellStyle name="Calculation 4 3 3 10" xfId="14120"/>
    <cellStyle name="Calculation 4 3 3 11" xfId="15307"/>
    <cellStyle name="Calculation 4 3 3 12" xfId="26392"/>
    <cellStyle name="Calculation 4 3 3 13" xfId="27701"/>
    <cellStyle name="Calculation 4 3 3 14" xfId="25974"/>
    <cellStyle name="Calculation 4 3 3 15" xfId="26772"/>
    <cellStyle name="Calculation 4 3 3 16" xfId="27622"/>
    <cellStyle name="Calculation 4 3 3 17" xfId="26224"/>
    <cellStyle name="Calculation 4 3 3 18" xfId="35083"/>
    <cellStyle name="Calculation 4 3 3 19" xfId="35425"/>
    <cellStyle name="Calculation 4 3 3 2" xfId="1080"/>
    <cellStyle name="Calculation 4 3 3 2 10" xfId="23370"/>
    <cellStyle name="Calculation 4 3 3 2 11" xfId="24342"/>
    <cellStyle name="Calculation 4 3 3 2 12" xfId="25341"/>
    <cellStyle name="Calculation 4 3 3 2 13" xfId="28286"/>
    <cellStyle name="Calculation 4 3 3 2 14" xfId="29255"/>
    <cellStyle name="Calculation 4 3 3 2 15" xfId="30294"/>
    <cellStyle name="Calculation 4 3 3 2 16" xfId="31287"/>
    <cellStyle name="Calculation 4 3 3 2 17" xfId="32296"/>
    <cellStyle name="Calculation 4 3 3 2 18" xfId="33299"/>
    <cellStyle name="Calculation 4 3 3 2 19" xfId="34298"/>
    <cellStyle name="Calculation 4 3 3 2 2" xfId="1081"/>
    <cellStyle name="Calculation 4 3 3 2 2 10" xfId="24343"/>
    <cellStyle name="Calculation 4 3 3 2 2 11" xfId="25342"/>
    <cellStyle name="Calculation 4 3 3 2 2 12" xfId="28287"/>
    <cellStyle name="Calculation 4 3 3 2 2 13" xfId="29256"/>
    <cellStyle name="Calculation 4 3 3 2 2 14" xfId="30295"/>
    <cellStyle name="Calculation 4 3 3 2 2 15" xfId="31288"/>
    <cellStyle name="Calculation 4 3 3 2 2 16" xfId="32297"/>
    <cellStyle name="Calculation 4 3 3 2 2 17" xfId="33300"/>
    <cellStyle name="Calculation 4 3 3 2 2 18" xfId="34299"/>
    <cellStyle name="Calculation 4 3 3 2 2 19" xfId="35920"/>
    <cellStyle name="Calculation 4 3 3 2 2 2" xfId="16323"/>
    <cellStyle name="Calculation 4 3 3 2 2 20" xfId="36859"/>
    <cellStyle name="Calculation 4 3 3 2 2 3" xfId="17301"/>
    <cellStyle name="Calculation 4 3 3 2 2 4" xfId="18329"/>
    <cellStyle name="Calculation 4 3 3 2 2 5" xfId="19361"/>
    <cellStyle name="Calculation 4 3 3 2 2 6" xfId="20383"/>
    <cellStyle name="Calculation 4 3 3 2 2 7" xfId="21392"/>
    <cellStyle name="Calculation 4 3 3 2 2 8" xfId="22366"/>
    <cellStyle name="Calculation 4 3 3 2 2 9" xfId="23371"/>
    <cellStyle name="Calculation 4 3 3 2 20" xfId="35919"/>
    <cellStyle name="Calculation 4 3 3 2 21" xfId="36858"/>
    <cellStyle name="Calculation 4 3 3 2 3" xfId="16322"/>
    <cellStyle name="Calculation 4 3 3 2 4" xfId="17300"/>
    <cellStyle name="Calculation 4 3 3 2 5" xfId="18328"/>
    <cellStyle name="Calculation 4 3 3 2 6" xfId="19360"/>
    <cellStyle name="Calculation 4 3 3 2 7" xfId="20382"/>
    <cellStyle name="Calculation 4 3 3 2 8" xfId="21391"/>
    <cellStyle name="Calculation 4 3 3 2 9" xfId="22365"/>
    <cellStyle name="Calculation 4 3 3 3" xfId="1082"/>
    <cellStyle name="Calculation 4 3 3 3 10" xfId="23372"/>
    <cellStyle name="Calculation 4 3 3 3 11" xfId="24344"/>
    <cellStyle name="Calculation 4 3 3 3 12" xfId="25343"/>
    <cellStyle name="Calculation 4 3 3 3 13" xfId="28288"/>
    <cellStyle name="Calculation 4 3 3 3 14" xfId="29257"/>
    <cellStyle name="Calculation 4 3 3 3 15" xfId="30296"/>
    <cellStyle name="Calculation 4 3 3 3 16" xfId="31289"/>
    <cellStyle name="Calculation 4 3 3 3 17" xfId="32298"/>
    <cellStyle name="Calculation 4 3 3 3 18" xfId="33301"/>
    <cellStyle name="Calculation 4 3 3 3 19" xfId="34300"/>
    <cellStyle name="Calculation 4 3 3 3 2" xfId="1083"/>
    <cellStyle name="Calculation 4 3 3 3 2 10" xfId="24345"/>
    <cellStyle name="Calculation 4 3 3 3 2 11" xfId="25344"/>
    <cellStyle name="Calculation 4 3 3 3 2 12" xfId="28289"/>
    <cellStyle name="Calculation 4 3 3 3 2 13" xfId="29258"/>
    <cellStyle name="Calculation 4 3 3 3 2 14" xfId="30297"/>
    <cellStyle name="Calculation 4 3 3 3 2 15" xfId="31290"/>
    <cellStyle name="Calculation 4 3 3 3 2 16" xfId="32299"/>
    <cellStyle name="Calculation 4 3 3 3 2 17" xfId="33302"/>
    <cellStyle name="Calculation 4 3 3 3 2 18" xfId="34301"/>
    <cellStyle name="Calculation 4 3 3 3 2 19" xfId="35922"/>
    <cellStyle name="Calculation 4 3 3 3 2 2" xfId="16325"/>
    <cellStyle name="Calculation 4 3 3 3 2 20" xfId="36861"/>
    <cellStyle name="Calculation 4 3 3 3 2 3" xfId="17303"/>
    <cellStyle name="Calculation 4 3 3 3 2 4" xfId="18331"/>
    <cellStyle name="Calculation 4 3 3 3 2 5" xfId="19363"/>
    <cellStyle name="Calculation 4 3 3 3 2 6" xfId="20385"/>
    <cellStyle name="Calculation 4 3 3 3 2 7" xfId="21394"/>
    <cellStyle name="Calculation 4 3 3 3 2 8" xfId="22368"/>
    <cellStyle name="Calculation 4 3 3 3 2 9" xfId="23373"/>
    <cellStyle name="Calculation 4 3 3 3 20" xfId="35921"/>
    <cellStyle name="Calculation 4 3 3 3 21" xfId="36860"/>
    <cellStyle name="Calculation 4 3 3 3 3" xfId="16324"/>
    <cellStyle name="Calculation 4 3 3 3 4" xfId="17302"/>
    <cellStyle name="Calculation 4 3 3 3 5" xfId="18330"/>
    <cellStyle name="Calculation 4 3 3 3 6" xfId="19362"/>
    <cellStyle name="Calculation 4 3 3 3 7" xfId="20384"/>
    <cellStyle name="Calculation 4 3 3 3 8" xfId="21393"/>
    <cellStyle name="Calculation 4 3 3 3 9" xfId="22367"/>
    <cellStyle name="Calculation 4 3 3 4" xfId="1084"/>
    <cellStyle name="Calculation 4 3 3 4 10" xfId="23374"/>
    <cellStyle name="Calculation 4 3 3 4 11" xfId="24346"/>
    <cellStyle name="Calculation 4 3 3 4 12" xfId="25345"/>
    <cellStyle name="Calculation 4 3 3 4 13" xfId="28290"/>
    <cellStyle name="Calculation 4 3 3 4 14" xfId="29259"/>
    <cellStyle name="Calculation 4 3 3 4 15" xfId="30298"/>
    <cellStyle name="Calculation 4 3 3 4 16" xfId="31291"/>
    <cellStyle name="Calculation 4 3 3 4 17" xfId="32300"/>
    <cellStyle name="Calculation 4 3 3 4 18" xfId="33303"/>
    <cellStyle name="Calculation 4 3 3 4 19" xfId="34302"/>
    <cellStyle name="Calculation 4 3 3 4 2" xfId="1085"/>
    <cellStyle name="Calculation 4 3 3 4 2 10" xfId="24347"/>
    <cellStyle name="Calculation 4 3 3 4 2 11" xfId="25346"/>
    <cellStyle name="Calculation 4 3 3 4 2 12" xfId="28291"/>
    <cellStyle name="Calculation 4 3 3 4 2 13" xfId="29260"/>
    <cellStyle name="Calculation 4 3 3 4 2 14" xfId="30299"/>
    <cellStyle name="Calculation 4 3 3 4 2 15" xfId="31292"/>
    <cellStyle name="Calculation 4 3 3 4 2 16" xfId="32301"/>
    <cellStyle name="Calculation 4 3 3 4 2 17" xfId="33304"/>
    <cellStyle name="Calculation 4 3 3 4 2 18" xfId="34303"/>
    <cellStyle name="Calculation 4 3 3 4 2 19" xfId="35924"/>
    <cellStyle name="Calculation 4 3 3 4 2 2" xfId="16327"/>
    <cellStyle name="Calculation 4 3 3 4 2 20" xfId="36863"/>
    <cellStyle name="Calculation 4 3 3 4 2 3" xfId="17305"/>
    <cellStyle name="Calculation 4 3 3 4 2 4" xfId="18333"/>
    <cellStyle name="Calculation 4 3 3 4 2 5" xfId="19365"/>
    <cellStyle name="Calculation 4 3 3 4 2 6" xfId="20387"/>
    <cellStyle name="Calculation 4 3 3 4 2 7" xfId="21396"/>
    <cellStyle name="Calculation 4 3 3 4 2 8" xfId="22370"/>
    <cellStyle name="Calculation 4 3 3 4 2 9" xfId="23375"/>
    <cellStyle name="Calculation 4 3 3 4 20" xfId="35923"/>
    <cellStyle name="Calculation 4 3 3 4 21" xfId="36862"/>
    <cellStyle name="Calculation 4 3 3 4 3" xfId="16326"/>
    <cellStyle name="Calculation 4 3 3 4 4" xfId="17304"/>
    <cellStyle name="Calculation 4 3 3 4 5" xfId="18332"/>
    <cellStyle name="Calculation 4 3 3 4 6" xfId="19364"/>
    <cellStyle name="Calculation 4 3 3 4 7" xfId="20386"/>
    <cellStyle name="Calculation 4 3 3 4 8" xfId="21395"/>
    <cellStyle name="Calculation 4 3 3 4 9" xfId="22369"/>
    <cellStyle name="Calculation 4 3 3 5" xfId="1086"/>
    <cellStyle name="Calculation 4 3 3 5 10" xfId="24348"/>
    <cellStyle name="Calculation 4 3 3 5 11" xfId="25347"/>
    <cellStyle name="Calculation 4 3 3 5 12" xfId="28292"/>
    <cellStyle name="Calculation 4 3 3 5 13" xfId="29261"/>
    <cellStyle name="Calculation 4 3 3 5 14" xfId="30300"/>
    <cellStyle name="Calculation 4 3 3 5 15" xfId="31293"/>
    <cellStyle name="Calculation 4 3 3 5 16" xfId="32302"/>
    <cellStyle name="Calculation 4 3 3 5 17" xfId="33305"/>
    <cellStyle name="Calculation 4 3 3 5 18" xfId="34304"/>
    <cellStyle name="Calculation 4 3 3 5 19" xfId="35925"/>
    <cellStyle name="Calculation 4 3 3 5 2" xfId="16328"/>
    <cellStyle name="Calculation 4 3 3 5 20" xfId="36864"/>
    <cellStyle name="Calculation 4 3 3 5 3" xfId="17306"/>
    <cellStyle name="Calculation 4 3 3 5 4" xfId="18334"/>
    <cellStyle name="Calculation 4 3 3 5 5" xfId="19366"/>
    <cellStyle name="Calculation 4 3 3 5 6" xfId="20388"/>
    <cellStyle name="Calculation 4 3 3 5 7" xfId="21397"/>
    <cellStyle name="Calculation 4 3 3 5 8" xfId="22371"/>
    <cellStyle name="Calculation 4 3 3 5 9" xfId="23376"/>
    <cellStyle name="Calculation 4 3 3 6" xfId="13770"/>
    <cellStyle name="Calculation 4 3 3 7" xfId="15595"/>
    <cellStyle name="Calculation 4 3 3 8" xfId="13906"/>
    <cellStyle name="Calculation 4 3 3 9" xfId="13707"/>
    <cellStyle name="Calculation 4 3 4" xfId="1087"/>
    <cellStyle name="Calculation 4 3 4 10" xfId="15331"/>
    <cellStyle name="Calculation 4 3 4 11" xfId="15566"/>
    <cellStyle name="Calculation 4 3 4 12" xfId="26352"/>
    <cellStyle name="Calculation 4 3 4 13" xfId="26040"/>
    <cellStyle name="Calculation 4 3 4 14" xfId="27520"/>
    <cellStyle name="Calculation 4 3 4 15" xfId="26760"/>
    <cellStyle name="Calculation 4 3 4 16" xfId="26267"/>
    <cellStyle name="Calculation 4 3 4 17" xfId="26873"/>
    <cellStyle name="Calculation 4 3 4 18" xfId="35044"/>
    <cellStyle name="Calculation 4 3 4 19" xfId="35298"/>
    <cellStyle name="Calculation 4 3 4 2" xfId="1088"/>
    <cellStyle name="Calculation 4 3 4 2 10" xfId="23377"/>
    <cellStyle name="Calculation 4 3 4 2 11" xfId="24349"/>
    <cellStyle name="Calculation 4 3 4 2 12" xfId="25348"/>
    <cellStyle name="Calculation 4 3 4 2 13" xfId="28293"/>
    <cellStyle name="Calculation 4 3 4 2 14" xfId="29262"/>
    <cellStyle name="Calculation 4 3 4 2 15" xfId="30301"/>
    <cellStyle name="Calculation 4 3 4 2 16" xfId="31294"/>
    <cellStyle name="Calculation 4 3 4 2 17" xfId="32303"/>
    <cellStyle name="Calculation 4 3 4 2 18" xfId="33306"/>
    <cellStyle name="Calculation 4 3 4 2 19" xfId="34305"/>
    <cellStyle name="Calculation 4 3 4 2 2" xfId="1089"/>
    <cellStyle name="Calculation 4 3 4 2 2 10" xfId="24350"/>
    <cellStyle name="Calculation 4 3 4 2 2 11" xfId="25349"/>
    <cellStyle name="Calculation 4 3 4 2 2 12" xfId="28294"/>
    <cellStyle name="Calculation 4 3 4 2 2 13" xfId="29263"/>
    <cellStyle name="Calculation 4 3 4 2 2 14" xfId="30302"/>
    <cellStyle name="Calculation 4 3 4 2 2 15" xfId="31295"/>
    <cellStyle name="Calculation 4 3 4 2 2 16" xfId="32304"/>
    <cellStyle name="Calculation 4 3 4 2 2 17" xfId="33307"/>
    <cellStyle name="Calculation 4 3 4 2 2 18" xfId="34306"/>
    <cellStyle name="Calculation 4 3 4 2 2 19" xfId="35927"/>
    <cellStyle name="Calculation 4 3 4 2 2 2" xfId="16330"/>
    <cellStyle name="Calculation 4 3 4 2 2 20" xfId="36866"/>
    <cellStyle name="Calculation 4 3 4 2 2 3" xfId="17308"/>
    <cellStyle name="Calculation 4 3 4 2 2 4" xfId="18336"/>
    <cellStyle name="Calculation 4 3 4 2 2 5" xfId="19368"/>
    <cellStyle name="Calculation 4 3 4 2 2 6" xfId="20390"/>
    <cellStyle name="Calculation 4 3 4 2 2 7" xfId="21399"/>
    <cellStyle name="Calculation 4 3 4 2 2 8" xfId="22373"/>
    <cellStyle name="Calculation 4 3 4 2 2 9" xfId="23378"/>
    <cellStyle name="Calculation 4 3 4 2 20" xfId="35926"/>
    <cellStyle name="Calculation 4 3 4 2 21" xfId="36865"/>
    <cellStyle name="Calculation 4 3 4 2 3" xfId="16329"/>
    <cellStyle name="Calculation 4 3 4 2 4" xfId="17307"/>
    <cellStyle name="Calculation 4 3 4 2 5" xfId="18335"/>
    <cellStyle name="Calculation 4 3 4 2 6" xfId="19367"/>
    <cellStyle name="Calculation 4 3 4 2 7" xfId="20389"/>
    <cellStyle name="Calculation 4 3 4 2 8" xfId="21398"/>
    <cellStyle name="Calculation 4 3 4 2 9" xfId="22372"/>
    <cellStyle name="Calculation 4 3 4 3" xfId="1090"/>
    <cellStyle name="Calculation 4 3 4 3 10" xfId="23379"/>
    <cellStyle name="Calculation 4 3 4 3 11" xfId="24351"/>
    <cellStyle name="Calculation 4 3 4 3 12" xfId="25350"/>
    <cellStyle name="Calculation 4 3 4 3 13" xfId="28295"/>
    <cellStyle name="Calculation 4 3 4 3 14" xfId="29264"/>
    <cellStyle name="Calculation 4 3 4 3 15" xfId="30303"/>
    <cellStyle name="Calculation 4 3 4 3 16" xfId="31296"/>
    <cellStyle name="Calculation 4 3 4 3 17" xfId="32305"/>
    <cellStyle name="Calculation 4 3 4 3 18" xfId="33308"/>
    <cellStyle name="Calculation 4 3 4 3 19" xfId="34307"/>
    <cellStyle name="Calculation 4 3 4 3 2" xfId="1091"/>
    <cellStyle name="Calculation 4 3 4 3 2 10" xfId="24352"/>
    <cellStyle name="Calculation 4 3 4 3 2 11" xfId="25351"/>
    <cellStyle name="Calculation 4 3 4 3 2 12" xfId="28296"/>
    <cellStyle name="Calculation 4 3 4 3 2 13" xfId="29265"/>
    <cellStyle name="Calculation 4 3 4 3 2 14" xfId="30304"/>
    <cellStyle name="Calculation 4 3 4 3 2 15" xfId="31297"/>
    <cellStyle name="Calculation 4 3 4 3 2 16" xfId="32306"/>
    <cellStyle name="Calculation 4 3 4 3 2 17" xfId="33309"/>
    <cellStyle name="Calculation 4 3 4 3 2 18" xfId="34308"/>
    <cellStyle name="Calculation 4 3 4 3 2 19" xfId="35929"/>
    <cellStyle name="Calculation 4 3 4 3 2 2" xfId="16332"/>
    <cellStyle name="Calculation 4 3 4 3 2 20" xfId="36868"/>
    <cellStyle name="Calculation 4 3 4 3 2 3" xfId="17310"/>
    <cellStyle name="Calculation 4 3 4 3 2 4" xfId="18338"/>
    <cellStyle name="Calculation 4 3 4 3 2 5" xfId="19370"/>
    <cellStyle name="Calculation 4 3 4 3 2 6" xfId="20392"/>
    <cellStyle name="Calculation 4 3 4 3 2 7" xfId="21401"/>
    <cellStyle name="Calculation 4 3 4 3 2 8" xfId="22375"/>
    <cellStyle name="Calculation 4 3 4 3 2 9" xfId="23380"/>
    <cellStyle name="Calculation 4 3 4 3 20" xfId="35928"/>
    <cellStyle name="Calculation 4 3 4 3 21" xfId="36867"/>
    <cellStyle name="Calculation 4 3 4 3 3" xfId="16331"/>
    <cellStyle name="Calculation 4 3 4 3 4" xfId="17309"/>
    <cellStyle name="Calculation 4 3 4 3 5" xfId="18337"/>
    <cellStyle name="Calculation 4 3 4 3 6" xfId="19369"/>
    <cellStyle name="Calculation 4 3 4 3 7" xfId="20391"/>
    <cellStyle name="Calculation 4 3 4 3 8" xfId="21400"/>
    <cellStyle name="Calculation 4 3 4 3 9" xfId="22374"/>
    <cellStyle name="Calculation 4 3 4 4" xfId="1092"/>
    <cellStyle name="Calculation 4 3 4 4 10" xfId="23381"/>
    <cellStyle name="Calculation 4 3 4 4 11" xfId="24353"/>
    <cellStyle name="Calculation 4 3 4 4 12" xfId="25352"/>
    <cellStyle name="Calculation 4 3 4 4 13" xfId="28297"/>
    <cellStyle name="Calculation 4 3 4 4 14" xfId="29266"/>
    <cellStyle name="Calculation 4 3 4 4 15" xfId="30305"/>
    <cellStyle name="Calculation 4 3 4 4 16" xfId="31298"/>
    <cellStyle name="Calculation 4 3 4 4 17" xfId="32307"/>
    <cellStyle name="Calculation 4 3 4 4 18" xfId="33310"/>
    <cellStyle name="Calculation 4 3 4 4 19" xfId="34309"/>
    <cellStyle name="Calculation 4 3 4 4 2" xfId="1093"/>
    <cellStyle name="Calculation 4 3 4 4 2 10" xfId="24354"/>
    <cellStyle name="Calculation 4 3 4 4 2 11" xfId="25353"/>
    <cellStyle name="Calculation 4 3 4 4 2 12" xfId="28298"/>
    <cellStyle name="Calculation 4 3 4 4 2 13" xfId="29267"/>
    <cellStyle name="Calculation 4 3 4 4 2 14" xfId="30306"/>
    <cellStyle name="Calculation 4 3 4 4 2 15" xfId="31299"/>
    <cellStyle name="Calculation 4 3 4 4 2 16" xfId="32308"/>
    <cellStyle name="Calculation 4 3 4 4 2 17" xfId="33311"/>
    <cellStyle name="Calculation 4 3 4 4 2 18" xfId="34310"/>
    <cellStyle name="Calculation 4 3 4 4 2 19" xfId="35931"/>
    <cellStyle name="Calculation 4 3 4 4 2 2" xfId="16334"/>
    <cellStyle name="Calculation 4 3 4 4 2 20" xfId="36870"/>
    <cellStyle name="Calculation 4 3 4 4 2 3" xfId="17312"/>
    <cellStyle name="Calculation 4 3 4 4 2 4" xfId="18340"/>
    <cellStyle name="Calculation 4 3 4 4 2 5" xfId="19372"/>
    <cellStyle name="Calculation 4 3 4 4 2 6" xfId="20394"/>
    <cellStyle name="Calculation 4 3 4 4 2 7" xfId="21403"/>
    <cellStyle name="Calculation 4 3 4 4 2 8" xfId="22377"/>
    <cellStyle name="Calculation 4 3 4 4 2 9" xfId="23382"/>
    <cellStyle name="Calculation 4 3 4 4 20" xfId="35930"/>
    <cellStyle name="Calculation 4 3 4 4 21" xfId="36869"/>
    <cellStyle name="Calculation 4 3 4 4 3" xfId="16333"/>
    <cellStyle name="Calculation 4 3 4 4 4" xfId="17311"/>
    <cellStyle name="Calculation 4 3 4 4 5" xfId="18339"/>
    <cellStyle name="Calculation 4 3 4 4 6" xfId="19371"/>
    <cellStyle name="Calculation 4 3 4 4 7" xfId="20393"/>
    <cellStyle name="Calculation 4 3 4 4 8" xfId="21402"/>
    <cellStyle name="Calculation 4 3 4 4 9" xfId="22376"/>
    <cellStyle name="Calculation 4 3 4 5" xfId="1094"/>
    <cellStyle name="Calculation 4 3 4 5 10" xfId="24355"/>
    <cellStyle name="Calculation 4 3 4 5 11" xfId="25354"/>
    <cellStyle name="Calculation 4 3 4 5 12" xfId="28299"/>
    <cellStyle name="Calculation 4 3 4 5 13" xfId="29268"/>
    <cellStyle name="Calculation 4 3 4 5 14" xfId="30307"/>
    <cellStyle name="Calculation 4 3 4 5 15" xfId="31300"/>
    <cellStyle name="Calculation 4 3 4 5 16" xfId="32309"/>
    <cellStyle name="Calculation 4 3 4 5 17" xfId="33312"/>
    <cellStyle name="Calculation 4 3 4 5 18" xfId="34311"/>
    <cellStyle name="Calculation 4 3 4 5 19" xfId="35932"/>
    <cellStyle name="Calculation 4 3 4 5 2" xfId="16335"/>
    <cellStyle name="Calculation 4 3 4 5 20" xfId="36871"/>
    <cellStyle name="Calculation 4 3 4 5 3" xfId="17313"/>
    <cellStyle name="Calculation 4 3 4 5 4" xfId="18341"/>
    <cellStyle name="Calculation 4 3 4 5 5" xfId="19373"/>
    <cellStyle name="Calculation 4 3 4 5 6" xfId="20395"/>
    <cellStyle name="Calculation 4 3 4 5 7" xfId="21404"/>
    <cellStyle name="Calculation 4 3 4 5 8" xfId="22378"/>
    <cellStyle name="Calculation 4 3 4 5 9" xfId="23383"/>
    <cellStyle name="Calculation 4 3 4 6" xfId="13744"/>
    <cellStyle name="Calculation 4 3 4 7" xfId="14730"/>
    <cellStyle name="Calculation 4 3 4 8" xfId="14277"/>
    <cellStyle name="Calculation 4 3 4 9" xfId="14751"/>
    <cellStyle name="Calculation 4 3 5" xfId="1095"/>
    <cellStyle name="Calculation 4 3 5 10" xfId="15457"/>
    <cellStyle name="Calculation 4 3 5 11" xfId="13629"/>
    <cellStyle name="Calculation 4 3 5 12" xfId="26461"/>
    <cellStyle name="Calculation 4 3 5 13" xfId="27676"/>
    <cellStyle name="Calculation 4 3 5 14" xfId="26172"/>
    <cellStyle name="Calculation 4 3 5 15" xfId="26785"/>
    <cellStyle name="Calculation 4 3 5 16" xfId="27309"/>
    <cellStyle name="Calculation 4 3 5 17" xfId="27627"/>
    <cellStyle name="Calculation 4 3 5 18" xfId="35144"/>
    <cellStyle name="Calculation 4 3 5 19" xfId="35399"/>
    <cellStyle name="Calculation 4 3 5 2" xfId="1096"/>
    <cellStyle name="Calculation 4 3 5 2 10" xfId="23384"/>
    <cellStyle name="Calculation 4 3 5 2 11" xfId="24356"/>
    <cellStyle name="Calculation 4 3 5 2 12" xfId="25355"/>
    <cellStyle name="Calculation 4 3 5 2 13" xfId="28300"/>
    <cellStyle name="Calculation 4 3 5 2 14" xfId="29269"/>
    <cellStyle name="Calculation 4 3 5 2 15" xfId="30308"/>
    <cellStyle name="Calculation 4 3 5 2 16" xfId="31301"/>
    <cellStyle name="Calculation 4 3 5 2 17" xfId="32310"/>
    <cellStyle name="Calculation 4 3 5 2 18" xfId="33313"/>
    <cellStyle name="Calculation 4 3 5 2 19" xfId="34312"/>
    <cellStyle name="Calculation 4 3 5 2 2" xfId="1097"/>
    <cellStyle name="Calculation 4 3 5 2 2 10" xfId="24357"/>
    <cellStyle name="Calculation 4 3 5 2 2 11" xfId="25356"/>
    <cellStyle name="Calculation 4 3 5 2 2 12" xfId="28301"/>
    <cellStyle name="Calculation 4 3 5 2 2 13" xfId="29270"/>
    <cellStyle name="Calculation 4 3 5 2 2 14" xfId="30309"/>
    <cellStyle name="Calculation 4 3 5 2 2 15" xfId="31302"/>
    <cellStyle name="Calculation 4 3 5 2 2 16" xfId="32311"/>
    <cellStyle name="Calculation 4 3 5 2 2 17" xfId="33314"/>
    <cellStyle name="Calculation 4 3 5 2 2 18" xfId="34313"/>
    <cellStyle name="Calculation 4 3 5 2 2 19" xfId="35934"/>
    <cellStyle name="Calculation 4 3 5 2 2 2" xfId="16337"/>
    <cellStyle name="Calculation 4 3 5 2 2 20" xfId="36873"/>
    <cellStyle name="Calculation 4 3 5 2 2 3" xfId="17315"/>
    <cellStyle name="Calculation 4 3 5 2 2 4" xfId="18343"/>
    <cellStyle name="Calculation 4 3 5 2 2 5" xfId="19375"/>
    <cellStyle name="Calculation 4 3 5 2 2 6" xfId="20397"/>
    <cellStyle name="Calculation 4 3 5 2 2 7" xfId="21406"/>
    <cellStyle name="Calculation 4 3 5 2 2 8" xfId="22380"/>
    <cellStyle name="Calculation 4 3 5 2 2 9" xfId="23385"/>
    <cellStyle name="Calculation 4 3 5 2 20" xfId="35933"/>
    <cellStyle name="Calculation 4 3 5 2 21" xfId="36872"/>
    <cellStyle name="Calculation 4 3 5 2 3" xfId="16336"/>
    <cellStyle name="Calculation 4 3 5 2 4" xfId="17314"/>
    <cellStyle name="Calculation 4 3 5 2 5" xfId="18342"/>
    <cellStyle name="Calculation 4 3 5 2 6" xfId="19374"/>
    <cellStyle name="Calculation 4 3 5 2 7" xfId="20396"/>
    <cellStyle name="Calculation 4 3 5 2 8" xfId="21405"/>
    <cellStyle name="Calculation 4 3 5 2 9" xfId="22379"/>
    <cellStyle name="Calculation 4 3 5 3" xfId="1098"/>
    <cellStyle name="Calculation 4 3 5 3 10" xfId="23386"/>
    <cellStyle name="Calculation 4 3 5 3 11" xfId="24358"/>
    <cellStyle name="Calculation 4 3 5 3 12" xfId="25357"/>
    <cellStyle name="Calculation 4 3 5 3 13" xfId="28302"/>
    <cellStyle name="Calculation 4 3 5 3 14" xfId="29271"/>
    <cellStyle name="Calculation 4 3 5 3 15" xfId="30310"/>
    <cellStyle name="Calculation 4 3 5 3 16" xfId="31303"/>
    <cellStyle name="Calculation 4 3 5 3 17" xfId="32312"/>
    <cellStyle name="Calculation 4 3 5 3 18" xfId="33315"/>
    <cellStyle name="Calculation 4 3 5 3 19" xfId="34314"/>
    <cellStyle name="Calculation 4 3 5 3 2" xfId="1099"/>
    <cellStyle name="Calculation 4 3 5 3 2 10" xfId="24359"/>
    <cellStyle name="Calculation 4 3 5 3 2 11" xfId="25358"/>
    <cellStyle name="Calculation 4 3 5 3 2 12" xfId="28303"/>
    <cellStyle name="Calculation 4 3 5 3 2 13" xfId="29272"/>
    <cellStyle name="Calculation 4 3 5 3 2 14" xfId="30311"/>
    <cellStyle name="Calculation 4 3 5 3 2 15" xfId="31304"/>
    <cellStyle name="Calculation 4 3 5 3 2 16" xfId="32313"/>
    <cellStyle name="Calculation 4 3 5 3 2 17" xfId="33316"/>
    <cellStyle name="Calculation 4 3 5 3 2 18" xfId="34315"/>
    <cellStyle name="Calculation 4 3 5 3 2 19" xfId="35936"/>
    <cellStyle name="Calculation 4 3 5 3 2 2" xfId="16339"/>
    <cellStyle name="Calculation 4 3 5 3 2 20" xfId="36875"/>
    <cellStyle name="Calculation 4 3 5 3 2 3" xfId="17317"/>
    <cellStyle name="Calculation 4 3 5 3 2 4" xfId="18345"/>
    <cellStyle name="Calculation 4 3 5 3 2 5" xfId="19377"/>
    <cellStyle name="Calculation 4 3 5 3 2 6" xfId="20399"/>
    <cellStyle name="Calculation 4 3 5 3 2 7" xfId="21408"/>
    <cellStyle name="Calculation 4 3 5 3 2 8" xfId="22382"/>
    <cellStyle name="Calculation 4 3 5 3 2 9" xfId="23387"/>
    <cellStyle name="Calculation 4 3 5 3 20" xfId="35935"/>
    <cellStyle name="Calculation 4 3 5 3 21" xfId="36874"/>
    <cellStyle name="Calculation 4 3 5 3 3" xfId="16338"/>
    <cellStyle name="Calculation 4 3 5 3 4" xfId="17316"/>
    <cellStyle name="Calculation 4 3 5 3 5" xfId="18344"/>
    <cellStyle name="Calculation 4 3 5 3 6" xfId="19376"/>
    <cellStyle name="Calculation 4 3 5 3 7" xfId="20398"/>
    <cellStyle name="Calculation 4 3 5 3 8" xfId="21407"/>
    <cellStyle name="Calculation 4 3 5 3 9" xfId="22381"/>
    <cellStyle name="Calculation 4 3 5 4" xfId="1100"/>
    <cellStyle name="Calculation 4 3 5 4 10" xfId="23388"/>
    <cellStyle name="Calculation 4 3 5 4 11" xfId="24360"/>
    <cellStyle name="Calculation 4 3 5 4 12" xfId="25359"/>
    <cellStyle name="Calculation 4 3 5 4 13" xfId="28304"/>
    <cellStyle name="Calculation 4 3 5 4 14" xfId="29273"/>
    <cellStyle name="Calculation 4 3 5 4 15" xfId="30312"/>
    <cellStyle name="Calculation 4 3 5 4 16" xfId="31305"/>
    <cellStyle name="Calculation 4 3 5 4 17" xfId="32314"/>
    <cellStyle name="Calculation 4 3 5 4 18" xfId="33317"/>
    <cellStyle name="Calculation 4 3 5 4 19" xfId="34316"/>
    <cellStyle name="Calculation 4 3 5 4 2" xfId="1101"/>
    <cellStyle name="Calculation 4 3 5 4 2 10" xfId="24361"/>
    <cellStyle name="Calculation 4 3 5 4 2 11" xfId="25360"/>
    <cellStyle name="Calculation 4 3 5 4 2 12" xfId="28305"/>
    <cellStyle name="Calculation 4 3 5 4 2 13" xfId="29274"/>
    <cellStyle name="Calculation 4 3 5 4 2 14" xfId="30313"/>
    <cellStyle name="Calculation 4 3 5 4 2 15" xfId="31306"/>
    <cellStyle name="Calculation 4 3 5 4 2 16" xfId="32315"/>
    <cellStyle name="Calculation 4 3 5 4 2 17" xfId="33318"/>
    <cellStyle name="Calculation 4 3 5 4 2 18" xfId="34317"/>
    <cellStyle name="Calculation 4 3 5 4 2 19" xfId="35938"/>
    <cellStyle name="Calculation 4 3 5 4 2 2" xfId="16341"/>
    <cellStyle name="Calculation 4 3 5 4 2 20" xfId="36877"/>
    <cellStyle name="Calculation 4 3 5 4 2 3" xfId="17319"/>
    <cellStyle name="Calculation 4 3 5 4 2 4" xfId="18347"/>
    <cellStyle name="Calculation 4 3 5 4 2 5" xfId="19379"/>
    <cellStyle name="Calculation 4 3 5 4 2 6" xfId="20401"/>
    <cellStyle name="Calculation 4 3 5 4 2 7" xfId="21410"/>
    <cellStyle name="Calculation 4 3 5 4 2 8" xfId="22384"/>
    <cellStyle name="Calculation 4 3 5 4 2 9" xfId="23389"/>
    <cellStyle name="Calculation 4 3 5 4 20" xfId="35937"/>
    <cellStyle name="Calculation 4 3 5 4 21" xfId="36876"/>
    <cellStyle name="Calculation 4 3 5 4 3" xfId="16340"/>
    <cellStyle name="Calculation 4 3 5 4 4" xfId="17318"/>
    <cellStyle name="Calculation 4 3 5 4 5" xfId="18346"/>
    <cellStyle name="Calculation 4 3 5 4 6" xfId="19378"/>
    <cellStyle name="Calculation 4 3 5 4 7" xfId="20400"/>
    <cellStyle name="Calculation 4 3 5 4 8" xfId="21409"/>
    <cellStyle name="Calculation 4 3 5 4 9" xfId="22383"/>
    <cellStyle name="Calculation 4 3 5 5" xfId="1102"/>
    <cellStyle name="Calculation 4 3 5 5 10" xfId="24362"/>
    <cellStyle name="Calculation 4 3 5 5 11" xfId="25361"/>
    <cellStyle name="Calculation 4 3 5 5 12" xfId="28306"/>
    <cellStyle name="Calculation 4 3 5 5 13" xfId="29275"/>
    <cellStyle name="Calculation 4 3 5 5 14" xfId="30314"/>
    <cellStyle name="Calculation 4 3 5 5 15" xfId="31307"/>
    <cellStyle name="Calculation 4 3 5 5 16" xfId="32316"/>
    <cellStyle name="Calculation 4 3 5 5 17" xfId="33319"/>
    <cellStyle name="Calculation 4 3 5 5 18" xfId="34318"/>
    <cellStyle name="Calculation 4 3 5 5 19" xfId="35939"/>
    <cellStyle name="Calculation 4 3 5 5 2" xfId="16342"/>
    <cellStyle name="Calculation 4 3 5 5 20" xfId="36878"/>
    <cellStyle name="Calculation 4 3 5 5 3" xfId="17320"/>
    <cellStyle name="Calculation 4 3 5 5 4" xfId="18348"/>
    <cellStyle name="Calculation 4 3 5 5 5" xfId="19380"/>
    <cellStyle name="Calculation 4 3 5 5 6" xfId="20402"/>
    <cellStyle name="Calculation 4 3 5 5 7" xfId="21411"/>
    <cellStyle name="Calculation 4 3 5 5 8" xfId="22385"/>
    <cellStyle name="Calculation 4 3 5 5 9" xfId="23390"/>
    <cellStyle name="Calculation 4 3 5 6" xfId="15415"/>
    <cellStyle name="Calculation 4 3 5 7" xfId="14389"/>
    <cellStyle name="Calculation 4 3 5 8" xfId="14214"/>
    <cellStyle name="Calculation 4 3 5 9" xfId="14335"/>
    <cellStyle name="Calculation 4 3 6" xfId="1103"/>
    <cellStyle name="Calculation 4 3 6 10" xfId="23391"/>
    <cellStyle name="Calculation 4 3 6 11" xfId="24363"/>
    <cellStyle name="Calculation 4 3 6 12" xfId="25362"/>
    <cellStyle name="Calculation 4 3 6 13" xfId="28307"/>
    <cellStyle name="Calculation 4 3 6 14" xfId="29276"/>
    <cellStyle name="Calculation 4 3 6 15" xfId="30315"/>
    <cellStyle name="Calculation 4 3 6 16" xfId="31308"/>
    <cellStyle name="Calculation 4 3 6 17" xfId="32317"/>
    <cellStyle name="Calculation 4 3 6 18" xfId="33320"/>
    <cellStyle name="Calculation 4 3 6 19" xfId="34319"/>
    <cellStyle name="Calculation 4 3 6 2" xfId="1104"/>
    <cellStyle name="Calculation 4 3 6 2 10" xfId="24364"/>
    <cellStyle name="Calculation 4 3 6 2 11" xfId="25363"/>
    <cellStyle name="Calculation 4 3 6 2 12" xfId="28308"/>
    <cellStyle name="Calculation 4 3 6 2 13" xfId="29277"/>
    <cellStyle name="Calculation 4 3 6 2 14" xfId="30316"/>
    <cellStyle name="Calculation 4 3 6 2 15" xfId="31309"/>
    <cellStyle name="Calculation 4 3 6 2 16" xfId="32318"/>
    <cellStyle name="Calculation 4 3 6 2 17" xfId="33321"/>
    <cellStyle name="Calculation 4 3 6 2 18" xfId="34320"/>
    <cellStyle name="Calculation 4 3 6 2 19" xfId="35941"/>
    <cellStyle name="Calculation 4 3 6 2 2" xfId="16344"/>
    <cellStyle name="Calculation 4 3 6 2 20" xfId="36880"/>
    <cellStyle name="Calculation 4 3 6 2 3" xfId="17322"/>
    <cellStyle name="Calculation 4 3 6 2 4" xfId="18350"/>
    <cellStyle name="Calculation 4 3 6 2 5" xfId="19382"/>
    <cellStyle name="Calculation 4 3 6 2 6" xfId="20404"/>
    <cellStyle name="Calculation 4 3 6 2 7" xfId="21413"/>
    <cellStyle name="Calculation 4 3 6 2 8" xfId="22387"/>
    <cellStyle name="Calculation 4 3 6 2 9" xfId="23392"/>
    <cellStyle name="Calculation 4 3 6 20" xfId="35940"/>
    <cellStyle name="Calculation 4 3 6 21" xfId="36879"/>
    <cellStyle name="Calculation 4 3 6 3" xfId="16343"/>
    <cellStyle name="Calculation 4 3 6 4" xfId="17321"/>
    <cellStyle name="Calculation 4 3 6 5" xfId="18349"/>
    <cellStyle name="Calculation 4 3 6 6" xfId="19381"/>
    <cellStyle name="Calculation 4 3 6 7" xfId="20403"/>
    <cellStyle name="Calculation 4 3 6 8" xfId="21412"/>
    <cellStyle name="Calculation 4 3 6 9" xfId="22386"/>
    <cellStyle name="Calculation 4 3 7" xfId="1105"/>
    <cellStyle name="Calculation 4 3 7 10" xfId="23393"/>
    <cellStyle name="Calculation 4 3 7 11" xfId="24365"/>
    <cellStyle name="Calculation 4 3 7 12" xfId="25364"/>
    <cellStyle name="Calculation 4 3 7 13" xfId="28309"/>
    <cellStyle name="Calculation 4 3 7 14" xfId="29278"/>
    <cellStyle name="Calculation 4 3 7 15" xfId="30317"/>
    <cellStyle name="Calculation 4 3 7 16" xfId="31310"/>
    <cellStyle name="Calculation 4 3 7 17" xfId="32319"/>
    <cellStyle name="Calculation 4 3 7 18" xfId="33322"/>
    <cellStyle name="Calculation 4 3 7 19" xfId="34321"/>
    <cellStyle name="Calculation 4 3 7 2" xfId="1106"/>
    <cellStyle name="Calculation 4 3 7 2 10" xfId="24366"/>
    <cellStyle name="Calculation 4 3 7 2 11" xfId="25365"/>
    <cellStyle name="Calculation 4 3 7 2 12" xfId="28310"/>
    <cellStyle name="Calculation 4 3 7 2 13" xfId="29279"/>
    <cellStyle name="Calculation 4 3 7 2 14" xfId="30318"/>
    <cellStyle name="Calculation 4 3 7 2 15" xfId="31311"/>
    <cellStyle name="Calculation 4 3 7 2 16" xfId="32320"/>
    <cellStyle name="Calculation 4 3 7 2 17" xfId="33323"/>
    <cellStyle name="Calculation 4 3 7 2 18" xfId="34322"/>
    <cellStyle name="Calculation 4 3 7 2 19" xfId="35943"/>
    <cellStyle name="Calculation 4 3 7 2 2" xfId="16346"/>
    <cellStyle name="Calculation 4 3 7 2 20" xfId="36882"/>
    <cellStyle name="Calculation 4 3 7 2 3" xfId="17324"/>
    <cellStyle name="Calculation 4 3 7 2 4" xfId="18352"/>
    <cellStyle name="Calculation 4 3 7 2 5" xfId="19384"/>
    <cellStyle name="Calculation 4 3 7 2 6" xfId="20406"/>
    <cellStyle name="Calculation 4 3 7 2 7" xfId="21415"/>
    <cellStyle name="Calculation 4 3 7 2 8" xfId="22389"/>
    <cellStyle name="Calculation 4 3 7 2 9" xfId="23394"/>
    <cellStyle name="Calculation 4 3 7 20" xfId="35942"/>
    <cellStyle name="Calculation 4 3 7 21" xfId="36881"/>
    <cellStyle name="Calculation 4 3 7 3" xfId="16345"/>
    <cellStyle name="Calculation 4 3 7 4" xfId="17323"/>
    <cellStyle name="Calculation 4 3 7 5" xfId="18351"/>
    <cellStyle name="Calculation 4 3 7 6" xfId="19383"/>
    <cellStyle name="Calculation 4 3 7 7" xfId="20405"/>
    <cellStyle name="Calculation 4 3 7 8" xfId="21414"/>
    <cellStyle name="Calculation 4 3 7 9" xfId="22388"/>
    <cellStyle name="Calculation 4 3 8" xfId="1107"/>
    <cellStyle name="Calculation 4 3 8 10" xfId="23395"/>
    <cellStyle name="Calculation 4 3 8 11" xfId="24367"/>
    <cellStyle name="Calculation 4 3 8 12" xfId="25366"/>
    <cellStyle name="Calculation 4 3 8 13" xfId="28311"/>
    <cellStyle name="Calculation 4 3 8 14" xfId="29280"/>
    <cellStyle name="Calculation 4 3 8 15" xfId="30319"/>
    <cellStyle name="Calculation 4 3 8 16" xfId="31312"/>
    <cellStyle name="Calculation 4 3 8 17" xfId="32321"/>
    <cellStyle name="Calculation 4 3 8 18" xfId="33324"/>
    <cellStyle name="Calculation 4 3 8 19" xfId="34323"/>
    <cellStyle name="Calculation 4 3 8 2" xfId="1108"/>
    <cellStyle name="Calculation 4 3 8 2 10" xfId="24368"/>
    <cellStyle name="Calculation 4 3 8 2 11" xfId="25367"/>
    <cellStyle name="Calculation 4 3 8 2 12" xfId="28312"/>
    <cellStyle name="Calculation 4 3 8 2 13" xfId="29281"/>
    <cellStyle name="Calculation 4 3 8 2 14" xfId="30320"/>
    <cellStyle name="Calculation 4 3 8 2 15" xfId="31313"/>
    <cellStyle name="Calculation 4 3 8 2 16" xfId="32322"/>
    <cellStyle name="Calculation 4 3 8 2 17" xfId="33325"/>
    <cellStyle name="Calculation 4 3 8 2 18" xfId="34324"/>
    <cellStyle name="Calculation 4 3 8 2 19" xfId="35945"/>
    <cellStyle name="Calculation 4 3 8 2 2" xfId="16348"/>
    <cellStyle name="Calculation 4 3 8 2 20" xfId="36884"/>
    <cellStyle name="Calculation 4 3 8 2 3" xfId="17326"/>
    <cellStyle name="Calculation 4 3 8 2 4" xfId="18354"/>
    <cellStyle name="Calculation 4 3 8 2 5" xfId="19386"/>
    <cellStyle name="Calculation 4 3 8 2 6" xfId="20408"/>
    <cellStyle name="Calculation 4 3 8 2 7" xfId="21417"/>
    <cellStyle name="Calculation 4 3 8 2 8" xfId="22391"/>
    <cellStyle name="Calculation 4 3 8 2 9" xfId="23396"/>
    <cellStyle name="Calculation 4 3 8 20" xfId="35944"/>
    <cellStyle name="Calculation 4 3 8 21" xfId="36883"/>
    <cellStyle name="Calculation 4 3 8 3" xfId="16347"/>
    <cellStyle name="Calculation 4 3 8 4" xfId="17325"/>
    <cellStyle name="Calculation 4 3 8 5" xfId="18353"/>
    <cellStyle name="Calculation 4 3 8 6" xfId="19385"/>
    <cellStyle name="Calculation 4 3 8 7" xfId="20407"/>
    <cellStyle name="Calculation 4 3 8 8" xfId="21416"/>
    <cellStyle name="Calculation 4 3 8 9" xfId="22390"/>
    <cellStyle name="Calculation 4 3 9" xfId="1109"/>
    <cellStyle name="Calculation 4 3 9 10" xfId="24369"/>
    <cellStyle name="Calculation 4 3 9 11" xfId="25368"/>
    <cellStyle name="Calculation 4 3 9 12" xfId="28313"/>
    <cellStyle name="Calculation 4 3 9 13" xfId="29282"/>
    <cellStyle name="Calculation 4 3 9 14" xfId="30321"/>
    <cellStyle name="Calculation 4 3 9 15" xfId="31314"/>
    <cellStyle name="Calculation 4 3 9 16" xfId="32323"/>
    <cellStyle name="Calculation 4 3 9 17" xfId="33326"/>
    <cellStyle name="Calculation 4 3 9 18" xfId="34325"/>
    <cellStyle name="Calculation 4 3 9 19" xfId="35946"/>
    <cellStyle name="Calculation 4 3 9 2" xfId="16349"/>
    <cellStyle name="Calculation 4 3 9 20" xfId="36885"/>
    <cellStyle name="Calculation 4 3 9 3" xfId="17327"/>
    <cellStyle name="Calculation 4 3 9 4" xfId="18355"/>
    <cellStyle name="Calculation 4 3 9 5" xfId="19387"/>
    <cellStyle name="Calculation 4 3 9 6" xfId="20409"/>
    <cellStyle name="Calculation 4 3 9 7" xfId="21418"/>
    <cellStyle name="Calculation 4 3 9 8" xfId="22392"/>
    <cellStyle name="Calculation 4 3 9 9" xfId="23397"/>
    <cellStyle name="Calculation 4 4" xfId="1110"/>
    <cellStyle name="Calculation 4 4 10" xfId="14397"/>
    <cellStyle name="Calculation 4 4 11" xfId="14224"/>
    <cellStyle name="Calculation 4 4 12" xfId="14769"/>
    <cellStyle name="Calculation 4 4 13" xfId="13411"/>
    <cellStyle name="Calculation 4 4 14" xfId="14710"/>
    <cellStyle name="Calculation 4 4 15" xfId="18924"/>
    <cellStyle name="Calculation 4 4 16" xfId="26510"/>
    <cellStyle name="Calculation 4 4 17" xfId="27048"/>
    <cellStyle name="Calculation 4 4 18" xfId="26579"/>
    <cellStyle name="Calculation 4 4 19" xfId="26226"/>
    <cellStyle name="Calculation 4 4 2" xfId="1111"/>
    <cellStyle name="Calculation 4 4 2 10" xfId="23398"/>
    <cellStyle name="Calculation 4 4 2 11" xfId="24370"/>
    <cellStyle name="Calculation 4 4 2 12" xfId="25369"/>
    <cellStyle name="Calculation 4 4 2 13" xfId="28314"/>
    <cellStyle name="Calculation 4 4 2 14" xfId="29283"/>
    <cellStyle name="Calculation 4 4 2 15" xfId="30322"/>
    <cellStyle name="Calculation 4 4 2 16" xfId="31315"/>
    <cellStyle name="Calculation 4 4 2 17" xfId="32324"/>
    <cellStyle name="Calculation 4 4 2 18" xfId="33327"/>
    <cellStyle name="Calculation 4 4 2 19" xfId="34326"/>
    <cellStyle name="Calculation 4 4 2 2" xfId="1112"/>
    <cellStyle name="Calculation 4 4 2 2 10" xfId="24371"/>
    <cellStyle name="Calculation 4 4 2 2 11" xfId="25370"/>
    <cellStyle name="Calculation 4 4 2 2 12" xfId="28315"/>
    <cellStyle name="Calculation 4 4 2 2 13" xfId="29284"/>
    <cellStyle name="Calculation 4 4 2 2 14" xfId="30323"/>
    <cellStyle name="Calculation 4 4 2 2 15" xfId="31316"/>
    <cellStyle name="Calculation 4 4 2 2 16" xfId="32325"/>
    <cellStyle name="Calculation 4 4 2 2 17" xfId="33328"/>
    <cellStyle name="Calculation 4 4 2 2 18" xfId="34327"/>
    <cellStyle name="Calculation 4 4 2 2 19" xfId="35948"/>
    <cellStyle name="Calculation 4 4 2 2 2" xfId="16351"/>
    <cellStyle name="Calculation 4 4 2 2 20" xfId="36887"/>
    <cellStyle name="Calculation 4 4 2 2 3" xfId="17329"/>
    <cellStyle name="Calculation 4 4 2 2 4" xfId="18357"/>
    <cellStyle name="Calculation 4 4 2 2 5" xfId="19389"/>
    <cellStyle name="Calculation 4 4 2 2 6" xfId="20411"/>
    <cellStyle name="Calculation 4 4 2 2 7" xfId="21420"/>
    <cellStyle name="Calculation 4 4 2 2 8" xfId="22394"/>
    <cellStyle name="Calculation 4 4 2 2 9" xfId="23399"/>
    <cellStyle name="Calculation 4 4 2 20" xfId="35947"/>
    <cellStyle name="Calculation 4 4 2 21" xfId="36886"/>
    <cellStyle name="Calculation 4 4 2 3" xfId="16350"/>
    <cellStyle name="Calculation 4 4 2 4" xfId="17328"/>
    <cellStyle name="Calculation 4 4 2 5" xfId="18356"/>
    <cellStyle name="Calculation 4 4 2 6" xfId="19388"/>
    <cellStyle name="Calculation 4 4 2 7" xfId="20410"/>
    <cellStyle name="Calculation 4 4 2 8" xfId="21419"/>
    <cellStyle name="Calculation 4 4 2 9" xfId="22393"/>
    <cellStyle name="Calculation 4 4 20" xfId="27822"/>
    <cellStyle name="Calculation 4 4 21" xfId="26957"/>
    <cellStyle name="Calculation 4 4 22" xfId="27393"/>
    <cellStyle name="Calculation 4 4 23" xfId="35181"/>
    <cellStyle name="Calculation 4 4 24" xfId="35386"/>
    <cellStyle name="Calculation 4 4 3" xfId="1113"/>
    <cellStyle name="Calculation 4 4 3 10" xfId="23400"/>
    <cellStyle name="Calculation 4 4 3 11" xfId="24372"/>
    <cellStyle name="Calculation 4 4 3 12" xfId="25371"/>
    <cellStyle name="Calculation 4 4 3 13" xfId="28316"/>
    <cellStyle name="Calculation 4 4 3 14" xfId="29285"/>
    <cellStyle name="Calculation 4 4 3 15" xfId="30324"/>
    <cellStyle name="Calculation 4 4 3 16" xfId="31317"/>
    <cellStyle name="Calculation 4 4 3 17" xfId="32326"/>
    <cellStyle name="Calculation 4 4 3 18" xfId="33329"/>
    <cellStyle name="Calculation 4 4 3 19" xfId="34328"/>
    <cellStyle name="Calculation 4 4 3 2" xfId="1114"/>
    <cellStyle name="Calculation 4 4 3 2 10" xfId="24373"/>
    <cellStyle name="Calculation 4 4 3 2 11" xfId="25372"/>
    <cellStyle name="Calculation 4 4 3 2 12" xfId="28317"/>
    <cellStyle name="Calculation 4 4 3 2 13" xfId="29286"/>
    <cellStyle name="Calculation 4 4 3 2 14" xfId="30325"/>
    <cellStyle name="Calculation 4 4 3 2 15" xfId="31318"/>
    <cellStyle name="Calculation 4 4 3 2 16" xfId="32327"/>
    <cellStyle name="Calculation 4 4 3 2 17" xfId="33330"/>
    <cellStyle name="Calculation 4 4 3 2 18" xfId="34329"/>
    <cellStyle name="Calculation 4 4 3 2 19" xfId="35950"/>
    <cellStyle name="Calculation 4 4 3 2 2" xfId="16353"/>
    <cellStyle name="Calculation 4 4 3 2 20" xfId="36889"/>
    <cellStyle name="Calculation 4 4 3 2 3" xfId="17331"/>
    <cellStyle name="Calculation 4 4 3 2 4" xfId="18359"/>
    <cellStyle name="Calculation 4 4 3 2 5" xfId="19391"/>
    <cellStyle name="Calculation 4 4 3 2 6" xfId="20413"/>
    <cellStyle name="Calculation 4 4 3 2 7" xfId="21422"/>
    <cellStyle name="Calculation 4 4 3 2 8" xfId="22396"/>
    <cellStyle name="Calculation 4 4 3 2 9" xfId="23401"/>
    <cellStyle name="Calculation 4 4 3 20" xfId="35949"/>
    <cellStyle name="Calculation 4 4 3 21" xfId="36888"/>
    <cellStyle name="Calculation 4 4 3 3" xfId="16352"/>
    <cellStyle name="Calculation 4 4 3 4" xfId="17330"/>
    <cellStyle name="Calculation 4 4 3 5" xfId="18358"/>
    <cellStyle name="Calculation 4 4 3 6" xfId="19390"/>
    <cellStyle name="Calculation 4 4 3 7" xfId="20412"/>
    <cellStyle name="Calculation 4 4 3 8" xfId="21421"/>
    <cellStyle name="Calculation 4 4 3 9" xfId="22395"/>
    <cellStyle name="Calculation 4 4 4" xfId="1115"/>
    <cellStyle name="Calculation 4 4 4 10" xfId="23402"/>
    <cellStyle name="Calculation 4 4 4 11" xfId="24374"/>
    <cellStyle name="Calculation 4 4 4 12" xfId="25373"/>
    <cellStyle name="Calculation 4 4 4 13" xfId="28318"/>
    <cellStyle name="Calculation 4 4 4 14" xfId="29287"/>
    <cellStyle name="Calculation 4 4 4 15" xfId="30326"/>
    <cellStyle name="Calculation 4 4 4 16" xfId="31319"/>
    <cellStyle name="Calculation 4 4 4 17" xfId="32328"/>
    <cellStyle name="Calculation 4 4 4 18" xfId="33331"/>
    <cellStyle name="Calculation 4 4 4 19" xfId="34330"/>
    <cellStyle name="Calculation 4 4 4 2" xfId="1116"/>
    <cellStyle name="Calculation 4 4 4 2 10" xfId="24375"/>
    <cellStyle name="Calculation 4 4 4 2 11" xfId="25374"/>
    <cellStyle name="Calculation 4 4 4 2 12" xfId="28319"/>
    <cellStyle name="Calculation 4 4 4 2 13" xfId="29288"/>
    <cellStyle name="Calculation 4 4 4 2 14" xfId="30327"/>
    <cellStyle name="Calculation 4 4 4 2 15" xfId="31320"/>
    <cellStyle name="Calculation 4 4 4 2 16" xfId="32329"/>
    <cellStyle name="Calculation 4 4 4 2 17" xfId="33332"/>
    <cellStyle name="Calculation 4 4 4 2 18" xfId="34331"/>
    <cellStyle name="Calculation 4 4 4 2 19" xfId="35952"/>
    <cellStyle name="Calculation 4 4 4 2 2" xfId="16355"/>
    <cellStyle name="Calculation 4 4 4 2 20" xfId="36891"/>
    <cellStyle name="Calculation 4 4 4 2 3" xfId="17333"/>
    <cellStyle name="Calculation 4 4 4 2 4" xfId="18361"/>
    <cellStyle name="Calculation 4 4 4 2 5" xfId="19393"/>
    <cellStyle name="Calculation 4 4 4 2 6" xfId="20415"/>
    <cellStyle name="Calculation 4 4 4 2 7" xfId="21424"/>
    <cellStyle name="Calculation 4 4 4 2 8" xfId="22398"/>
    <cellStyle name="Calculation 4 4 4 2 9" xfId="23403"/>
    <cellStyle name="Calculation 4 4 4 20" xfId="35951"/>
    <cellStyle name="Calculation 4 4 4 21" xfId="36890"/>
    <cellStyle name="Calculation 4 4 4 3" xfId="16354"/>
    <cellStyle name="Calculation 4 4 4 4" xfId="17332"/>
    <cellStyle name="Calculation 4 4 4 5" xfId="18360"/>
    <cellStyle name="Calculation 4 4 4 6" xfId="19392"/>
    <cellStyle name="Calculation 4 4 4 7" xfId="20414"/>
    <cellStyle name="Calculation 4 4 4 8" xfId="21423"/>
    <cellStyle name="Calculation 4 4 4 9" xfId="22397"/>
    <cellStyle name="Calculation 4 4 5" xfId="1117"/>
    <cellStyle name="Calculation 4 4 5 10" xfId="24376"/>
    <cellStyle name="Calculation 4 4 5 11" xfId="25375"/>
    <cellStyle name="Calculation 4 4 5 12" xfId="28320"/>
    <cellStyle name="Calculation 4 4 5 13" xfId="29289"/>
    <cellStyle name="Calculation 4 4 5 14" xfId="30328"/>
    <cellStyle name="Calculation 4 4 5 15" xfId="31321"/>
    <cellStyle name="Calculation 4 4 5 16" xfId="32330"/>
    <cellStyle name="Calculation 4 4 5 17" xfId="33333"/>
    <cellStyle name="Calculation 4 4 5 18" xfId="34332"/>
    <cellStyle name="Calculation 4 4 5 19" xfId="35953"/>
    <cellStyle name="Calculation 4 4 5 2" xfId="16356"/>
    <cellStyle name="Calculation 4 4 5 20" xfId="36892"/>
    <cellStyle name="Calculation 4 4 5 3" xfId="17334"/>
    <cellStyle name="Calculation 4 4 5 4" xfId="18362"/>
    <cellStyle name="Calculation 4 4 5 5" xfId="19394"/>
    <cellStyle name="Calculation 4 4 5 6" xfId="20416"/>
    <cellStyle name="Calculation 4 4 5 7" xfId="21425"/>
    <cellStyle name="Calculation 4 4 5 8" xfId="22399"/>
    <cellStyle name="Calculation 4 4 5 9" xfId="23404"/>
    <cellStyle name="Calculation 4 4 6" xfId="13949"/>
    <cellStyle name="Calculation 4 4 7" xfId="15646"/>
    <cellStyle name="Calculation 4 4 8" xfId="15423"/>
    <cellStyle name="Calculation 4 4 9" xfId="15002"/>
    <cellStyle name="Calculation 4 5" xfId="1118"/>
    <cellStyle name="Calculation 4 5 10" xfId="23405"/>
    <cellStyle name="Calculation 4 5 11" xfId="24377"/>
    <cellStyle name="Calculation 4 5 12" xfId="25376"/>
    <cellStyle name="Calculation 4 5 13" xfId="28321"/>
    <cellStyle name="Calculation 4 5 14" xfId="29290"/>
    <cellStyle name="Calculation 4 5 15" xfId="30329"/>
    <cellStyle name="Calculation 4 5 16" xfId="31322"/>
    <cellStyle name="Calculation 4 5 17" xfId="32331"/>
    <cellStyle name="Calculation 4 5 18" xfId="33334"/>
    <cellStyle name="Calculation 4 5 19" xfId="34333"/>
    <cellStyle name="Calculation 4 5 2" xfId="1119"/>
    <cellStyle name="Calculation 4 5 2 10" xfId="24378"/>
    <cellStyle name="Calculation 4 5 2 11" xfId="25377"/>
    <cellStyle name="Calculation 4 5 2 12" xfId="28322"/>
    <cellStyle name="Calculation 4 5 2 13" xfId="29291"/>
    <cellStyle name="Calculation 4 5 2 14" xfId="30330"/>
    <cellStyle name="Calculation 4 5 2 15" xfId="31323"/>
    <cellStyle name="Calculation 4 5 2 16" xfId="32332"/>
    <cellStyle name="Calculation 4 5 2 17" xfId="33335"/>
    <cellStyle name="Calculation 4 5 2 18" xfId="34334"/>
    <cellStyle name="Calculation 4 5 2 19" xfId="35955"/>
    <cellStyle name="Calculation 4 5 2 2" xfId="16358"/>
    <cellStyle name="Calculation 4 5 2 20" xfId="36894"/>
    <cellStyle name="Calculation 4 5 2 3" xfId="17336"/>
    <cellStyle name="Calculation 4 5 2 4" xfId="18364"/>
    <cellStyle name="Calculation 4 5 2 5" xfId="19396"/>
    <cellStyle name="Calculation 4 5 2 6" xfId="20418"/>
    <cellStyle name="Calculation 4 5 2 7" xfId="21427"/>
    <cellStyle name="Calculation 4 5 2 8" xfId="22401"/>
    <cellStyle name="Calculation 4 5 2 9" xfId="23406"/>
    <cellStyle name="Calculation 4 5 20" xfId="35954"/>
    <cellStyle name="Calculation 4 5 21" xfId="36893"/>
    <cellStyle name="Calculation 4 5 3" xfId="16357"/>
    <cellStyle name="Calculation 4 5 4" xfId="17335"/>
    <cellStyle name="Calculation 4 5 5" xfId="18363"/>
    <cellStyle name="Calculation 4 5 6" xfId="19395"/>
    <cellStyle name="Calculation 4 5 7" xfId="20417"/>
    <cellStyle name="Calculation 4 5 8" xfId="21426"/>
    <cellStyle name="Calculation 4 5 9" xfId="22400"/>
    <cellStyle name="Calculation 4 6" xfId="1120"/>
    <cellStyle name="Calculation 4 6 10" xfId="23407"/>
    <cellStyle name="Calculation 4 6 11" xfId="24379"/>
    <cellStyle name="Calculation 4 6 12" xfId="25378"/>
    <cellStyle name="Calculation 4 6 13" xfId="28323"/>
    <cellStyle name="Calculation 4 6 14" xfId="29292"/>
    <cellStyle name="Calculation 4 6 15" xfId="30331"/>
    <cellStyle name="Calculation 4 6 16" xfId="31324"/>
    <cellStyle name="Calculation 4 6 17" xfId="32333"/>
    <cellStyle name="Calculation 4 6 18" xfId="33336"/>
    <cellStyle name="Calculation 4 6 19" xfId="34335"/>
    <cellStyle name="Calculation 4 6 2" xfId="1121"/>
    <cellStyle name="Calculation 4 6 2 10" xfId="24380"/>
    <cellStyle name="Calculation 4 6 2 11" xfId="25379"/>
    <cellStyle name="Calculation 4 6 2 12" xfId="28324"/>
    <cellStyle name="Calculation 4 6 2 13" xfId="29293"/>
    <cellStyle name="Calculation 4 6 2 14" xfId="30332"/>
    <cellStyle name="Calculation 4 6 2 15" xfId="31325"/>
    <cellStyle name="Calculation 4 6 2 16" xfId="32334"/>
    <cellStyle name="Calculation 4 6 2 17" xfId="33337"/>
    <cellStyle name="Calculation 4 6 2 18" xfId="34336"/>
    <cellStyle name="Calculation 4 6 2 19" xfId="35957"/>
    <cellStyle name="Calculation 4 6 2 2" xfId="16360"/>
    <cellStyle name="Calculation 4 6 2 20" xfId="36896"/>
    <cellStyle name="Calculation 4 6 2 3" xfId="17338"/>
    <cellStyle name="Calculation 4 6 2 4" xfId="18366"/>
    <cellStyle name="Calculation 4 6 2 5" xfId="19398"/>
    <cellStyle name="Calculation 4 6 2 6" xfId="20420"/>
    <cellStyle name="Calculation 4 6 2 7" xfId="21429"/>
    <cellStyle name="Calculation 4 6 2 8" xfId="22403"/>
    <cellStyle name="Calculation 4 6 2 9" xfId="23408"/>
    <cellStyle name="Calculation 4 6 20" xfId="35956"/>
    <cellStyle name="Calculation 4 6 21" xfId="36895"/>
    <cellStyle name="Calculation 4 6 3" xfId="16359"/>
    <cellStyle name="Calculation 4 6 4" xfId="17337"/>
    <cellStyle name="Calculation 4 6 5" xfId="18365"/>
    <cellStyle name="Calculation 4 6 6" xfId="19397"/>
    <cellStyle name="Calculation 4 6 7" xfId="20419"/>
    <cellStyle name="Calculation 4 6 8" xfId="21428"/>
    <cellStyle name="Calculation 4 6 9" xfId="22402"/>
    <cellStyle name="Calculation 4 7" xfId="1122"/>
    <cellStyle name="Calculation 4 7 10" xfId="23409"/>
    <cellStyle name="Calculation 4 7 11" xfId="24381"/>
    <cellStyle name="Calculation 4 7 12" xfId="25380"/>
    <cellStyle name="Calculation 4 7 13" xfId="28325"/>
    <cellStyle name="Calculation 4 7 14" xfId="29294"/>
    <cellStyle name="Calculation 4 7 15" xfId="30333"/>
    <cellStyle name="Calculation 4 7 16" xfId="31326"/>
    <cellStyle name="Calculation 4 7 17" xfId="32335"/>
    <cellStyle name="Calculation 4 7 18" xfId="33338"/>
    <cellStyle name="Calculation 4 7 19" xfId="34337"/>
    <cellStyle name="Calculation 4 7 2" xfId="1123"/>
    <cellStyle name="Calculation 4 7 2 10" xfId="24382"/>
    <cellStyle name="Calculation 4 7 2 11" xfId="25381"/>
    <cellStyle name="Calculation 4 7 2 12" xfId="28326"/>
    <cellStyle name="Calculation 4 7 2 13" xfId="29295"/>
    <cellStyle name="Calculation 4 7 2 14" xfId="30334"/>
    <cellStyle name="Calculation 4 7 2 15" xfId="31327"/>
    <cellStyle name="Calculation 4 7 2 16" xfId="32336"/>
    <cellStyle name="Calculation 4 7 2 17" xfId="33339"/>
    <cellStyle name="Calculation 4 7 2 18" xfId="34338"/>
    <cellStyle name="Calculation 4 7 2 19" xfId="35959"/>
    <cellStyle name="Calculation 4 7 2 2" xfId="16362"/>
    <cellStyle name="Calculation 4 7 2 20" xfId="36898"/>
    <cellStyle name="Calculation 4 7 2 3" xfId="17340"/>
    <cellStyle name="Calculation 4 7 2 4" xfId="18368"/>
    <cellStyle name="Calculation 4 7 2 5" xfId="19400"/>
    <cellStyle name="Calculation 4 7 2 6" xfId="20422"/>
    <cellStyle name="Calculation 4 7 2 7" xfId="21431"/>
    <cellStyle name="Calculation 4 7 2 8" xfId="22405"/>
    <cellStyle name="Calculation 4 7 2 9" xfId="23410"/>
    <cellStyle name="Calculation 4 7 20" xfId="35958"/>
    <cellStyle name="Calculation 4 7 21" xfId="36897"/>
    <cellStyle name="Calculation 4 7 3" xfId="16361"/>
    <cellStyle name="Calculation 4 7 4" xfId="17339"/>
    <cellStyle name="Calculation 4 7 5" xfId="18367"/>
    <cellStyle name="Calculation 4 7 6" xfId="19399"/>
    <cellStyle name="Calculation 4 7 7" xfId="20421"/>
    <cellStyle name="Calculation 4 7 8" xfId="21430"/>
    <cellStyle name="Calculation 4 7 9" xfId="22404"/>
    <cellStyle name="Calculation 4 8" xfId="1124"/>
    <cellStyle name="Calculation 4 8 10" xfId="24383"/>
    <cellStyle name="Calculation 4 8 11" xfId="25382"/>
    <cellStyle name="Calculation 4 8 12" xfId="28327"/>
    <cellStyle name="Calculation 4 8 13" xfId="29296"/>
    <cellStyle name="Calculation 4 8 14" xfId="30335"/>
    <cellStyle name="Calculation 4 8 15" xfId="31328"/>
    <cellStyle name="Calculation 4 8 16" xfId="32337"/>
    <cellStyle name="Calculation 4 8 17" xfId="33340"/>
    <cellStyle name="Calculation 4 8 18" xfId="34339"/>
    <cellStyle name="Calculation 4 8 19" xfId="35960"/>
    <cellStyle name="Calculation 4 8 2" xfId="16363"/>
    <cellStyle name="Calculation 4 8 20" xfId="36899"/>
    <cellStyle name="Calculation 4 8 3" xfId="17341"/>
    <cellStyle name="Calculation 4 8 4" xfId="18369"/>
    <cellStyle name="Calculation 4 8 5" xfId="19401"/>
    <cellStyle name="Calculation 4 8 6" xfId="20423"/>
    <cellStyle name="Calculation 4 8 7" xfId="21432"/>
    <cellStyle name="Calculation 4 8 8" xfId="22406"/>
    <cellStyle name="Calculation 4 8 9" xfId="23411"/>
    <cellStyle name="Calculation 4 9" xfId="13404"/>
    <cellStyle name="Check Cell" xfId="13359" builtinId="23" customBuiltin="1"/>
    <cellStyle name="Check Cell 2" xfId="100"/>
    <cellStyle name="Check Cell 2 2" xfId="1125"/>
    <cellStyle name="Check Cell 2 2 2" xfId="1126"/>
    <cellStyle name="Check Cell 2 2 3" xfId="37419"/>
    <cellStyle name="Check Cell 2 3" xfId="1127"/>
    <cellStyle name="Check Cell 2 4" xfId="1128"/>
    <cellStyle name="Check Cell 3" xfId="99"/>
    <cellStyle name="Check Cell 4" xfId="1129"/>
    <cellStyle name="Color" xfId="1130"/>
    <cellStyle name="combo" xfId="101"/>
    <cellStyle name="Comma" xfId="1" builtinId="3"/>
    <cellStyle name="Comma 10" xfId="103"/>
    <cellStyle name="Comma 10 2" xfId="1131"/>
    <cellStyle name="Comma 11" xfId="104"/>
    <cellStyle name="Comma 11 2" xfId="1132"/>
    <cellStyle name="Comma 11 2 2" xfId="1133"/>
    <cellStyle name="Comma 11 2 2 2" xfId="1134"/>
    <cellStyle name="Comma 11 2 2 2 2" xfId="1135"/>
    <cellStyle name="Comma 11 2 2 2 2 2" xfId="1136"/>
    <cellStyle name="Comma 11 2 2 2 2 2 2" xfId="1137"/>
    <cellStyle name="Comma 11 2 2 2 2 2 3" xfId="1138"/>
    <cellStyle name="Comma 11 2 2 2 2 3" xfId="1139"/>
    <cellStyle name="Comma 11 2 2 2 2 3 2" xfId="1140"/>
    <cellStyle name="Comma 11 2 2 2 2 3 3" xfId="1141"/>
    <cellStyle name="Comma 11 2 2 2 2 4" xfId="1142"/>
    <cellStyle name="Comma 11 2 2 2 2 5" xfId="1143"/>
    <cellStyle name="Comma 11 2 2 2 3" xfId="1144"/>
    <cellStyle name="Comma 11 2 2 2 3 2" xfId="1145"/>
    <cellStyle name="Comma 11 2 2 2 3 3" xfId="1146"/>
    <cellStyle name="Comma 11 2 2 2 4" xfId="1147"/>
    <cellStyle name="Comma 11 2 2 2 4 2" xfId="1148"/>
    <cellStyle name="Comma 11 2 2 2 4 3" xfId="1149"/>
    <cellStyle name="Comma 11 2 2 2 5" xfId="1150"/>
    <cellStyle name="Comma 11 2 2 2 6" xfId="1151"/>
    <cellStyle name="Comma 11 2 2 3" xfId="1152"/>
    <cellStyle name="Comma 11 2 2 3 2" xfId="1153"/>
    <cellStyle name="Comma 11 2 2 3 2 2" xfId="1154"/>
    <cellStyle name="Comma 11 2 2 3 2 3" xfId="1155"/>
    <cellStyle name="Comma 11 2 2 3 3" xfId="1156"/>
    <cellStyle name="Comma 11 2 2 3 3 2" xfId="1157"/>
    <cellStyle name="Comma 11 2 2 3 3 3" xfId="1158"/>
    <cellStyle name="Comma 11 2 2 3 4" xfId="1159"/>
    <cellStyle name="Comma 11 2 2 3 5" xfId="1160"/>
    <cellStyle name="Comma 11 2 2 4" xfId="1161"/>
    <cellStyle name="Comma 11 2 2 4 2" xfId="1162"/>
    <cellStyle name="Comma 11 2 2 4 3" xfId="1163"/>
    <cellStyle name="Comma 11 2 2 5" xfId="1164"/>
    <cellStyle name="Comma 11 2 2 5 2" xfId="1165"/>
    <cellStyle name="Comma 11 2 2 5 3" xfId="1166"/>
    <cellStyle name="Comma 11 2 2 6" xfId="1167"/>
    <cellStyle name="Comma 11 2 2 7" xfId="1168"/>
    <cellStyle name="Comma 11 2 3" xfId="1169"/>
    <cellStyle name="Comma 11 2 3 2" xfId="1170"/>
    <cellStyle name="Comma 11 2 3 2 2" xfId="1171"/>
    <cellStyle name="Comma 11 2 3 2 2 2" xfId="1172"/>
    <cellStyle name="Comma 11 2 3 2 2 3" xfId="1173"/>
    <cellStyle name="Comma 11 2 3 2 3" xfId="1174"/>
    <cellStyle name="Comma 11 2 3 2 3 2" xfId="1175"/>
    <cellStyle name="Comma 11 2 3 2 3 3" xfId="1176"/>
    <cellStyle name="Comma 11 2 3 2 4" xfId="1177"/>
    <cellStyle name="Comma 11 2 3 2 5" xfId="1178"/>
    <cellStyle name="Comma 11 2 3 3" xfId="1179"/>
    <cellStyle name="Comma 11 2 3 3 2" xfId="1180"/>
    <cellStyle name="Comma 11 2 3 3 3" xfId="1181"/>
    <cellStyle name="Comma 11 2 3 4" xfId="1182"/>
    <cellStyle name="Comma 11 2 3 4 2" xfId="1183"/>
    <cellStyle name="Comma 11 2 3 4 3" xfId="1184"/>
    <cellStyle name="Comma 11 2 3 5" xfId="1185"/>
    <cellStyle name="Comma 11 2 3 6" xfId="1186"/>
    <cellStyle name="Comma 11 2 4" xfId="1187"/>
    <cellStyle name="Comma 11 2 4 2" xfId="1188"/>
    <cellStyle name="Comma 11 2 4 2 2" xfId="1189"/>
    <cellStyle name="Comma 11 2 4 2 3" xfId="1190"/>
    <cellStyle name="Comma 11 2 4 3" xfId="1191"/>
    <cellStyle name="Comma 11 2 4 3 2" xfId="1192"/>
    <cellStyle name="Comma 11 2 4 3 3" xfId="1193"/>
    <cellStyle name="Comma 11 2 4 4" xfId="1194"/>
    <cellStyle name="Comma 11 2 4 5" xfId="1195"/>
    <cellStyle name="Comma 11 2 5" xfId="1196"/>
    <cellStyle name="Comma 11 2 5 2" xfId="1197"/>
    <cellStyle name="Comma 11 2 5 3" xfId="1198"/>
    <cellStyle name="Comma 11 2 6" xfId="1199"/>
    <cellStyle name="Comma 11 2 6 2" xfId="1200"/>
    <cellStyle name="Comma 11 2 6 3" xfId="1201"/>
    <cellStyle name="Comma 11 2 7" xfId="1202"/>
    <cellStyle name="Comma 11 2 8" xfId="1203"/>
    <cellStyle name="Comma 11 3" xfId="1204"/>
    <cellStyle name="Comma 11 3 2" xfId="1205"/>
    <cellStyle name="Comma 11 3 2 2" xfId="1206"/>
    <cellStyle name="Comma 11 3 2 2 2" xfId="1207"/>
    <cellStyle name="Comma 11 3 2 2 2 2" xfId="1208"/>
    <cellStyle name="Comma 11 3 2 2 2 3" xfId="1209"/>
    <cellStyle name="Comma 11 3 2 2 3" xfId="1210"/>
    <cellStyle name="Comma 11 3 2 2 3 2" xfId="1211"/>
    <cellStyle name="Comma 11 3 2 2 3 3" xfId="1212"/>
    <cellStyle name="Comma 11 3 2 2 4" xfId="1213"/>
    <cellStyle name="Comma 11 3 2 2 5" xfId="1214"/>
    <cellStyle name="Comma 11 3 2 3" xfId="1215"/>
    <cellStyle name="Comma 11 3 2 3 2" xfId="1216"/>
    <cellStyle name="Comma 11 3 2 3 3" xfId="1217"/>
    <cellStyle name="Comma 11 3 2 4" xfId="1218"/>
    <cellStyle name="Comma 11 3 2 4 2" xfId="1219"/>
    <cellStyle name="Comma 11 3 2 4 3" xfId="1220"/>
    <cellStyle name="Comma 11 3 2 5" xfId="1221"/>
    <cellStyle name="Comma 11 3 2 6" xfId="1222"/>
    <cellStyle name="Comma 11 3 3" xfId="1223"/>
    <cellStyle name="Comma 11 3 3 2" xfId="1224"/>
    <cellStyle name="Comma 11 3 3 2 2" xfId="1225"/>
    <cellStyle name="Comma 11 3 3 2 3" xfId="1226"/>
    <cellStyle name="Comma 11 3 3 3" xfId="1227"/>
    <cellStyle name="Comma 11 3 3 3 2" xfId="1228"/>
    <cellStyle name="Comma 11 3 3 3 3" xfId="1229"/>
    <cellStyle name="Comma 11 3 3 4" xfId="1230"/>
    <cellStyle name="Comma 11 3 3 5" xfId="1231"/>
    <cellStyle name="Comma 11 3 4" xfId="1232"/>
    <cellStyle name="Comma 11 3 4 2" xfId="1233"/>
    <cellStyle name="Comma 11 3 4 3" xfId="1234"/>
    <cellStyle name="Comma 11 3 5" xfId="1235"/>
    <cellStyle name="Comma 11 3 5 2" xfId="1236"/>
    <cellStyle name="Comma 11 3 5 3" xfId="1237"/>
    <cellStyle name="Comma 11 3 6" xfId="1238"/>
    <cellStyle name="Comma 11 3 7" xfId="1239"/>
    <cellStyle name="Comma 11 4" xfId="1240"/>
    <cellStyle name="Comma 11 4 2" xfId="1241"/>
    <cellStyle name="Comma 11 4 2 2" xfId="1242"/>
    <cellStyle name="Comma 11 4 2 2 2" xfId="1243"/>
    <cellStyle name="Comma 11 4 2 2 3" xfId="1244"/>
    <cellStyle name="Comma 11 4 2 3" xfId="1245"/>
    <cellStyle name="Comma 11 4 2 3 2" xfId="1246"/>
    <cellStyle name="Comma 11 4 2 3 3" xfId="1247"/>
    <cellStyle name="Comma 11 4 2 4" xfId="1248"/>
    <cellStyle name="Comma 11 4 2 5" xfId="1249"/>
    <cellStyle name="Comma 11 4 3" xfId="1250"/>
    <cellStyle name="Comma 11 4 3 2" xfId="1251"/>
    <cellStyle name="Comma 11 4 3 3" xfId="1252"/>
    <cellStyle name="Comma 11 4 4" xfId="1253"/>
    <cellStyle name="Comma 11 4 4 2" xfId="1254"/>
    <cellStyle name="Comma 11 4 4 3" xfId="1255"/>
    <cellStyle name="Comma 11 4 5" xfId="1256"/>
    <cellStyle name="Comma 11 4 6" xfId="1257"/>
    <cellStyle name="Comma 11 5" xfId="1258"/>
    <cellStyle name="Comma 11 5 2" xfId="1259"/>
    <cellStyle name="Comma 11 5 2 2" xfId="1260"/>
    <cellStyle name="Comma 11 5 2 3" xfId="1261"/>
    <cellStyle name="Comma 11 5 3" xfId="1262"/>
    <cellStyle name="Comma 11 5 3 2" xfId="1263"/>
    <cellStyle name="Comma 11 5 3 3" xfId="1264"/>
    <cellStyle name="Comma 11 5 4" xfId="1265"/>
    <cellStyle name="Comma 11 5 5" xfId="1266"/>
    <cellStyle name="Comma 11 6" xfId="1267"/>
    <cellStyle name="Comma 11 6 2" xfId="1268"/>
    <cellStyle name="Comma 11 6 3" xfId="1269"/>
    <cellStyle name="Comma 11 7" xfId="1270"/>
    <cellStyle name="Comma 11 7 2" xfId="1271"/>
    <cellStyle name="Comma 11 7 3" xfId="1272"/>
    <cellStyle name="Comma 11 8" xfId="1273"/>
    <cellStyle name="Comma 11 9" xfId="1274"/>
    <cellStyle name="Comma 12" xfId="102"/>
    <cellStyle name="Comma 12 2" xfId="274"/>
    <cellStyle name="Comma 12 2 2" xfId="1275"/>
    <cellStyle name="Comma 12 2 2 2" xfId="1276"/>
    <cellStyle name="Comma 12 2 2 2 2" xfId="1277"/>
    <cellStyle name="Comma 12 2 2 2 2 2" xfId="1278"/>
    <cellStyle name="Comma 12 2 2 2 2 3" xfId="1279"/>
    <cellStyle name="Comma 12 2 2 2 3" xfId="1280"/>
    <cellStyle name="Comma 12 2 2 2 3 2" xfId="1281"/>
    <cellStyle name="Comma 12 2 2 2 3 3" xfId="1282"/>
    <cellStyle name="Comma 12 2 2 2 4" xfId="1283"/>
    <cellStyle name="Comma 12 2 2 2 5" xfId="1284"/>
    <cellStyle name="Comma 12 2 2 3" xfId="1285"/>
    <cellStyle name="Comma 12 2 2 3 2" xfId="1286"/>
    <cellStyle name="Comma 12 2 2 3 3" xfId="1287"/>
    <cellStyle name="Comma 12 2 2 4" xfId="1288"/>
    <cellStyle name="Comma 12 2 2 4 2" xfId="1289"/>
    <cellStyle name="Comma 12 2 2 4 3" xfId="1290"/>
    <cellStyle name="Comma 12 2 2 5" xfId="1291"/>
    <cellStyle name="Comma 12 2 2 6" xfId="1292"/>
    <cellStyle name="Comma 12 2 3" xfId="1293"/>
    <cellStyle name="Comma 12 2 3 2" xfId="1294"/>
    <cellStyle name="Comma 12 2 3 2 2" xfId="1295"/>
    <cellStyle name="Comma 12 2 3 2 3" xfId="1296"/>
    <cellStyle name="Comma 12 2 3 3" xfId="1297"/>
    <cellStyle name="Comma 12 2 3 3 2" xfId="1298"/>
    <cellStyle name="Comma 12 2 3 3 3" xfId="1299"/>
    <cellStyle name="Comma 12 2 3 4" xfId="1300"/>
    <cellStyle name="Comma 12 2 3 5" xfId="1301"/>
    <cellStyle name="Comma 12 2 4" xfId="1302"/>
    <cellStyle name="Comma 12 2 4 2" xfId="1303"/>
    <cellStyle name="Comma 12 2 4 3" xfId="1304"/>
    <cellStyle name="Comma 12 2 5" xfId="1305"/>
    <cellStyle name="Comma 12 2 5 2" xfId="1306"/>
    <cellStyle name="Comma 12 2 5 3" xfId="1307"/>
    <cellStyle name="Comma 12 2 6" xfId="1308"/>
    <cellStyle name="Comma 12 2 7" xfId="1309"/>
    <cellStyle name="Comma 12 3" xfId="279"/>
    <cellStyle name="Comma 12 4" xfId="1310"/>
    <cellStyle name="Comma 12 5" xfId="1311"/>
    <cellStyle name="Comma 12 6" xfId="1312"/>
    <cellStyle name="Comma 13" xfId="280"/>
    <cellStyle name="Comma 13 2" xfId="1313"/>
    <cellStyle name="Comma 13 2 2" xfId="1314"/>
    <cellStyle name="Comma 13 2 2 2" xfId="1315"/>
    <cellStyle name="Comma 13 2 2 2 2" xfId="1316"/>
    <cellStyle name="Comma 13 2 2 2 2 2" xfId="1317"/>
    <cellStyle name="Comma 13 2 2 2 2 3" xfId="1318"/>
    <cellStyle name="Comma 13 2 2 2 3" xfId="1319"/>
    <cellStyle name="Comma 13 2 2 2 3 2" xfId="1320"/>
    <cellStyle name="Comma 13 2 2 2 3 3" xfId="1321"/>
    <cellStyle name="Comma 13 2 2 2 4" xfId="1322"/>
    <cellStyle name="Comma 13 2 2 2 5" xfId="1323"/>
    <cellStyle name="Comma 13 2 2 3" xfId="1324"/>
    <cellStyle name="Comma 13 2 2 3 2" xfId="1325"/>
    <cellStyle name="Comma 13 2 2 3 3" xfId="1326"/>
    <cellStyle name="Comma 13 2 2 4" xfId="1327"/>
    <cellStyle name="Comma 13 2 2 4 2" xfId="1328"/>
    <cellStyle name="Comma 13 2 2 4 3" xfId="1329"/>
    <cellStyle name="Comma 13 2 2 5" xfId="1330"/>
    <cellStyle name="Comma 13 2 2 6" xfId="1331"/>
    <cellStyle name="Comma 13 2 3" xfId="1332"/>
    <cellStyle name="Comma 13 2 3 2" xfId="1333"/>
    <cellStyle name="Comma 13 2 3 2 2" xfId="1334"/>
    <cellStyle name="Comma 13 2 3 2 3" xfId="1335"/>
    <cellStyle name="Comma 13 2 3 3" xfId="1336"/>
    <cellStyle name="Comma 13 2 3 3 2" xfId="1337"/>
    <cellStyle name="Comma 13 2 3 3 3" xfId="1338"/>
    <cellStyle name="Comma 13 2 3 4" xfId="1339"/>
    <cellStyle name="Comma 13 2 3 5" xfId="1340"/>
    <cellStyle name="Comma 13 2 4" xfId="1341"/>
    <cellStyle name="Comma 13 2 4 2" xfId="1342"/>
    <cellStyle name="Comma 13 2 4 3" xfId="1343"/>
    <cellStyle name="Comma 13 2 5" xfId="1344"/>
    <cellStyle name="Comma 13 2 5 2" xfId="1345"/>
    <cellStyle name="Comma 13 2 5 3" xfId="1346"/>
    <cellStyle name="Comma 13 2 6" xfId="1347"/>
    <cellStyle name="Comma 13 2 7" xfId="1348"/>
    <cellStyle name="Comma 13 3" xfId="1349"/>
    <cellStyle name="Comma 13 3 2" xfId="1350"/>
    <cellStyle name="Comma 13 3 2 2" xfId="1351"/>
    <cellStyle name="Comma 13 3 2 2 2" xfId="1352"/>
    <cellStyle name="Comma 13 3 2 2 3" xfId="1353"/>
    <cellStyle name="Comma 13 3 2 3" xfId="1354"/>
    <cellStyle name="Comma 13 3 2 3 2" xfId="1355"/>
    <cellStyle name="Comma 13 3 2 3 3" xfId="1356"/>
    <cellStyle name="Comma 13 3 2 4" xfId="1357"/>
    <cellStyle name="Comma 13 3 2 5" xfId="1358"/>
    <cellStyle name="Comma 13 3 3" xfId="1359"/>
    <cellStyle name="Comma 13 3 3 2" xfId="1360"/>
    <cellStyle name="Comma 13 3 3 3" xfId="1361"/>
    <cellStyle name="Comma 13 3 4" xfId="1362"/>
    <cellStyle name="Comma 13 3 4 2" xfId="1363"/>
    <cellStyle name="Comma 13 3 4 3" xfId="1364"/>
    <cellStyle name="Comma 13 3 5" xfId="1365"/>
    <cellStyle name="Comma 13 3 6" xfId="1366"/>
    <cellStyle name="Comma 13 4" xfId="1367"/>
    <cellStyle name="Comma 13 4 2" xfId="1368"/>
    <cellStyle name="Comma 13 4 2 2" xfId="1369"/>
    <cellStyle name="Comma 13 4 2 3" xfId="1370"/>
    <cellStyle name="Comma 13 4 3" xfId="1371"/>
    <cellStyle name="Comma 13 4 3 2" xfId="1372"/>
    <cellStyle name="Comma 13 4 3 3" xfId="1373"/>
    <cellStyle name="Comma 13 4 4" xfId="1374"/>
    <cellStyle name="Comma 13 4 5" xfId="1375"/>
    <cellStyle name="Comma 13 5" xfId="1376"/>
    <cellStyle name="Comma 13 5 2" xfId="1377"/>
    <cellStyle name="Comma 13 5 3" xfId="1378"/>
    <cellStyle name="Comma 13 6" xfId="1379"/>
    <cellStyle name="Comma 13 6 2" xfId="1380"/>
    <cellStyle name="Comma 13 6 3" xfId="1381"/>
    <cellStyle name="Comma 13 7" xfId="1382"/>
    <cellStyle name="Comma 13 8" xfId="1383"/>
    <cellStyle name="Comma 14" xfId="281"/>
    <cellStyle name="Comma 14 2" xfId="1384"/>
    <cellStyle name="Comma 15" xfId="282"/>
    <cellStyle name="Comma 15 2" xfId="1385"/>
    <cellStyle name="Comma 15 2 2" xfId="1386"/>
    <cellStyle name="Comma 15 3" xfId="1387"/>
    <cellStyle name="Comma 15 4" xfId="1388"/>
    <cellStyle name="Comma 16" xfId="283"/>
    <cellStyle name="Comma 16 2" xfId="1389"/>
    <cellStyle name="Comma 16 2 2" xfId="1390"/>
    <cellStyle name="Comma 16 2 2 2" xfId="1391"/>
    <cellStyle name="Comma 16 2 2 3" xfId="1392"/>
    <cellStyle name="Comma 16 2 3" xfId="1393"/>
    <cellStyle name="Comma 16 2 3 2" xfId="1394"/>
    <cellStyle name="Comma 16 2 3 3" xfId="1395"/>
    <cellStyle name="Comma 16 2 4" xfId="1396"/>
    <cellStyle name="Comma 16 2 5" xfId="1397"/>
    <cellStyle name="Comma 16 3" xfId="1398"/>
    <cellStyle name="Comma 16 3 2" xfId="1399"/>
    <cellStyle name="Comma 16 3 3" xfId="1400"/>
    <cellStyle name="Comma 16 4" xfId="1401"/>
    <cellStyle name="Comma 16 4 2" xfId="1402"/>
    <cellStyle name="Comma 16 4 3" xfId="1403"/>
    <cellStyle name="Comma 16 5" xfId="1404"/>
    <cellStyle name="Comma 16 6" xfId="1405"/>
    <cellStyle name="Comma 17" xfId="315"/>
    <cellStyle name="Comma 17 2" xfId="1406"/>
    <cellStyle name="Comma 17 2 2" xfId="1407"/>
    <cellStyle name="Comma 17 3" xfId="1408"/>
    <cellStyle name="Comma 17 4" xfId="1409"/>
    <cellStyle name="Comma 17 5" xfId="1410"/>
    <cellStyle name="Comma 18" xfId="316"/>
    <cellStyle name="Comma 18 2" xfId="366"/>
    <cellStyle name="Comma 18 2 2" xfId="1411"/>
    <cellStyle name="Comma 18 3" xfId="1412"/>
    <cellStyle name="Comma 18 4" xfId="1413"/>
    <cellStyle name="Comma 18 5" xfId="1414"/>
    <cellStyle name="Comma 19" xfId="317"/>
    <cellStyle name="Comma 19 2" xfId="1415"/>
    <cellStyle name="Comma 19 3" xfId="1416"/>
    <cellStyle name="Comma 19 4" xfId="1417"/>
    <cellStyle name="Comma 19 5" xfId="1418"/>
    <cellStyle name="Comma 2" xfId="5"/>
    <cellStyle name="Comma 2 2" xfId="6"/>
    <cellStyle name="Comma 2 2 2" xfId="318"/>
    <cellStyle name="Comma 2 2 2 2" xfId="1419"/>
    <cellStyle name="Comma 2 2 2 2 2" xfId="1420"/>
    <cellStyle name="Comma 2 2 2 2 3" xfId="1421"/>
    <cellStyle name="Comma 2 2 3" xfId="1422"/>
    <cellStyle name="Comma 2 2 3 2" xfId="1423"/>
    <cellStyle name="Comma 2 2 3 3" xfId="1424"/>
    <cellStyle name="Comma 2 2 4" xfId="1425"/>
    <cellStyle name="Comma 2 3" xfId="105"/>
    <cellStyle name="Comma 2 3 2" xfId="1426"/>
    <cellStyle name="Comma 2 3 3" xfId="37404"/>
    <cellStyle name="Comma 2 4" xfId="319"/>
    <cellStyle name="Comma 2 4 2" xfId="1427"/>
    <cellStyle name="Comma 2 4 2 2" xfId="1428"/>
    <cellStyle name="Comma 2 4 2 2 2" xfId="34920"/>
    <cellStyle name="Comma 2 4 3" xfId="1429"/>
    <cellStyle name="Comma 2 4 4" xfId="1430"/>
    <cellStyle name="Comma 2 4 5" xfId="1431"/>
    <cellStyle name="Comma 2 4 6" xfId="1432"/>
    <cellStyle name="Comma 2 5" xfId="1433"/>
    <cellStyle name="Comma 2 5 2" xfId="1434"/>
    <cellStyle name="Comma 2 5 3" xfId="1435"/>
    <cellStyle name="Comma 2 5 4" xfId="37466"/>
    <cellStyle name="Comma 2 6" xfId="7"/>
    <cellStyle name="Comma 2 6 2" xfId="8"/>
    <cellStyle name="Comma 2 6 2 2" xfId="1436"/>
    <cellStyle name="Comma 2 6 3" xfId="1437"/>
    <cellStyle name="Comma 2 6 3 2" xfId="1438"/>
    <cellStyle name="Comma 2 6 4" xfId="1439"/>
    <cellStyle name="Comma 2 7" xfId="1440"/>
    <cellStyle name="Comma 2 7 2" xfId="1441"/>
    <cellStyle name="Comma 2 7 3" xfId="1442"/>
    <cellStyle name="Comma 2 7 4" xfId="1443"/>
    <cellStyle name="Comma 2 8" xfId="1444"/>
    <cellStyle name="Comma 2 8 2" xfId="34855"/>
    <cellStyle name="Comma 2 9" xfId="1445"/>
    <cellStyle name="Comma 20" xfId="369"/>
    <cellStyle name="Comma 20 2" xfId="1447"/>
    <cellStyle name="Comma 20 2 2" xfId="34856"/>
    <cellStyle name="Comma 20 3" xfId="1448"/>
    <cellStyle name="Comma 20 4" xfId="1446"/>
    <cellStyle name="Comma 21" xfId="1449"/>
    <cellStyle name="Comma 21 2" xfId="1450"/>
    <cellStyle name="Comma 21 3" xfId="1451"/>
    <cellStyle name="Comma 22" xfId="1452"/>
    <cellStyle name="Comma 22 2" xfId="1453"/>
    <cellStyle name="Comma 23" xfId="1454"/>
    <cellStyle name="Comma 24" xfId="1455"/>
    <cellStyle name="Comma 25" xfId="1456"/>
    <cellStyle name="Comma 25 2" xfId="1457"/>
    <cellStyle name="Comma 25 2 2" xfId="1458"/>
    <cellStyle name="Comma 26" xfId="1459"/>
    <cellStyle name="Comma 27" xfId="1460"/>
    <cellStyle name="Comma 28" xfId="1461"/>
    <cellStyle name="Comma 29" xfId="1462"/>
    <cellStyle name="Comma 29 2" xfId="1463"/>
    <cellStyle name="Comma 3" xfId="9"/>
    <cellStyle name="Comma 3 2" xfId="106"/>
    <cellStyle name="Comma 3 2 2" xfId="107"/>
    <cellStyle name="Comma 3 3" xfId="284"/>
    <cellStyle name="Comma 3 4" xfId="320"/>
    <cellStyle name="Comma 30" xfId="1464"/>
    <cellStyle name="Comma 31" xfId="1465"/>
    <cellStyle name="Comma 4" xfId="108"/>
    <cellStyle name="Comma 4 10" xfId="1466"/>
    <cellStyle name="Comma 4 11" xfId="1467"/>
    <cellStyle name="Comma 4 12" xfId="1468"/>
    <cellStyle name="Comma 4 2" xfId="109"/>
    <cellStyle name="Comma 4 2 10" xfId="1469"/>
    <cellStyle name="Comma 4 2 2" xfId="285"/>
    <cellStyle name="Comma 4 2 2 2" xfId="1470"/>
    <cellStyle name="Comma 4 2 2 2 2" xfId="1471"/>
    <cellStyle name="Comma 4 2 2 2 2 2" xfId="1472"/>
    <cellStyle name="Comma 4 2 2 2 2 2 2" xfId="1473"/>
    <cellStyle name="Comma 4 2 2 2 2 2 2 2" xfId="1474"/>
    <cellStyle name="Comma 4 2 2 2 2 2 2 3" xfId="1475"/>
    <cellStyle name="Comma 4 2 2 2 2 2 3" xfId="1476"/>
    <cellStyle name="Comma 4 2 2 2 2 2 3 2" xfId="1477"/>
    <cellStyle name="Comma 4 2 2 2 2 2 3 3" xfId="1478"/>
    <cellStyle name="Comma 4 2 2 2 2 2 4" xfId="1479"/>
    <cellStyle name="Comma 4 2 2 2 2 2 5" xfId="1480"/>
    <cellStyle name="Comma 4 2 2 2 2 3" xfId="1481"/>
    <cellStyle name="Comma 4 2 2 2 2 3 2" xfId="1482"/>
    <cellStyle name="Comma 4 2 2 2 2 3 3" xfId="1483"/>
    <cellStyle name="Comma 4 2 2 2 2 4" xfId="1484"/>
    <cellStyle name="Comma 4 2 2 2 2 4 2" xfId="1485"/>
    <cellStyle name="Comma 4 2 2 2 2 4 3" xfId="1486"/>
    <cellStyle name="Comma 4 2 2 2 2 5" xfId="1487"/>
    <cellStyle name="Comma 4 2 2 2 2 6" xfId="1488"/>
    <cellStyle name="Comma 4 2 2 2 3" xfId="1489"/>
    <cellStyle name="Comma 4 2 2 2 3 2" xfId="1490"/>
    <cellStyle name="Comma 4 2 2 2 3 2 2" xfId="1491"/>
    <cellStyle name="Comma 4 2 2 2 3 2 3" xfId="1492"/>
    <cellStyle name="Comma 4 2 2 2 3 3" xfId="1493"/>
    <cellStyle name="Comma 4 2 2 2 3 3 2" xfId="1494"/>
    <cellStyle name="Comma 4 2 2 2 3 3 3" xfId="1495"/>
    <cellStyle name="Comma 4 2 2 2 3 4" xfId="1496"/>
    <cellStyle name="Comma 4 2 2 2 3 5" xfId="1497"/>
    <cellStyle name="Comma 4 2 2 2 4" xfId="1498"/>
    <cellStyle name="Comma 4 2 2 2 4 2" xfId="1499"/>
    <cellStyle name="Comma 4 2 2 2 4 3" xfId="1500"/>
    <cellStyle name="Comma 4 2 2 2 5" xfId="1501"/>
    <cellStyle name="Comma 4 2 2 2 5 2" xfId="1502"/>
    <cellStyle name="Comma 4 2 2 2 5 3" xfId="1503"/>
    <cellStyle name="Comma 4 2 2 2 6" xfId="1504"/>
    <cellStyle name="Comma 4 2 2 2 7" xfId="1505"/>
    <cellStyle name="Comma 4 2 2 3" xfId="1506"/>
    <cellStyle name="Comma 4 2 2 3 2" xfId="1507"/>
    <cellStyle name="Comma 4 2 2 3 2 2" xfId="1508"/>
    <cellStyle name="Comma 4 2 2 3 2 2 2" xfId="1509"/>
    <cellStyle name="Comma 4 2 2 3 2 2 2 2" xfId="1510"/>
    <cellStyle name="Comma 4 2 2 3 2 2 2 3" xfId="1511"/>
    <cellStyle name="Comma 4 2 2 3 2 2 3" xfId="1512"/>
    <cellStyle name="Comma 4 2 2 3 2 2 3 2" xfId="1513"/>
    <cellStyle name="Comma 4 2 2 3 2 2 3 3" xfId="1514"/>
    <cellStyle name="Comma 4 2 2 3 2 2 4" xfId="1515"/>
    <cellStyle name="Comma 4 2 2 3 2 2 5" xfId="1516"/>
    <cellStyle name="Comma 4 2 2 3 2 3" xfId="1517"/>
    <cellStyle name="Comma 4 2 2 3 2 3 2" xfId="1518"/>
    <cellStyle name="Comma 4 2 2 3 2 3 3" xfId="1519"/>
    <cellStyle name="Comma 4 2 2 3 2 4" xfId="1520"/>
    <cellStyle name="Comma 4 2 2 3 2 4 2" xfId="1521"/>
    <cellStyle name="Comma 4 2 2 3 2 4 3" xfId="1522"/>
    <cellStyle name="Comma 4 2 2 3 2 5" xfId="1523"/>
    <cellStyle name="Comma 4 2 2 3 2 6" xfId="1524"/>
    <cellStyle name="Comma 4 2 2 3 3" xfId="1525"/>
    <cellStyle name="Comma 4 2 2 3 3 2" xfId="1526"/>
    <cellStyle name="Comma 4 2 2 3 3 2 2" xfId="1527"/>
    <cellStyle name="Comma 4 2 2 3 3 2 3" xfId="1528"/>
    <cellStyle name="Comma 4 2 2 3 3 3" xfId="1529"/>
    <cellStyle name="Comma 4 2 2 3 3 3 2" xfId="1530"/>
    <cellStyle name="Comma 4 2 2 3 3 3 3" xfId="1531"/>
    <cellStyle name="Comma 4 2 2 3 3 4" xfId="1532"/>
    <cellStyle name="Comma 4 2 2 3 3 5" xfId="1533"/>
    <cellStyle name="Comma 4 2 2 3 4" xfId="1534"/>
    <cellStyle name="Comma 4 2 2 3 4 2" xfId="1535"/>
    <cellStyle name="Comma 4 2 2 3 4 3" xfId="1536"/>
    <cellStyle name="Comma 4 2 2 3 5" xfId="1537"/>
    <cellStyle name="Comma 4 2 2 3 5 2" xfId="1538"/>
    <cellStyle name="Comma 4 2 2 3 5 3" xfId="1539"/>
    <cellStyle name="Comma 4 2 2 3 6" xfId="1540"/>
    <cellStyle name="Comma 4 2 2 3 7" xfId="1541"/>
    <cellStyle name="Comma 4 2 2 4" xfId="1542"/>
    <cellStyle name="Comma 4 2 2 4 2" xfId="1543"/>
    <cellStyle name="Comma 4 2 2 4 2 2" xfId="1544"/>
    <cellStyle name="Comma 4 2 2 4 2 2 2" xfId="1545"/>
    <cellStyle name="Comma 4 2 2 4 2 2 3" xfId="1546"/>
    <cellStyle name="Comma 4 2 2 4 2 3" xfId="1547"/>
    <cellStyle name="Comma 4 2 2 4 2 3 2" xfId="1548"/>
    <cellStyle name="Comma 4 2 2 4 2 3 3" xfId="1549"/>
    <cellStyle name="Comma 4 2 2 4 2 4" xfId="1550"/>
    <cellStyle name="Comma 4 2 2 4 2 5" xfId="1551"/>
    <cellStyle name="Comma 4 2 2 4 3" xfId="1552"/>
    <cellStyle name="Comma 4 2 2 4 3 2" xfId="1553"/>
    <cellStyle name="Comma 4 2 2 4 3 3" xfId="1554"/>
    <cellStyle name="Comma 4 2 2 4 4" xfId="1555"/>
    <cellStyle name="Comma 4 2 2 4 4 2" xfId="1556"/>
    <cellStyle name="Comma 4 2 2 4 4 3" xfId="1557"/>
    <cellStyle name="Comma 4 2 2 4 5" xfId="1558"/>
    <cellStyle name="Comma 4 2 2 4 6" xfId="1559"/>
    <cellStyle name="Comma 4 2 2 5" xfId="1560"/>
    <cellStyle name="Comma 4 2 2 5 2" xfId="1561"/>
    <cellStyle name="Comma 4 2 2 5 2 2" xfId="1562"/>
    <cellStyle name="Comma 4 2 2 5 2 3" xfId="1563"/>
    <cellStyle name="Comma 4 2 2 5 3" xfId="1564"/>
    <cellStyle name="Comma 4 2 2 5 3 2" xfId="1565"/>
    <cellStyle name="Comma 4 2 2 5 3 3" xfId="1566"/>
    <cellStyle name="Comma 4 2 2 5 4" xfId="1567"/>
    <cellStyle name="Comma 4 2 2 5 5" xfId="1568"/>
    <cellStyle name="Comma 4 2 2 6" xfId="1569"/>
    <cellStyle name="Comma 4 2 2 6 2" xfId="1570"/>
    <cellStyle name="Comma 4 2 2 6 3" xfId="1571"/>
    <cellStyle name="Comma 4 2 2 7" xfId="1572"/>
    <cellStyle name="Comma 4 2 2 7 2" xfId="1573"/>
    <cellStyle name="Comma 4 2 2 7 3" xfId="1574"/>
    <cellStyle name="Comma 4 2 2 8" xfId="1575"/>
    <cellStyle name="Comma 4 2 2 9" xfId="1576"/>
    <cellStyle name="Comma 4 2 3" xfId="1577"/>
    <cellStyle name="Comma 4 2 3 2" xfId="1578"/>
    <cellStyle name="Comma 4 2 3 2 2" xfId="1579"/>
    <cellStyle name="Comma 4 2 3 2 2 2" xfId="1580"/>
    <cellStyle name="Comma 4 2 3 2 2 2 2" xfId="1581"/>
    <cellStyle name="Comma 4 2 3 2 2 2 3" xfId="1582"/>
    <cellStyle name="Comma 4 2 3 2 2 3" xfId="1583"/>
    <cellStyle name="Comma 4 2 3 2 2 3 2" xfId="1584"/>
    <cellStyle name="Comma 4 2 3 2 2 3 3" xfId="1585"/>
    <cellStyle name="Comma 4 2 3 2 2 4" xfId="1586"/>
    <cellStyle name="Comma 4 2 3 2 2 5" xfId="1587"/>
    <cellStyle name="Comma 4 2 3 2 3" xfId="1588"/>
    <cellStyle name="Comma 4 2 3 2 3 2" xfId="1589"/>
    <cellStyle name="Comma 4 2 3 2 3 3" xfId="1590"/>
    <cellStyle name="Comma 4 2 3 2 4" xfId="1591"/>
    <cellStyle name="Comma 4 2 3 2 4 2" xfId="1592"/>
    <cellStyle name="Comma 4 2 3 2 4 3" xfId="1593"/>
    <cellStyle name="Comma 4 2 3 2 5" xfId="1594"/>
    <cellStyle name="Comma 4 2 3 2 6" xfId="1595"/>
    <cellStyle name="Comma 4 2 3 3" xfId="1596"/>
    <cellStyle name="Comma 4 2 3 3 2" xfId="1597"/>
    <cellStyle name="Comma 4 2 3 3 2 2" xfId="1598"/>
    <cellStyle name="Comma 4 2 3 3 2 3" xfId="1599"/>
    <cellStyle name="Comma 4 2 3 3 3" xfId="1600"/>
    <cellStyle name="Comma 4 2 3 3 3 2" xfId="1601"/>
    <cellStyle name="Comma 4 2 3 3 3 3" xfId="1602"/>
    <cellStyle name="Comma 4 2 3 3 4" xfId="1603"/>
    <cellStyle name="Comma 4 2 3 3 5" xfId="1604"/>
    <cellStyle name="Comma 4 2 3 4" xfId="1605"/>
    <cellStyle name="Comma 4 2 3 4 2" xfId="1606"/>
    <cellStyle name="Comma 4 2 3 4 3" xfId="1607"/>
    <cellStyle name="Comma 4 2 3 5" xfId="1608"/>
    <cellStyle name="Comma 4 2 3 5 2" xfId="1609"/>
    <cellStyle name="Comma 4 2 3 5 3" xfId="1610"/>
    <cellStyle name="Comma 4 2 3 6" xfId="1611"/>
    <cellStyle name="Comma 4 2 3 7" xfId="1612"/>
    <cellStyle name="Comma 4 2 4" xfId="1613"/>
    <cellStyle name="Comma 4 2 4 2" xfId="1614"/>
    <cellStyle name="Comma 4 2 4 2 2" xfId="1615"/>
    <cellStyle name="Comma 4 2 4 2 2 2" xfId="1616"/>
    <cellStyle name="Comma 4 2 4 2 2 2 2" xfId="1617"/>
    <cellStyle name="Comma 4 2 4 2 2 2 3" xfId="1618"/>
    <cellStyle name="Comma 4 2 4 2 2 3" xfId="1619"/>
    <cellStyle name="Comma 4 2 4 2 2 3 2" xfId="1620"/>
    <cellStyle name="Comma 4 2 4 2 2 3 3" xfId="1621"/>
    <cellStyle name="Comma 4 2 4 2 2 4" xfId="1622"/>
    <cellStyle name="Comma 4 2 4 2 2 5" xfId="1623"/>
    <cellStyle name="Comma 4 2 4 2 3" xfId="1624"/>
    <cellStyle name="Comma 4 2 4 2 3 2" xfId="1625"/>
    <cellStyle name="Comma 4 2 4 2 3 3" xfId="1626"/>
    <cellStyle name="Comma 4 2 4 2 4" xfId="1627"/>
    <cellStyle name="Comma 4 2 4 2 4 2" xfId="1628"/>
    <cellStyle name="Comma 4 2 4 2 4 3" xfId="1629"/>
    <cellStyle name="Comma 4 2 4 2 5" xfId="1630"/>
    <cellStyle name="Comma 4 2 4 2 6" xfId="1631"/>
    <cellStyle name="Comma 4 2 4 3" xfId="1632"/>
    <cellStyle name="Comma 4 2 4 3 2" xfId="1633"/>
    <cellStyle name="Comma 4 2 4 3 2 2" xfId="1634"/>
    <cellStyle name="Comma 4 2 4 3 2 3" xfId="1635"/>
    <cellStyle name="Comma 4 2 4 3 3" xfId="1636"/>
    <cellStyle name="Comma 4 2 4 3 3 2" xfId="1637"/>
    <cellStyle name="Comma 4 2 4 3 3 3" xfId="1638"/>
    <cellStyle name="Comma 4 2 4 3 4" xfId="1639"/>
    <cellStyle name="Comma 4 2 4 3 5" xfId="1640"/>
    <cellStyle name="Comma 4 2 4 4" xfId="1641"/>
    <cellStyle name="Comma 4 2 4 4 2" xfId="1642"/>
    <cellStyle name="Comma 4 2 4 4 3" xfId="1643"/>
    <cellStyle name="Comma 4 2 4 5" xfId="1644"/>
    <cellStyle name="Comma 4 2 4 5 2" xfId="1645"/>
    <cellStyle name="Comma 4 2 4 5 3" xfId="1646"/>
    <cellStyle name="Comma 4 2 4 6" xfId="1647"/>
    <cellStyle name="Comma 4 2 4 7" xfId="1648"/>
    <cellStyle name="Comma 4 2 5" xfId="1649"/>
    <cellStyle name="Comma 4 2 5 2" xfId="1650"/>
    <cellStyle name="Comma 4 2 5 2 2" xfId="1651"/>
    <cellStyle name="Comma 4 2 5 2 2 2" xfId="1652"/>
    <cellStyle name="Comma 4 2 5 2 2 3" xfId="1653"/>
    <cellStyle name="Comma 4 2 5 2 3" xfId="1654"/>
    <cellStyle name="Comma 4 2 5 2 3 2" xfId="1655"/>
    <cellStyle name="Comma 4 2 5 2 3 3" xfId="1656"/>
    <cellStyle name="Comma 4 2 5 2 4" xfId="1657"/>
    <cellStyle name="Comma 4 2 5 2 5" xfId="1658"/>
    <cellStyle name="Comma 4 2 5 3" xfId="1659"/>
    <cellStyle name="Comma 4 2 5 3 2" xfId="1660"/>
    <cellStyle name="Comma 4 2 5 3 3" xfId="1661"/>
    <cellStyle name="Comma 4 2 5 4" xfId="1662"/>
    <cellStyle name="Comma 4 2 5 4 2" xfId="1663"/>
    <cellStyle name="Comma 4 2 5 4 3" xfId="1664"/>
    <cellStyle name="Comma 4 2 5 5" xfId="1665"/>
    <cellStyle name="Comma 4 2 5 6" xfId="1666"/>
    <cellStyle name="Comma 4 2 6" xfId="1667"/>
    <cellStyle name="Comma 4 2 6 2" xfId="1668"/>
    <cellStyle name="Comma 4 2 6 2 2" xfId="1669"/>
    <cellStyle name="Comma 4 2 6 2 3" xfId="1670"/>
    <cellStyle name="Comma 4 2 6 3" xfId="1671"/>
    <cellStyle name="Comma 4 2 6 3 2" xfId="1672"/>
    <cellStyle name="Comma 4 2 6 3 3" xfId="1673"/>
    <cellStyle name="Comma 4 2 6 4" xfId="1674"/>
    <cellStyle name="Comma 4 2 6 5" xfId="1675"/>
    <cellStyle name="Comma 4 2 7" xfId="1676"/>
    <cellStyle name="Comma 4 2 7 2" xfId="1677"/>
    <cellStyle name="Comma 4 2 7 3" xfId="1678"/>
    <cellStyle name="Comma 4 2 8" xfId="1679"/>
    <cellStyle name="Comma 4 2 8 2" xfId="1680"/>
    <cellStyle name="Comma 4 2 8 3" xfId="1681"/>
    <cellStyle name="Comma 4 2 9" xfId="1682"/>
    <cellStyle name="Comma 4 3" xfId="110"/>
    <cellStyle name="Comma 4 3 10" xfId="1683"/>
    <cellStyle name="Comma 4 3 2" xfId="286"/>
    <cellStyle name="Comma 4 3 2 2" xfId="1684"/>
    <cellStyle name="Comma 4 3 2 2 2" xfId="1685"/>
    <cellStyle name="Comma 4 3 2 2 2 2" xfId="1686"/>
    <cellStyle name="Comma 4 3 2 2 2 2 2" xfId="1687"/>
    <cellStyle name="Comma 4 3 2 2 2 2 3" xfId="1688"/>
    <cellStyle name="Comma 4 3 2 2 2 3" xfId="1689"/>
    <cellStyle name="Comma 4 3 2 2 2 3 2" xfId="1690"/>
    <cellStyle name="Comma 4 3 2 2 2 3 3" xfId="1691"/>
    <cellStyle name="Comma 4 3 2 2 2 4" xfId="1692"/>
    <cellStyle name="Comma 4 3 2 2 2 5" xfId="1693"/>
    <cellStyle name="Comma 4 3 2 2 3" xfId="1694"/>
    <cellStyle name="Comma 4 3 2 2 3 2" xfId="1695"/>
    <cellStyle name="Comma 4 3 2 2 3 3" xfId="1696"/>
    <cellStyle name="Comma 4 3 2 2 4" xfId="1697"/>
    <cellStyle name="Comma 4 3 2 2 4 2" xfId="1698"/>
    <cellStyle name="Comma 4 3 2 2 4 3" xfId="1699"/>
    <cellStyle name="Comma 4 3 2 2 5" xfId="1700"/>
    <cellStyle name="Comma 4 3 2 2 6" xfId="1701"/>
    <cellStyle name="Comma 4 3 2 3" xfId="1702"/>
    <cellStyle name="Comma 4 3 2 3 2" xfId="1703"/>
    <cellStyle name="Comma 4 3 2 3 2 2" xfId="1704"/>
    <cellStyle name="Comma 4 3 2 3 2 3" xfId="1705"/>
    <cellStyle name="Comma 4 3 2 3 3" xfId="1706"/>
    <cellStyle name="Comma 4 3 2 3 3 2" xfId="1707"/>
    <cellStyle name="Comma 4 3 2 3 3 3" xfId="1708"/>
    <cellStyle name="Comma 4 3 2 3 4" xfId="1709"/>
    <cellStyle name="Comma 4 3 2 3 5" xfId="1710"/>
    <cellStyle name="Comma 4 3 2 4" xfId="1711"/>
    <cellStyle name="Comma 4 3 2 4 2" xfId="1712"/>
    <cellStyle name="Comma 4 3 2 4 3" xfId="1713"/>
    <cellStyle name="Comma 4 3 2 5" xfId="1714"/>
    <cellStyle name="Comma 4 3 2 5 2" xfId="1715"/>
    <cellStyle name="Comma 4 3 2 5 3" xfId="1716"/>
    <cellStyle name="Comma 4 3 2 6" xfId="1717"/>
    <cellStyle name="Comma 4 3 2 7" xfId="1718"/>
    <cellStyle name="Comma 4 3 3" xfId="1719"/>
    <cellStyle name="Comma 4 3 3 2" xfId="1720"/>
    <cellStyle name="Comma 4 3 3 2 2" xfId="1721"/>
    <cellStyle name="Comma 4 3 3 2 2 2" xfId="1722"/>
    <cellStyle name="Comma 4 3 3 2 2 2 2" xfId="1723"/>
    <cellStyle name="Comma 4 3 3 2 2 2 3" xfId="1724"/>
    <cellStyle name="Comma 4 3 3 2 2 3" xfId="1725"/>
    <cellStyle name="Comma 4 3 3 2 2 3 2" xfId="1726"/>
    <cellStyle name="Comma 4 3 3 2 2 3 3" xfId="1727"/>
    <cellStyle name="Comma 4 3 3 2 2 4" xfId="1728"/>
    <cellStyle name="Comma 4 3 3 2 2 5" xfId="1729"/>
    <cellStyle name="Comma 4 3 3 2 3" xfId="1730"/>
    <cellStyle name="Comma 4 3 3 2 3 2" xfId="1731"/>
    <cellStyle name="Comma 4 3 3 2 3 3" xfId="1732"/>
    <cellStyle name="Comma 4 3 3 2 4" xfId="1733"/>
    <cellStyle name="Comma 4 3 3 2 4 2" xfId="1734"/>
    <cellStyle name="Comma 4 3 3 2 4 3" xfId="1735"/>
    <cellStyle name="Comma 4 3 3 2 5" xfId="1736"/>
    <cellStyle name="Comma 4 3 3 2 6" xfId="1737"/>
    <cellStyle name="Comma 4 3 3 3" xfId="1738"/>
    <cellStyle name="Comma 4 3 3 3 2" xfId="1739"/>
    <cellStyle name="Comma 4 3 3 3 2 2" xfId="1740"/>
    <cellStyle name="Comma 4 3 3 3 2 3" xfId="1741"/>
    <cellStyle name="Comma 4 3 3 3 3" xfId="1742"/>
    <cellStyle name="Comma 4 3 3 3 3 2" xfId="1743"/>
    <cellStyle name="Comma 4 3 3 3 3 3" xfId="1744"/>
    <cellStyle name="Comma 4 3 3 3 4" xfId="1745"/>
    <cellStyle name="Comma 4 3 3 3 5" xfId="1746"/>
    <cellStyle name="Comma 4 3 3 4" xfId="1747"/>
    <cellStyle name="Comma 4 3 3 4 2" xfId="1748"/>
    <cellStyle name="Comma 4 3 3 4 3" xfId="1749"/>
    <cellStyle name="Comma 4 3 3 5" xfId="1750"/>
    <cellStyle name="Comma 4 3 3 5 2" xfId="1751"/>
    <cellStyle name="Comma 4 3 3 5 3" xfId="1752"/>
    <cellStyle name="Comma 4 3 3 6" xfId="1753"/>
    <cellStyle name="Comma 4 3 3 7" xfId="1754"/>
    <cellStyle name="Comma 4 3 4" xfId="1755"/>
    <cellStyle name="Comma 4 3 4 2" xfId="1756"/>
    <cellStyle name="Comma 4 3 4 2 2" xfId="1757"/>
    <cellStyle name="Comma 4 3 4 2 2 2" xfId="1758"/>
    <cellStyle name="Comma 4 3 4 2 2 3" xfId="1759"/>
    <cellStyle name="Comma 4 3 4 2 3" xfId="1760"/>
    <cellStyle name="Comma 4 3 4 2 3 2" xfId="1761"/>
    <cellStyle name="Comma 4 3 4 2 3 3" xfId="1762"/>
    <cellStyle name="Comma 4 3 4 2 4" xfId="1763"/>
    <cellStyle name="Comma 4 3 4 2 5" xfId="1764"/>
    <cellStyle name="Comma 4 3 4 3" xfId="1765"/>
    <cellStyle name="Comma 4 3 4 3 2" xfId="1766"/>
    <cellStyle name="Comma 4 3 4 3 3" xfId="1767"/>
    <cellStyle name="Comma 4 3 4 4" xfId="1768"/>
    <cellStyle name="Comma 4 3 4 4 2" xfId="1769"/>
    <cellStyle name="Comma 4 3 4 4 3" xfId="1770"/>
    <cellStyle name="Comma 4 3 4 5" xfId="1771"/>
    <cellStyle name="Comma 4 3 4 6" xfId="1772"/>
    <cellStyle name="Comma 4 3 5" xfId="1773"/>
    <cellStyle name="Comma 4 3 5 2" xfId="1774"/>
    <cellStyle name="Comma 4 3 5 2 2" xfId="1775"/>
    <cellStyle name="Comma 4 3 5 2 3" xfId="1776"/>
    <cellStyle name="Comma 4 3 5 3" xfId="1777"/>
    <cellStyle name="Comma 4 3 5 3 2" xfId="1778"/>
    <cellStyle name="Comma 4 3 5 3 3" xfId="1779"/>
    <cellStyle name="Comma 4 3 5 4" xfId="1780"/>
    <cellStyle name="Comma 4 3 5 5" xfId="1781"/>
    <cellStyle name="Comma 4 3 6" xfId="1782"/>
    <cellStyle name="Comma 4 3 6 2" xfId="1783"/>
    <cellStyle name="Comma 4 3 6 3" xfId="1784"/>
    <cellStyle name="Comma 4 3 7" xfId="1785"/>
    <cellStyle name="Comma 4 3 7 2" xfId="1786"/>
    <cellStyle name="Comma 4 3 7 3" xfId="1787"/>
    <cellStyle name="Comma 4 3 8" xfId="1788"/>
    <cellStyle name="Comma 4 3 9" xfId="1789"/>
    <cellStyle name="Comma 4 4" xfId="287"/>
    <cellStyle name="Comma 4 4 10" xfId="1790"/>
    <cellStyle name="Comma 4 4 2" xfId="1791"/>
    <cellStyle name="Comma 4 4 2 2" xfId="1792"/>
    <cellStyle name="Comma 4 4 2 2 2" xfId="1793"/>
    <cellStyle name="Comma 4 4 2 2 2 2" xfId="1794"/>
    <cellStyle name="Comma 4 4 2 2 2 2 2" xfId="1795"/>
    <cellStyle name="Comma 4 4 2 2 2 2 3" xfId="1796"/>
    <cellStyle name="Comma 4 4 2 2 2 3" xfId="1797"/>
    <cellStyle name="Comma 4 4 2 2 2 3 2" xfId="1798"/>
    <cellStyle name="Comma 4 4 2 2 2 3 3" xfId="1799"/>
    <cellStyle name="Comma 4 4 2 2 2 4" xfId="1800"/>
    <cellStyle name="Comma 4 4 2 2 2 5" xfId="1801"/>
    <cellStyle name="Comma 4 4 2 2 3" xfId="1802"/>
    <cellStyle name="Comma 4 4 2 2 3 2" xfId="1803"/>
    <cellStyle name="Comma 4 4 2 2 3 3" xfId="1804"/>
    <cellStyle name="Comma 4 4 2 2 4" xfId="1805"/>
    <cellStyle name="Comma 4 4 2 2 4 2" xfId="1806"/>
    <cellStyle name="Comma 4 4 2 2 4 3" xfId="1807"/>
    <cellStyle name="Comma 4 4 2 2 5" xfId="1808"/>
    <cellStyle name="Comma 4 4 2 2 6" xfId="1809"/>
    <cellStyle name="Comma 4 4 2 3" xfId="1810"/>
    <cellStyle name="Comma 4 4 2 3 2" xfId="1811"/>
    <cellStyle name="Comma 4 4 2 3 2 2" xfId="1812"/>
    <cellStyle name="Comma 4 4 2 3 2 3" xfId="1813"/>
    <cellStyle name="Comma 4 4 2 3 3" xfId="1814"/>
    <cellStyle name="Comma 4 4 2 3 3 2" xfId="1815"/>
    <cellStyle name="Comma 4 4 2 3 3 3" xfId="1816"/>
    <cellStyle name="Comma 4 4 2 3 4" xfId="1817"/>
    <cellStyle name="Comma 4 4 2 3 5" xfId="1818"/>
    <cellStyle name="Comma 4 4 2 4" xfId="1819"/>
    <cellStyle name="Comma 4 4 2 4 2" xfId="1820"/>
    <cellStyle name="Comma 4 4 2 4 3" xfId="1821"/>
    <cellStyle name="Comma 4 4 2 5" xfId="1822"/>
    <cellStyle name="Comma 4 4 2 5 2" xfId="1823"/>
    <cellStyle name="Comma 4 4 2 5 3" xfId="1824"/>
    <cellStyle name="Comma 4 4 2 6" xfId="1825"/>
    <cellStyle name="Comma 4 4 2 7" xfId="1826"/>
    <cellStyle name="Comma 4 4 3" xfId="1827"/>
    <cellStyle name="Comma 4 4 3 2" xfId="1828"/>
    <cellStyle name="Comma 4 4 3 2 2" xfId="1829"/>
    <cellStyle name="Comma 4 4 3 2 2 2" xfId="1830"/>
    <cellStyle name="Comma 4 4 3 2 2 3" xfId="1831"/>
    <cellStyle name="Comma 4 4 3 2 3" xfId="1832"/>
    <cellStyle name="Comma 4 4 3 2 3 2" xfId="1833"/>
    <cellStyle name="Comma 4 4 3 2 3 3" xfId="1834"/>
    <cellStyle name="Comma 4 4 3 2 4" xfId="1835"/>
    <cellStyle name="Comma 4 4 3 2 5" xfId="1836"/>
    <cellStyle name="Comma 4 4 3 3" xfId="1837"/>
    <cellStyle name="Comma 4 4 3 3 2" xfId="1838"/>
    <cellStyle name="Comma 4 4 3 3 3" xfId="1839"/>
    <cellStyle name="Comma 4 4 3 4" xfId="1840"/>
    <cellStyle name="Comma 4 4 3 4 2" xfId="1841"/>
    <cellStyle name="Comma 4 4 3 4 3" xfId="1842"/>
    <cellStyle name="Comma 4 4 3 5" xfId="1843"/>
    <cellStyle name="Comma 4 4 3 6" xfId="1844"/>
    <cellStyle name="Comma 4 4 4" xfId="1845"/>
    <cellStyle name="Comma 4 4 4 2" xfId="1846"/>
    <cellStyle name="Comma 4 4 4 2 2" xfId="1847"/>
    <cellStyle name="Comma 4 4 4 2 3" xfId="1848"/>
    <cellStyle name="Comma 4 4 4 3" xfId="1849"/>
    <cellStyle name="Comma 4 4 4 3 2" xfId="1850"/>
    <cellStyle name="Comma 4 4 4 3 3" xfId="1851"/>
    <cellStyle name="Comma 4 4 4 4" xfId="1852"/>
    <cellStyle name="Comma 4 4 4 5" xfId="1853"/>
    <cellStyle name="Comma 4 4 5" xfId="1854"/>
    <cellStyle name="Comma 4 4 5 2" xfId="1855"/>
    <cellStyle name="Comma 4 4 5 3" xfId="1856"/>
    <cellStyle name="Comma 4 4 6" xfId="1857"/>
    <cellStyle name="Comma 4 4 6 2" xfId="1858"/>
    <cellStyle name="Comma 4 4 6 3" xfId="1859"/>
    <cellStyle name="Comma 4 4 7" xfId="1860"/>
    <cellStyle name="Comma 4 4 8" xfId="1861"/>
    <cellStyle name="Comma 4 4 9" xfId="1862"/>
    <cellStyle name="Comma 4 5" xfId="111"/>
    <cellStyle name="Comma 4 5 2" xfId="1863"/>
    <cellStyle name="Comma 4 5 2 2" xfId="1864"/>
    <cellStyle name="Comma 4 5 2 2 2" xfId="1865"/>
    <cellStyle name="Comma 4 5 2 2 2 2" xfId="1866"/>
    <cellStyle name="Comma 4 5 2 2 2 3" xfId="1867"/>
    <cellStyle name="Comma 4 5 2 2 3" xfId="1868"/>
    <cellStyle name="Comma 4 5 2 2 3 2" xfId="1869"/>
    <cellStyle name="Comma 4 5 2 2 3 3" xfId="1870"/>
    <cellStyle name="Comma 4 5 2 2 4" xfId="1871"/>
    <cellStyle name="Comma 4 5 2 2 5" xfId="1872"/>
    <cellStyle name="Comma 4 5 2 3" xfId="1873"/>
    <cellStyle name="Comma 4 5 2 3 2" xfId="1874"/>
    <cellStyle name="Comma 4 5 2 3 3" xfId="1875"/>
    <cellStyle name="Comma 4 5 2 4" xfId="1876"/>
    <cellStyle name="Comma 4 5 2 4 2" xfId="1877"/>
    <cellStyle name="Comma 4 5 2 4 3" xfId="1878"/>
    <cellStyle name="Comma 4 5 2 5" xfId="1879"/>
    <cellStyle name="Comma 4 5 2 6" xfId="1880"/>
    <cellStyle name="Comma 4 5 3" xfId="1881"/>
    <cellStyle name="Comma 4 5 3 2" xfId="1882"/>
    <cellStyle name="Comma 4 5 3 2 2" xfId="1883"/>
    <cellStyle name="Comma 4 5 3 2 3" xfId="1884"/>
    <cellStyle name="Comma 4 5 3 3" xfId="1885"/>
    <cellStyle name="Comma 4 5 3 3 2" xfId="1886"/>
    <cellStyle name="Comma 4 5 3 3 3" xfId="1887"/>
    <cellStyle name="Comma 4 5 3 4" xfId="1888"/>
    <cellStyle name="Comma 4 5 3 5" xfId="1889"/>
    <cellStyle name="Comma 4 5 4" xfId="1890"/>
    <cellStyle name="Comma 4 5 4 2" xfId="1891"/>
    <cellStyle name="Comma 4 5 4 3" xfId="1892"/>
    <cellStyle name="Comma 4 5 5" xfId="1893"/>
    <cellStyle name="Comma 4 5 5 2" xfId="1894"/>
    <cellStyle name="Comma 4 5 5 3" xfId="1895"/>
    <cellStyle name="Comma 4 5 6" xfId="1896"/>
    <cellStyle name="Comma 4 5 7" xfId="1897"/>
    <cellStyle name="Comma 4 6" xfId="277"/>
    <cellStyle name="Comma 4 6 2" xfId="1898"/>
    <cellStyle name="Comma 4 6 2 2" xfId="1899"/>
    <cellStyle name="Comma 4 6 2 2 2" xfId="1900"/>
    <cellStyle name="Comma 4 6 2 2 3" xfId="1901"/>
    <cellStyle name="Comma 4 6 2 3" xfId="1902"/>
    <cellStyle name="Comma 4 6 2 3 2" xfId="1903"/>
    <cellStyle name="Comma 4 6 2 3 3" xfId="1904"/>
    <cellStyle name="Comma 4 6 2 4" xfId="1905"/>
    <cellStyle name="Comma 4 6 2 5" xfId="1906"/>
    <cellStyle name="Comma 4 6 3" xfId="1907"/>
    <cellStyle name="Comma 4 6 3 2" xfId="1908"/>
    <cellStyle name="Comma 4 6 3 3" xfId="1909"/>
    <cellStyle name="Comma 4 6 4" xfId="1910"/>
    <cellStyle name="Comma 4 6 4 2" xfId="1911"/>
    <cellStyle name="Comma 4 6 4 3" xfId="1912"/>
    <cellStyle name="Comma 4 6 5" xfId="1913"/>
    <cellStyle name="Comma 4 6 6" xfId="1914"/>
    <cellStyle name="Comma 4 6 7" xfId="37458"/>
    <cellStyle name="Comma 4 7" xfId="1915"/>
    <cellStyle name="Comma 4 7 2" xfId="1916"/>
    <cellStyle name="Comma 4 7 2 2" xfId="1917"/>
    <cellStyle name="Comma 4 7 2 3" xfId="1918"/>
    <cellStyle name="Comma 4 7 3" xfId="1919"/>
    <cellStyle name="Comma 4 7 3 2" xfId="1920"/>
    <cellStyle name="Comma 4 7 3 3" xfId="1921"/>
    <cellStyle name="Comma 4 7 4" xfId="1922"/>
    <cellStyle name="Comma 4 7 5" xfId="1923"/>
    <cellStyle name="Comma 4 8" xfId="1924"/>
    <cellStyle name="Comma 4 8 2" xfId="1925"/>
    <cellStyle name="Comma 4 8 3" xfId="1926"/>
    <cellStyle name="Comma 4 9" xfId="1927"/>
    <cellStyle name="Comma 4 9 2" xfId="1928"/>
    <cellStyle name="Comma 4 9 3" xfId="1929"/>
    <cellStyle name="Comma 5" xfId="112"/>
    <cellStyle name="Comma 5 10" xfId="1930"/>
    <cellStyle name="Comma 5 11" xfId="1931"/>
    <cellStyle name="Comma 5 2" xfId="1932"/>
    <cellStyle name="Comma 5 2 2" xfId="1933"/>
    <cellStyle name="Comma 5 2 2 2" xfId="1934"/>
    <cellStyle name="Comma 5 2 2 2 2" xfId="1935"/>
    <cellStyle name="Comma 5 2 2 2 2 2" xfId="1936"/>
    <cellStyle name="Comma 5 2 2 2 2 2 2" xfId="1937"/>
    <cellStyle name="Comma 5 2 2 2 2 2 2 2" xfId="1938"/>
    <cellStyle name="Comma 5 2 2 2 2 2 2 3" xfId="1939"/>
    <cellStyle name="Comma 5 2 2 2 2 2 3" xfId="1940"/>
    <cellStyle name="Comma 5 2 2 2 2 2 3 2" xfId="1941"/>
    <cellStyle name="Comma 5 2 2 2 2 2 3 3" xfId="1942"/>
    <cellStyle name="Comma 5 2 2 2 2 2 4" xfId="1943"/>
    <cellStyle name="Comma 5 2 2 2 2 2 5" xfId="1944"/>
    <cellStyle name="Comma 5 2 2 2 2 3" xfId="1945"/>
    <cellStyle name="Comma 5 2 2 2 2 3 2" xfId="1946"/>
    <cellStyle name="Comma 5 2 2 2 2 3 3" xfId="1947"/>
    <cellStyle name="Comma 5 2 2 2 2 4" xfId="1948"/>
    <cellStyle name="Comma 5 2 2 2 2 4 2" xfId="1949"/>
    <cellStyle name="Comma 5 2 2 2 2 4 3" xfId="1950"/>
    <cellStyle name="Comma 5 2 2 2 2 5" xfId="1951"/>
    <cellStyle name="Comma 5 2 2 2 2 6" xfId="1952"/>
    <cellStyle name="Comma 5 2 2 2 3" xfId="1953"/>
    <cellStyle name="Comma 5 2 2 2 3 2" xfId="1954"/>
    <cellStyle name="Comma 5 2 2 2 3 2 2" xfId="1955"/>
    <cellStyle name="Comma 5 2 2 2 3 2 3" xfId="1956"/>
    <cellStyle name="Comma 5 2 2 2 3 3" xfId="1957"/>
    <cellStyle name="Comma 5 2 2 2 3 3 2" xfId="1958"/>
    <cellStyle name="Comma 5 2 2 2 3 3 3" xfId="1959"/>
    <cellStyle name="Comma 5 2 2 2 3 4" xfId="1960"/>
    <cellStyle name="Comma 5 2 2 2 3 5" xfId="1961"/>
    <cellStyle name="Comma 5 2 2 2 4" xfId="1962"/>
    <cellStyle name="Comma 5 2 2 2 4 2" xfId="1963"/>
    <cellStyle name="Comma 5 2 2 2 4 3" xfId="1964"/>
    <cellStyle name="Comma 5 2 2 2 5" xfId="1965"/>
    <cellStyle name="Comma 5 2 2 2 5 2" xfId="1966"/>
    <cellStyle name="Comma 5 2 2 2 5 3" xfId="1967"/>
    <cellStyle name="Comma 5 2 2 2 6" xfId="1968"/>
    <cellStyle name="Comma 5 2 2 2 7" xfId="1969"/>
    <cellStyle name="Comma 5 2 2 3" xfId="1970"/>
    <cellStyle name="Comma 5 2 2 3 2" xfId="1971"/>
    <cellStyle name="Comma 5 2 2 3 2 2" xfId="1972"/>
    <cellStyle name="Comma 5 2 2 3 2 2 2" xfId="1973"/>
    <cellStyle name="Comma 5 2 2 3 2 2 3" xfId="1974"/>
    <cellStyle name="Comma 5 2 2 3 2 3" xfId="1975"/>
    <cellStyle name="Comma 5 2 2 3 2 3 2" xfId="1976"/>
    <cellStyle name="Comma 5 2 2 3 2 3 3" xfId="1977"/>
    <cellStyle name="Comma 5 2 2 3 2 4" xfId="1978"/>
    <cellStyle name="Comma 5 2 2 3 2 5" xfId="1979"/>
    <cellStyle name="Comma 5 2 2 3 3" xfId="1980"/>
    <cellStyle name="Comma 5 2 2 3 3 2" xfId="1981"/>
    <cellStyle name="Comma 5 2 2 3 3 3" xfId="1982"/>
    <cellStyle name="Comma 5 2 2 3 4" xfId="1983"/>
    <cellStyle name="Comma 5 2 2 3 4 2" xfId="1984"/>
    <cellStyle name="Comma 5 2 2 3 4 3" xfId="1985"/>
    <cellStyle name="Comma 5 2 2 3 5" xfId="1986"/>
    <cellStyle name="Comma 5 2 2 3 6" xfId="1987"/>
    <cellStyle name="Comma 5 2 2 4" xfId="1988"/>
    <cellStyle name="Comma 5 2 2 4 2" xfId="1989"/>
    <cellStyle name="Comma 5 2 2 4 2 2" xfId="1990"/>
    <cellStyle name="Comma 5 2 2 4 2 3" xfId="1991"/>
    <cellStyle name="Comma 5 2 2 4 3" xfId="1992"/>
    <cellStyle name="Comma 5 2 2 4 3 2" xfId="1993"/>
    <cellStyle name="Comma 5 2 2 4 3 3" xfId="1994"/>
    <cellStyle name="Comma 5 2 2 4 4" xfId="1995"/>
    <cellStyle name="Comma 5 2 2 4 5" xfId="1996"/>
    <cellStyle name="Comma 5 2 2 5" xfId="1997"/>
    <cellStyle name="Comma 5 2 2 5 2" xfId="1998"/>
    <cellStyle name="Comma 5 2 2 5 3" xfId="1999"/>
    <cellStyle name="Comma 5 2 2 6" xfId="2000"/>
    <cellStyle name="Comma 5 2 2 6 2" xfId="2001"/>
    <cellStyle name="Comma 5 2 2 6 3" xfId="2002"/>
    <cellStyle name="Comma 5 2 2 7" xfId="2003"/>
    <cellStyle name="Comma 5 2 2 8" xfId="2004"/>
    <cellStyle name="Comma 5 2 3" xfId="2005"/>
    <cellStyle name="Comma 5 2 3 2" xfId="2006"/>
    <cellStyle name="Comma 5 2 3 2 2" xfId="2007"/>
    <cellStyle name="Comma 5 2 3 2 2 2" xfId="2008"/>
    <cellStyle name="Comma 5 2 3 2 2 2 2" xfId="2009"/>
    <cellStyle name="Comma 5 2 3 2 2 2 3" xfId="2010"/>
    <cellStyle name="Comma 5 2 3 2 2 3" xfId="2011"/>
    <cellStyle name="Comma 5 2 3 2 2 3 2" xfId="2012"/>
    <cellStyle name="Comma 5 2 3 2 2 3 3" xfId="2013"/>
    <cellStyle name="Comma 5 2 3 2 2 4" xfId="2014"/>
    <cellStyle name="Comma 5 2 3 2 2 5" xfId="2015"/>
    <cellStyle name="Comma 5 2 3 2 3" xfId="2016"/>
    <cellStyle name="Comma 5 2 3 2 3 2" xfId="2017"/>
    <cellStyle name="Comma 5 2 3 2 3 3" xfId="2018"/>
    <cellStyle name="Comma 5 2 3 2 4" xfId="2019"/>
    <cellStyle name="Comma 5 2 3 2 4 2" xfId="2020"/>
    <cellStyle name="Comma 5 2 3 2 4 3" xfId="2021"/>
    <cellStyle name="Comma 5 2 3 2 5" xfId="2022"/>
    <cellStyle name="Comma 5 2 3 2 6" xfId="2023"/>
    <cellStyle name="Comma 5 2 3 3" xfId="2024"/>
    <cellStyle name="Comma 5 2 3 3 2" xfId="2025"/>
    <cellStyle name="Comma 5 2 3 3 2 2" xfId="2026"/>
    <cellStyle name="Comma 5 2 3 3 2 3" xfId="2027"/>
    <cellStyle name="Comma 5 2 3 3 3" xfId="2028"/>
    <cellStyle name="Comma 5 2 3 3 3 2" xfId="2029"/>
    <cellStyle name="Comma 5 2 3 3 3 3" xfId="2030"/>
    <cellStyle name="Comma 5 2 3 3 4" xfId="2031"/>
    <cellStyle name="Comma 5 2 3 3 5" xfId="2032"/>
    <cellStyle name="Comma 5 2 3 4" xfId="2033"/>
    <cellStyle name="Comma 5 2 3 4 2" xfId="2034"/>
    <cellStyle name="Comma 5 2 3 4 3" xfId="2035"/>
    <cellStyle name="Comma 5 2 3 5" xfId="2036"/>
    <cellStyle name="Comma 5 2 3 5 2" xfId="2037"/>
    <cellStyle name="Comma 5 2 3 5 3" xfId="2038"/>
    <cellStyle name="Comma 5 2 3 6" xfId="2039"/>
    <cellStyle name="Comma 5 2 3 7" xfId="2040"/>
    <cellStyle name="Comma 5 2 4" xfId="2041"/>
    <cellStyle name="Comma 5 2 4 2" xfId="2042"/>
    <cellStyle name="Comma 5 2 4 2 2" xfId="2043"/>
    <cellStyle name="Comma 5 2 4 2 2 2" xfId="2044"/>
    <cellStyle name="Comma 5 2 4 2 2 3" xfId="2045"/>
    <cellStyle name="Comma 5 2 4 2 3" xfId="2046"/>
    <cellStyle name="Comma 5 2 4 2 3 2" xfId="2047"/>
    <cellStyle name="Comma 5 2 4 2 3 3" xfId="2048"/>
    <cellStyle name="Comma 5 2 4 2 4" xfId="2049"/>
    <cellStyle name="Comma 5 2 4 2 5" xfId="2050"/>
    <cellStyle name="Comma 5 2 4 3" xfId="2051"/>
    <cellStyle name="Comma 5 2 4 3 2" xfId="2052"/>
    <cellStyle name="Comma 5 2 4 3 3" xfId="2053"/>
    <cellStyle name="Comma 5 2 4 4" xfId="2054"/>
    <cellStyle name="Comma 5 2 4 4 2" xfId="2055"/>
    <cellStyle name="Comma 5 2 4 4 3" xfId="2056"/>
    <cellStyle name="Comma 5 2 4 5" xfId="2057"/>
    <cellStyle name="Comma 5 2 4 6" xfId="2058"/>
    <cellStyle name="Comma 5 2 5" xfId="2059"/>
    <cellStyle name="Comma 5 2 5 2" xfId="2060"/>
    <cellStyle name="Comma 5 2 5 2 2" xfId="2061"/>
    <cellStyle name="Comma 5 2 5 2 3" xfId="2062"/>
    <cellStyle name="Comma 5 2 5 3" xfId="2063"/>
    <cellStyle name="Comma 5 2 5 3 2" xfId="2064"/>
    <cellStyle name="Comma 5 2 5 3 3" xfId="2065"/>
    <cellStyle name="Comma 5 2 5 4" xfId="2066"/>
    <cellStyle name="Comma 5 2 5 5" xfId="2067"/>
    <cellStyle name="Comma 5 2 6" xfId="2068"/>
    <cellStyle name="Comma 5 2 6 2" xfId="2069"/>
    <cellStyle name="Comma 5 2 6 3" xfId="2070"/>
    <cellStyle name="Comma 5 2 7" xfId="2071"/>
    <cellStyle name="Comma 5 2 7 2" xfId="2072"/>
    <cellStyle name="Comma 5 2 7 3" xfId="2073"/>
    <cellStyle name="Comma 5 2 8" xfId="2074"/>
    <cellStyle name="Comma 5 2 9" xfId="2075"/>
    <cellStyle name="Comma 5 3" xfId="2076"/>
    <cellStyle name="Comma 5 3 2" xfId="2077"/>
    <cellStyle name="Comma 5 3 2 2" xfId="2078"/>
    <cellStyle name="Comma 5 3 2 2 2" xfId="2079"/>
    <cellStyle name="Comma 5 3 2 2 2 2" xfId="2080"/>
    <cellStyle name="Comma 5 3 2 2 2 2 2" xfId="2081"/>
    <cellStyle name="Comma 5 3 2 2 2 2 3" xfId="2082"/>
    <cellStyle name="Comma 5 3 2 2 2 3" xfId="2083"/>
    <cellStyle name="Comma 5 3 2 2 2 3 2" xfId="2084"/>
    <cellStyle name="Comma 5 3 2 2 2 3 3" xfId="2085"/>
    <cellStyle name="Comma 5 3 2 2 2 4" xfId="2086"/>
    <cellStyle name="Comma 5 3 2 2 2 5" xfId="2087"/>
    <cellStyle name="Comma 5 3 2 2 3" xfId="2088"/>
    <cellStyle name="Comma 5 3 2 2 3 2" xfId="2089"/>
    <cellStyle name="Comma 5 3 2 2 3 3" xfId="2090"/>
    <cellStyle name="Comma 5 3 2 2 4" xfId="2091"/>
    <cellStyle name="Comma 5 3 2 2 4 2" xfId="2092"/>
    <cellStyle name="Comma 5 3 2 2 4 3" xfId="2093"/>
    <cellStyle name="Comma 5 3 2 2 5" xfId="2094"/>
    <cellStyle name="Comma 5 3 2 2 6" xfId="2095"/>
    <cellStyle name="Comma 5 3 2 3" xfId="2096"/>
    <cellStyle name="Comma 5 3 2 3 2" xfId="2097"/>
    <cellStyle name="Comma 5 3 2 3 2 2" xfId="2098"/>
    <cellStyle name="Comma 5 3 2 3 2 3" xfId="2099"/>
    <cellStyle name="Comma 5 3 2 3 3" xfId="2100"/>
    <cellStyle name="Comma 5 3 2 3 3 2" xfId="2101"/>
    <cellStyle name="Comma 5 3 2 3 3 3" xfId="2102"/>
    <cellStyle name="Comma 5 3 2 3 4" xfId="2103"/>
    <cellStyle name="Comma 5 3 2 3 5" xfId="2104"/>
    <cellStyle name="Comma 5 3 2 4" xfId="2105"/>
    <cellStyle name="Comma 5 3 2 4 2" xfId="2106"/>
    <cellStyle name="Comma 5 3 2 4 3" xfId="2107"/>
    <cellStyle name="Comma 5 3 2 5" xfId="2108"/>
    <cellStyle name="Comma 5 3 2 5 2" xfId="2109"/>
    <cellStyle name="Comma 5 3 2 5 3" xfId="2110"/>
    <cellStyle name="Comma 5 3 2 6" xfId="2111"/>
    <cellStyle name="Comma 5 3 2 7" xfId="2112"/>
    <cellStyle name="Comma 5 3 3" xfId="2113"/>
    <cellStyle name="Comma 5 3 3 2" xfId="2114"/>
    <cellStyle name="Comma 5 3 3 2 2" xfId="2115"/>
    <cellStyle name="Comma 5 3 3 2 2 2" xfId="2116"/>
    <cellStyle name="Comma 5 3 3 2 2 3" xfId="2117"/>
    <cellStyle name="Comma 5 3 3 2 3" xfId="2118"/>
    <cellStyle name="Comma 5 3 3 2 3 2" xfId="2119"/>
    <cellStyle name="Comma 5 3 3 2 3 3" xfId="2120"/>
    <cellStyle name="Comma 5 3 3 2 4" xfId="2121"/>
    <cellStyle name="Comma 5 3 3 2 5" xfId="2122"/>
    <cellStyle name="Comma 5 3 3 3" xfId="2123"/>
    <cellStyle name="Comma 5 3 3 3 2" xfId="2124"/>
    <cellStyle name="Comma 5 3 3 3 3" xfId="2125"/>
    <cellStyle name="Comma 5 3 3 4" xfId="2126"/>
    <cellStyle name="Comma 5 3 3 4 2" xfId="2127"/>
    <cellStyle name="Comma 5 3 3 4 3" xfId="2128"/>
    <cellStyle name="Comma 5 3 3 5" xfId="2129"/>
    <cellStyle name="Comma 5 3 3 6" xfId="2130"/>
    <cellStyle name="Comma 5 3 4" xfId="2131"/>
    <cellStyle name="Comma 5 3 4 2" xfId="2132"/>
    <cellStyle name="Comma 5 3 4 2 2" xfId="2133"/>
    <cellStyle name="Comma 5 3 4 2 3" xfId="2134"/>
    <cellStyle name="Comma 5 3 4 3" xfId="2135"/>
    <cellStyle name="Comma 5 3 4 3 2" xfId="2136"/>
    <cellStyle name="Comma 5 3 4 3 3" xfId="2137"/>
    <cellStyle name="Comma 5 3 4 4" xfId="2138"/>
    <cellStyle name="Comma 5 3 4 5" xfId="2139"/>
    <cellStyle name="Comma 5 3 5" xfId="2140"/>
    <cellStyle name="Comma 5 3 5 2" xfId="2141"/>
    <cellStyle name="Comma 5 3 5 3" xfId="2142"/>
    <cellStyle name="Comma 5 3 6" xfId="2143"/>
    <cellStyle name="Comma 5 3 6 2" xfId="2144"/>
    <cellStyle name="Comma 5 3 6 3" xfId="2145"/>
    <cellStyle name="Comma 5 3 7" xfId="2146"/>
    <cellStyle name="Comma 5 3 8" xfId="2147"/>
    <cellStyle name="Comma 5 4" xfId="2148"/>
    <cellStyle name="Comma 5 4 2" xfId="2149"/>
    <cellStyle name="Comma 5 4 2 2" xfId="2150"/>
    <cellStyle name="Comma 5 4 2 2 2" xfId="2151"/>
    <cellStyle name="Comma 5 4 2 2 2 2" xfId="2152"/>
    <cellStyle name="Comma 5 4 2 2 2 2 2" xfId="2153"/>
    <cellStyle name="Comma 5 4 2 2 2 2 3" xfId="2154"/>
    <cellStyle name="Comma 5 4 2 2 2 3" xfId="2155"/>
    <cellStyle name="Comma 5 4 2 2 2 3 2" xfId="2156"/>
    <cellStyle name="Comma 5 4 2 2 2 3 3" xfId="2157"/>
    <cellStyle name="Comma 5 4 2 2 2 4" xfId="2158"/>
    <cellStyle name="Comma 5 4 2 2 2 5" xfId="2159"/>
    <cellStyle name="Comma 5 4 2 2 3" xfId="2160"/>
    <cellStyle name="Comma 5 4 2 2 3 2" xfId="2161"/>
    <cellStyle name="Comma 5 4 2 2 3 3" xfId="2162"/>
    <cellStyle name="Comma 5 4 2 2 4" xfId="2163"/>
    <cellStyle name="Comma 5 4 2 2 4 2" xfId="2164"/>
    <cellStyle name="Comma 5 4 2 2 4 3" xfId="2165"/>
    <cellStyle name="Comma 5 4 2 2 5" xfId="2166"/>
    <cellStyle name="Comma 5 4 2 2 6" xfId="2167"/>
    <cellStyle name="Comma 5 4 2 3" xfId="2168"/>
    <cellStyle name="Comma 5 4 2 3 2" xfId="2169"/>
    <cellStyle name="Comma 5 4 2 3 2 2" xfId="2170"/>
    <cellStyle name="Comma 5 4 2 3 2 3" xfId="2171"/>
    <cellStyle name="Comma 5 4 2 3 3" xfId="2172"/>
    <cellStyle name="Comma 5 4 2 3 3 2" xfId="2173"/>
    <cellStyle name="Comma 5 4 2 3 3 3" xfId="2174"/>
    <cellStyle name="Comma 5 4 2 3 4" xfId="2175"/>
    <cellStyle name="Comma 5 4 2 3 5" xfId="2176"/>
    <cellStyle name="Comma 5 4 2 4" xfId="2177"/>
    <cellStyle name="Comma 5 4 2 4 2" xfId="2178"/>
    <cellStyle name="Comma 5 4 2 4 3" xfId="2179"/>
    <cellStyle name="Comma 5 4 2 5" xfId="2180"/>
    <cellStyle name="Comma 5 4 2 5 2" xfId="2181"/>
    <cellStyle name="Comma 5 4 2 5 3" xfId="2182"/>
    <cellStyle name="Comma 5 4 2 6" xfId="2183"/>
    <cellStyle name="Comma 5 4 2 7" xfId="2184"/>
    <cellStyle name="Comma 5 4 3" xfId="2185"/>
    <cellStyle name="Comma 5 4 3 2" xfId="2186"/>
    <cellStyle name="Comma 5 4 3 2 2" xfId="2187"/>
    <cellStyle name="Comma 5 4 3 2 2 2" xfId="2188"/>
    <cellStyle name="Comma 5 4 3 2 2 3" xfId="2189"/>
    <cellStyle name="Comma 5 4 3 2 3" xfId="2190"/>
    <cellStyle name="Comma 5 4 3 2 3 2" xfId="2191"/>
    <cellStyle name="Comma 5 4 3 2 3 3" xfId="2192"/>
    <cellStyle name="Comma 5 4 3 2 4" xfId="2193"/>
    <cellStyle name="Comma 5 4 3 2 5" xfId="2194"/>
    <cellStyle name="Comma 5 4 3 3" xfId="2195"/>
    <cellStyle name="Comma 5 4 3 3 2" xfId="2196"/>
    <cellStyle name="Comma 5 4 3 3 3" xfId="2197"/>
    <cellStyle name="Comma 5 4 3 4" xfId="2198"/>
    <cellStyle name="Comma 5 4 3 4 2" xfId="2199"/>
    <cellStyle name="Comma 5 4 3 4 3" xfId="2200"/>
    <cellStyle name="Comma 5 4 3 5" xfId="2201"/>
    <cellStyle name="Comma 5 4 3 6" xfId="2202"/>
    <cellStyle name="Comma 5 4 4" xfId="2203"/>
    <cellStyle name="Comma 5 4 4 2" xfId="2204"/>
    <cellStyle name="Comma 5 4 4 2 2" xfId="2205"/>
    <cellStyle name="Comma 5 4 4 2 3" xfId="2206"/>
    <cellStyle name="Comma 5 4 4 3" xfId="2207"/>
    <cellStyle name="Comma 5 4 4 3 2" xfId="2208"/>
    <cellStyle name="Comma 5 4 4 3 3" xfId="2209"/>
    <cellStyle name="Comma 5 4 4 4" xfId="2210"/>
    <cellStyle name="Comma 5 4 4 5" xfId="2211"/>
    <cellStyle name="Comma 5 4 5" xfId="2212"/>
    <cellStyle name="Comma 5 4 5 2" xfId="2213"/>
    <cellStyle name="Comma 5 4 5 3" xfId="2214"/>
    <cellStyle name="Comma 5 4 6" xfId="2215"/>
    <cellStyle name="Comma 5 4 6 2" xfId="2216"/>
    <cellStyle name="Comma 5 4 6 3" xfId="2217"/>
    <cellStyle name="Comma 5 4 7" xfId="2218"/>
    <cellStyle name="Comma 5 4 8" xfId="2219"/>
    <cellStyle name="Comma 5 5" xfId="2220"/>
    <cellStyle name="Comma 5 5 2" xfId="2221"/>
    <cellStyle name="Comma 5 5 2 2" xfId="2222"/>
    <cellStyle name="Comma 5 5 2 2 2" xfId="2223"/>
    <cellStyle name="Comma 5 5 2 2 2 2" xfId="2224"/>
    <cellStyle name="Comma 5 5 2 2 2 3" xfId="2225"/>
    <cellStyle name="Comma 5 5 2 2 3" xfId="2226"/>
    <cellStyle name="Comma 5 5 2 2 3 2" xfId="2227"/>
    <cellStyle name="Comma 5 5 2 2 3 3" xfId="2228"/>
    <cellStyle name="Comma 5 5 2 2 4" xfId="2229"/>
    <cellStyle name="Comma 5 5 2 2 5" xfId="2230"/>
    <cellStyle name="Comma 5 5 2 3" xfId="2231"/>
    <cellStyle name="Comma 5 5 2 3 2" xfId="2232"/>
    <cellStyle name="Comma 5 5 2 3 3" xfId="2233"/>
    <cellStyle name="Comma 5 5 2 4" xfId="2234"/>
    <cellStyle name="Comma 5 5 2 4 2" xfId="2235"/>
    <cellStyle name="Comma 5 5 2 4 3" xfId="2236"/>
    <cellStyle name="Comma 5 5 2 5" xfId="2237"/>
    <cellStyle name="Comma 5 5 2 6" xfId="2238"/>
    <cellStyle name="Comma 5 5 3" xfId="2239"/>
    <cellStyle name="Comma 5 5 3 2" xfId="2240"/>
    <cellStyle name="Comma 5 5 3 2 2" xfId="2241"/>
    <cellStyle name="Comma 5 5 3 2 3" xfId="2242"/>
    <cellStyle name="Comma 5 5 3 3" xfId="2243"/>
    <cellStyle name="Comma 5 5 3 3 2" xfId="2244"/>
    <cellStyle name="Comma 5 5 3 3 3" xfId="2245"/>
    <cellStyle name="Comma 5 5 3 4" xfId="2246"/>
    <cellStyle name="Comma 5 5 3 5" xfId="2247"/>
    <cellStyle name="Comma 5 5 4" xfId="2248"/>
    <cellStyle name="Comma 5 5 4 2" xfId="2249"/>
    <cellStyle name="Comma 5 5 4 3" xfId="2250"/>
    <cellStyle name="Comma 5 5 5" xfId="2251"/>
    <cellStyle name="Comma 5 5 5 2" xfId="2252"/>
    <cellStyle name="Comma 5 5 5 3" xfId="2253"/>
    <cellStyle name="Comma 5 5 6" xfId="2254"/>
    <cellStyle name="Comma 5 5 7" xfId="2255"/>
    <cellStyle name="Comma 5 6" xfId="2256"/>
    <cellStyle name="Comma 5 6 2" xfId="2257"/>
    <cellStyle name="Comma 5 6 2 2" xfId="2258"/>
    <cellStyle name="Comma 5 6 2 2 2" xfId="2259"/>
    <cellStyle name="Comma 5 6 2 2 3" xfId="2260"/>
    <cellStyle name="Comma 5 6 2 3" xfId="2261"/>
    <cellStyle name="Comma 5 6 2 3 2" xfId="2262"/>
    <cellStyle name="Comma 5 6 2 3 3" xfId="2263"/>
    <cellStyle name="Comma 5 6 2 4" xfId="2264"/>
    <cellStyle name="Comma 5 6 2 5" xfId="2265"/>
    <cellStyle name="Comma 5 6 3" xfId="2266"/>
    <cellStyle name="Comma 5 6 3 2" xfId="2267"/>
    <cellStyle name="Comma 5 6 3 3" xfId="2268"/>
    <cellStyle name="Comma 5 6 4" xfId="2269"/>
    <cellStyle name="Comma 5 6 4 2" xfId="2270"/>
    <cellStyle name="Comma 5 6 4 3" xfId="2271"/>
    <cellStyle name="Comma 5 6 5" xfId="2272"/>
    <cellStyle name="Comma 5 6 6" xfId="2273"/>
    <cellStyle name="Comma 5 7" xfId="2274"/>
    <cellStyle name="Comma 5 7 2" xfId="2275"/>
    <cellStyle name="Comma 5 7 2 2" xfId="2276"/>
    <cellStyle name="Comma 5 7 2 3" xfId="2277"/>
    <cellStyle name="Comma 5 7 3" xfId="2278"/>
    <cellStyle name="Comma 5 7 3 2" xfId="2279"/>
    <cellStyle name="Comma 5 7 3 3" xfId="2280"/>
    <cellStyle name="Comma 5 7 4" xfId="2281"/>
    <cellStyle name="Comma 5 7 5" xfId="2282"/>
    <cellStyle name="Comma 5 8" xfId="2283"/>
    <cellStyle name="Comma 5 8 2" xfId="2284"/>
    <cellStyle name="Comma 5 8 3" xfId="2285"/>
    <cellStyle name="Comma 5 9" xfId="2286"/>
    <cellStyle name="Comma 5 9 2" xfId="2287"/>
    <cellStyle name="Comma 5 9 3" xfId="2288"/>
    <cellStyle name="Comma 6" xfId="113"/>
    <cellStyle name="Comma 6 10" xfId="2289"/>
    <cellStyle name="Comma 6 11" xfId="2290"/>
    <cellStyle name="Comma 6 2" xfId="321"/>
    <cellStyle name="Comma 6 2 2" xfId="2291"/>
    <cellStyle name="Comma 6 2 2 2" xfId="2292"/>
    <cellStyle name="Comma 6 2 2 2 2" xfId="2293"/>
    <cellStyle name="Comma 6 2 2 2 2 2" xfId="2294"/>
    <cellStyle name="Comma 6 2 2 2 2 2 2" xfId="2295"/>
    <cellStyle name="Comma 6 2 2 2 2 2 2 2" xfId="2296"/>
    <cellStyle name="Comma 6 2 2 2 2 2 2 3" xfId="2297"/>
    <cellStyle name="Comma 6 2 2 2 2 2 3" xfId="2298"/>
    <cellStyle name="Comma 6 2 2 2 2 2 3 2" xfId="2299"/>
    <cellStyle name="Comma 6 2 2 2 2 2 3 3" xfId="2300"/>
    <cellStyle name="Comma 6 2 2 2 2 2 4" xfId="2301"/>
    <cellStyle name="Comma 6 2 2 2 2 2 5" xfId="2302"/>
    <cellStyle name="Comma 6 2 2 2 2 3" xfId="2303"/>
    <cellStyle name="Comma 6 2 2 2 2 3 2" xfId="2304"/>
    <cellStyle name="Comma 6 2 2 2 2 3 3" xfId="2305"/>
    <cellStyle name="Comma 6 2 2 2 2 4" xfId="2306"/>
    <cellStyle name="Comma 6 2 2 2 2 4 2" xfId="2307"/>
    <cellStyle name="Comma 6 2 2 2 2 4 3" xfId="2308"/>
    <cellStyle name="Comma 6 2 2 2 2 5" xfId="2309"/>
    <cellStyle name="Comma 6 2 2 2 2 6" xfId="2310"/>
    <cellStyle name="Comma 6 2 2 2 3" xfId="2311"/>
    <cellStyle name="Comma 6 2 2 2 3 2" xfId="2312"/>
    <cellStyle name="Comma 6 2 2 2 3 2 2" xfId="2313"/>
    <cellStyle name="Comma 6 2 2 2 3 2 3" xfId="2314"/>
    <cellStyle name="Comma 6 2 2 2 3 3" xfId="2315"/>
    <cellStyle name="Comma 6 2 2 2 3 3 2" xfId="2316"/>
    <cellStyle name="Comma 6 2 2 2 3 3 3" xfId="2317"/>
    <cellStyle name="Comma 6 2 2 2 3 4" xfId="2318"/>
    <cellStyle name="Comma 6 2 2 2 3 5" xfId="2319"/>
    <cellStyle name="Comma 6 2 2 2 4" xfId="2320"/>
    <cellStyle name="Comma 6 2 2 2 4 2" xfId="2321"/>
    <cellStyle name="Comma 6 2 2 2 4 3" xfId="2322"/>
    <cellStyle name="Comma 6 2 2 2 5" xfId="2323"/>
    <cellStyle name="Comma 6 2 2 2 5 2" xfId="2324"/>
    <cellStyle name="Comma 6 2 2 2 5 3" xfId="2325"/>
    <cellStyle name="Comma 6 2 2 2 6" xfId="2326"/>
    <cellStyle name="Comma 6 2 2 2 7" xfId="2327"/>
    <cellStyle name="Comma 6 2 2 3" xfId="2328"/>
    <cellStyle name="Comma 6 2 2 3 2" xfId="2329"/>
    <cellStyle name="Comma 6 2 2 3 2 2" xfId="2330"/>
    <cellStyle name="Comma 6 2 2 3 2 2 2" xfId="2331"/>
    <cellStyle name="Comma 6 2 2 3 2 2 3" xfId="2332"/>
    <cellStyle name="Comma 6 2 2 3 2 3" xfId="2333"/>
    <cellStyle name="Comma 6 2 2 3 2 3 2" xfId="2334"/>
    <cellStyle name="Comma 6 2 2 3 2 3 3" xfId="2335"/>
    <cellStyle name="Comma 6 2 2 3 2 4" xfId="2336"/>
    <cellStyle name="Comma 6 2 2 3 2 5" xfId="2337"/>
    <cellStyle name="Comma 6 2 2 3 3" xfId="2338"/>
    <cellStyle name="Comma 6 2 2 3 3 2" xfId="2339"/>
    <cellStyle name="Comma 6 2 2 3 3 3" xfId="2340"/>
    <cellStyle name="Comma 6 2 2 3 4" xfId="2341"/>
    <cellStyle name="Comma 6 2 2 3 4 2" xfId="2342"/>
    <cellStyle name="Comma 6 2 2 3 4 3" xfId="2343"/>
    <cellStyle name="Comma 6 2 2 3 5" xfId="2344"/>
    <cellStyle name="Comma 6 2 2 3 6" xfId="2345"/>
    <cellStyle name="Comma 6 2 2 4" xfId="2346"/>
    <cellStyle name="Comma 6 2 2 4 2" xfId="2347"/>
    <cellStyle name="Comma 6 2 2 4 2 2" xfId="2348"/>
    <cellStyle name="Comma 6 2 2 4 2 3" xfId="2349"/>
    <cellStyle name="Comma 6 2 2 4 3" xfId="2350"/>
    <cellStyle name="Comma 6 2 2 4 3 2" xfId="2351"/>
    <cellStyle name="Comma 6 2 2 4 3 3" xfId="2352"/>
    <cellStyle name="Comma 6 2 2 4 4" xfId="2353"/>
    <cellStyle name="Comma 6 2 2 4 5" xfId="2354"/>
    <cellStyle name="Comma 6 2 2 5" xfId="2355"/>
    <cellStyle name="Comma 6 2 2 5 2" xfId="2356"/>
    <cellStyle name="Comma 6 2 2 5 3" xfId="2357"/>
    <cellStyle name="Comma 6 2 2 6" xfId="2358"/>
    <cellStyle name="Comma 6 2 2 6 2" xfId="2359"/>
    <cellStyle name="Comma 6 2 2 6 3" xfId="2360"/>
    <cellStyle name="Comma 6 2 2 7" xfId="2361"/>
    <cellStyle name="Comma 6 2 2 8" xfId="2362"/>
    <cellStyle name="Comma 6 2 3" xfId="2363"/>
    <cellStyle name="Comma 6 2 3 2" xfId="2364"/>
    <cellStyle name="Comma 6 2 3 2 2" xfId="2365"/>
    <cellStyle name="Comma 6 2 3 2 2 2" xfId="2366"/>
    <cellStyle name="Comma 6 2 3 2 2 2 2" xfId="2367"/>
    <cellStyle name="Comma 6 2 3 2 2 2 3" xfId="2368"/>
    <cellStyle name="Comma 6 2 3 2 2 3" xfId="2369"/>
    <cellStyle name="Comma 6 2 3 2 2 3 2" xfId="2370"/>
    <cellStyle name="Comma 6 2 3 2 2 3 3" xfId="2371"/>
    <cellStyle name="Comma 6 2 3 2 2 4" xfId="2372"/>
    <cellStyle name="Comma 6 2 3 2 2 5" xfId="2373"/>
    <cellStyle name="Comma 6 2 3 2 3" xfId="2374"/>
    <cellStyle name="Comma 6 2 3 2 3 2" xfId="2375"/>
    <cellStyle name="Comma 6 2 3 2 3 3" xfId="2376"/>
    <cellStyle name="Comma 6 2 3 2 4" xfId="2377"/>
    <cellStyle name="Comma 6 2 3 2 4 2" xfId="2378"/>
    <cellStyle name="Comma 6 2 3 2 4 3" xfId="2379"/>
    <cellStyle name="Comma 6 2 3 2 5" xfId="2380"/>
    <cellStyle name="Comma 6 2 3 2 6" xfId="2381"/>
    <cellStyle name="Comma 6 2 3 3" xfId="2382"/>
    <cellStyle name="Comma 6 2 3 3 2" xfId="2383"/>
    <cellStyle name="Comma 6 2 3 3 2 2" xfId="2384"/>
    <cellStyle name="Comma 6 2 3 3 2 3" xfId="2385"/>
    <cellStyle name="Comma 6 2 3 3 3" xfId="2386"/>
    <cellStyle name="Comma 6 2 3 3 3 2" xfId="2387"/>
    <cellStyle name="Comma 6 2 3 3 3 3" xfId="2388"/>
    <cellStyle name="Comma 6 2 3 3 4" xfId="2389"/>
    <cellStyle name="Comma 6 2 3 3 5" xfId="2390"/>
    <cellStyle name="Comma 6 2 3 4" xfId="2391"/>
    <cellStyle name="Comma 6 2 3 4 2" xfId="2392"/>
    <cellStyle name="Comma 6 2 3 4 3" xfId="2393"/>
    <cellStyle name="Comma 6 2 3 5" xfId="2394"/>
    <cellStyle name="Comma 6 2 3 5 2" xfId="2395"/>
    <cellStyle name="Comma 6 2 3 5 3" xfId="2396"/>
    <cellStyle name="Comma 6 2 3 6" xfId="2397"/>
    <cellStyle name="Comma 6 2 3 7" xfId="2398"/>
    <cellStyle name="Comma 6 2 4" xfId="2399"/>
    <cellStyle name="Comma 6 2 4 2" xfId="2400"/>
    <cellStyle name="Comma 6 2 4 2 2" xfId="2401"/>
    <cellStyle name="Comma 6 2 4 2 2 2" xfId="2402"/>
    <cellStyle name="Comma 6 2 4 2 2 3" xfId="2403"/>
    <cellStyle name="Comma 6 2 4 2 3" xfId="2404"/>
    <cellStyle name="Comma 6 2 4 2 3 2" xfId="2405"/>
    <cellStyle name="Comma 6 2 4 2 3 3" xfId="2406"/>
    <cellStyle name="Comma 6 2 4 2 4" xfId="2407"/>
    <cellStyle name="Comma 6 2 4 2 5" xfId="2408"/>
    <cellStyle name="Comma 6 2 4 3" xfId="2409"/>
    <cellStyle name="Comma 6 2 4 3 2" xfId="2410"/>
    <cellStyle name="Comma 6 2 4 3 3" xfId="2411"/>
    <cellStyle name="Comma 6 2 4 4" xfId="2412"/>
    <cellStyle name="Comma 6 2 4 4 2" xfId="2413"/>
    <cellStyle name="Comma 6 2 4 4 3" xfId="2414"/>
    <cellStyle name="Comma 6 2 4 5" xfId="2415"/>
    <cellStyle name="Comma 6 2 4 6" xfId="2416"/>
    <cellStyle name="Comma 6 2 5" xfId="2417"/>
    <cellStyle name="Comma 6 2 5 2" xfId="2418"/>
    <cellStyle name="Comma 6 2 5 2 2" xfId="2419"/>
    <cellStyle name="Comma 6 2 5 2 3" xfId="2420"/>
    <cellStyle name="Comma 6 2 5 3" xfId="2421"/>
    <cellStyle name="Comma 6 2 5 3 2" xfId="2422"/>
    <cellStyle name="Comma 6 2 5 3 3" xfId="2423"/>
    <cellStyle name="Comma 6 2 5 4" xfId="2424"/>
    <cellStyle name="Comma 6 2 5 5" xfId="2425"/>
    <cellStyle name="Comma 6 2 6" xfId="2426"/>
    <cellStyle name="Comma 6 2 6 2" xfId="2427"/>
    <cellStyle name="Comma 6 2 6 3" xfId="2428"/>
    <cellStyle name="Comma 6 2 7" xfId="2429"/>
    <cellStyle name="Comma 6 2 7 2" xfId="2430"/>
    <cellStyle name="Comma 6 2 7 3" xfId="2431"/>
    <cellStyle name="Comma 6 2 8" xfId="2432"/>
    <cellStyle name="Comma 6 2 9" xfId="2433"/>
    <cellStyle name="Comma 6 3" xfId="2434"/>
    <cellStyle name="Comma 6 3 2" xfId="2435"/>
    <cellStyle name="Comma 6 3 2 2" xfId="2436"/>
    <cellStyle name="Comma 6 3 2 2 2" xfId="2437"/>
    <cellStyle name="Comma 6 3 2 2 2 2" xfId="2438"/>
    <cellStyle name="Comma 6 3 2 2 2 2 2" xfId="2439"/>
    <cellStyle name="Comma 6 3 2 2 2 2 3" xfId="2440"/>
    <cellStyle name="Comma 6 3 2 2 2 3" xfId="2441"/>
    <cellStyle name="Comma 6 3 2 2 2 3 2" xfId="2442"/>
    <cellStyle name="Comma 6 3 2 2 2 3 3" xfId="2443"/>
    <cellStyle name="Comma 6 3 2 2 2 4" xfId="2444"/>
    <cellStyle name="Comma 6 3 2 2 2 5" xfId="2445"/>
    <cellStyle name="Comma 6 3 2 2 3" xfId="2446"/>
    <cellStyle name="Comma 6 3 2 2 3 2" xfId="2447"/>
    <cellStyle name="Comma 6 3 2 2 3 3" xfId="2448"/>
    <cellStyle name="Comma 6 3 2 2 4" xfId="2449"/>
    <cellStyle name="Comma 6 3 2 2 4 2" xfId="2450"/>
    <cellStyle name="Comma 6 3 2 2 4 3" xfId="2451"/>
    <cellStyle name="Comma 6 3 2 2 5" xfId="2452"/>
    <cellStyle name="Comma 6 3 2 2 6" xfId="2453"/>
    <cellStyle name="Comma 6 3 2 3" xfId="2454"/>
    <cellStyle name="Comma 6 3 2 3 2" xfId="2455"/>
    <cellStyle name="Comma 6 3 2 3 2 2" xfId="2456"/>
    <cellStyle name="Comma 6 3 2 3 2 3" xfId="2457"/>
    <cellStyle name="Comma 6 3 2 3 3" xfId="2458"/>
    <cellStyle name="Comma 6 3 2 3 3 2" xfId="2459"/>
    <cellStyle name="Comma 6 3 2 3 3 3" xfId="2460"/>
    <cellStyle name="Comma 6 3 2 3 4" xfId="2461"/>
    <cellStyle name="Comma 6 3 2 3 5" xfId="2462"/>
    <cellStyle name="Comma 6 3 2 3 6" xfId="34857"/>
    <cellStyle name="Comma 6 3 2 4" xfId="2463"/>
    <cellStyle name="Comma 6 3 2 4 2" xfId="2464"/>
    <cellStyle name="Comma 6 3 2 4 3" xfId="2465"/>
    <cellStyle name="Comma 6 3 2 5" xfId="2466"/>
    <cellStyle name="Comma 6 3 2 5 2" xfId="2467"/>
    <cellStyle name="Comma 6 3 2 5 3" xfId="2468"/>
    <cellStyle name="Comma 6 3 2 6" xfId="2469"/>
    <cellStyle name="Comma 6 3 2 7" xfId="2470"/>
    <cellStyle name="Comma 6 3 3" xfId="2471"/>
    <cellStyle name="Comma 6 3 3 2" xfId="2472"/>
    <cellStyle name="Comma 6 3 3 2 2" xfId="2473"/>
    <cellStyle name="Comma 6 3 3 2 2 2" xfId="2474"/>
    <cellStyle name="Comma 6 3 3 2 2 3" xfId="2475"/>
    <cellStyle name="Comma 6 3 3 2 3" xfId="2476"/>
    <cellStyle name="Comma 6 3 3 2 3 2" xfId="2477"/>
    <cellStyle name="Comma 6 3 3 2 3 3" xfId="2478"/>
    <cellStyle name="Comma 6 3 3 2 4" xfId="2479"/>
    <cellStyle name="Comma 6 3 3 2 5" xfId="2480"/>
    <cellStyle name="Comma 6 3 3 3" xfId="2481"/>
    <cellStyle name="Comma 6 3 3 3 2" xfId="2482"/>
    <cellStyle name="Comma 6 3 3 3 3" xfId="2483"/>
    <cellStyle name="Comma 6 3 3 4" xfId="2484"/>
    <cellStyle name="Comma 6 3 3 4 2" xfId="2485"/>
    <cellStyle name="Comma 6 3 3 4 3" xfId="2486"/>
    <cellStyle name="Comma 6 3 3 5" xfId="2487"/>
    <cellStyle name="Comma 6 3 3 6" xfId="2488"/>
    <cellStyle name="Comma 6 3 4" xfId="2489"/>
    <cellStyle name="Comma 6 3 4 2" xfId="2490"/>
    <cellStyle name="Comma 6 3 4 2 2" xfId="2491"/>
    <cellStyle name="Comma 6 3 4 2 3" xfId="2492"/>
    <cellStyle name="Comma 6 3 4 3" xfId="2493"/>
    <cellStyle name="Comma 6 3 4 3 2" xfId="2494"/>
    <cellStyle name="Comma 6 3 4 3 3" xfId="2495"/>
    <cellStyle name="Comma 6 3 4 4" xfId="2496"/>
    <cellStyle name="Comma 6 3 4 5" xfId="2497"/>
    <cellStyle name="Comma 6 3 5" xfId="2498"/>
    <cellStyle name="Comma 6 3 5 2" xfId="2499"/>
    <cellStyle name="Comma 6 3 5 3" xfId="2500"/>
    <cellStyle name="Comma 6 3 6" xfId="2501"/>
    <cellStyle name="Comma 6 3 6 2" xfId="2502"/>
    <cellStyle name="Comma 6 3 6 3" xfId="2503"/>
    <cellStyle name="Comma 6 3 7" xfId="2504"/>
    <cellStyle name="Comma 6 3 8" xfId="2505"/>
    <cellStyle name="Comma 6 4" xfId="2506"/>
    <cellStyle name="Comma 6 4 2" xfId="2507"/>
    <cellStyle name="Comma 6 4 2 2" xfId="2508"/>
    <cellStyle name="Comma 6 4 2 2 2" xfId="2509"/>
    <cellStyle name="Comma 6 4 2 2 2 2" xfId="2510"/>
    <cellStyle name="Comma 6 4 2 2 2 2 2" xfId="2511"/>
    <cellStyle name="Comma 6 4 2 2 2 2 3" xfId="2512"/>
    <cellStyle name="Comma 6 4 2 2 2 3" xfId="2513"/>
    <cellStyle name="Comma 6 4 2 2 2 3 2" xfId="2514"/>
    <cellStyle name="Comma 6 4 2 2 2 3 3" xfId="2515"/>
    <cellStyle name="Comma 6 4 2 2 2 4" xfId="2516"/>
    <cellStyle name="Comma 6 4 2 2 2 5" xfId="2517"/>
    <cellStyle name="Comma 6 4 2 2 3" xfId="2518"/>
    <cellStyle name="Comma 6 4 2 2 3 2" xfId="2519"/>
    <cellStyle name="Comma 6 4 2 2 3 3" xfId="2520"/>
    <cellStyle name="Comma 6 4 2 2 4" xfId="2521"/>
    <cellStyle name="Comma 6 4 2 2 4 2" xfId="2522"/>
    <cellStyle name="Comma 6 4 2 2 4 3" xfId="2523"/>
    <cellStyle name="Comma 6 4 2 2 5" xfId="2524"/>
    <cellStyle name="Comma 6 4 2 2 6" xfId="2525"/>
    <cellStyle name="Comma 6 4 2 3" xfId="2526"/>
    <cellStyle name="Comma 6 4 2 3 2" xfId="2527"/>
    <cellStyle name="Comma 6 4 2 3 2 2" xfId="2528"/>
    <cellStyle name="Comma 6 4 2 3 2 3" xfId="2529"/>
    <cellStyle name="Comma 6 4 2 3 3" xfId="2530"/>
    <cellStyle name="Comma 6 4 2 3 3 2" xfId="2531"/>
    <cellStyle name="Comma 6 4 2 3 3 3" xfId="2532"/>
    <cellStyle name="Comma 6 4 2 3 4" xfId="2533"/>
    <cellStyle name="Comma 6 4 2 3 5" xfId="2534"/>
    <cellStyle name="Comma 6 4 2 4" xfId="2535"/>
    <cellStyle name="Comma 6 4 2 4 2" xfId="2536"/>
    <cellStyle name="Comma 6 4 2 4 3" xfId="2537"/>
    <cellStyle name="Comma 6 4 2 5" xfId="2538"/>
    <cellStyle name="Comma 6 4 2 5 2" xfId="2539"/>
    <cellStyle name="Comma 6 4 2 5 3" xfId="2540"/>
    <cellStyle name="Comma 6 4 2 6" xfId="2541"/>
    <cellStyle name="Comma 6 4 2 7" xfId="2542"/>
    <cellStyle name="Comma 6 4 3" xfId="2543"/>
    <cellStyle name="Comma 6 4 3 2" xfId="2544"/>
    <cellStyle name="Comma 6 4 3 2 2" xfId="2545"/>
    <cellStyle name="Comma 6 4 3 2 2 2" xfId="2546"/>
    <cellStyle name="Comma 6 4 3 2 2 3" xfId="2547"/>
    <cellStyle name="Comma 6 4 3 2 3" xfId="2548"/>
    <cellStyle name="Comma 6 4 3 2 3 2" xfId="2549"/>
    <cellStyle name="Comma 6 4 3 2 3 3" xfId="2550"/>
    <cellStyle name="Comma 6 4 3 2 4" xfId="2551"/>
    <cellStyle name="Comma 6 4 3 2 5" xfId="2552"/>
    <cellStyle name="Comma 6 4 3 3" xfId="2553"/>
    <cellStyle name="Comma 6 4 3 3 2" xfId="2554"/>
    <cellStyle name="Comma 6 4 3 3 3" xfId="2555"/>
    <cellStyle name="Comma 6 4 3 4" xfId="2556"/>
    <cellStyle name="Comma 6 4 3 4 2" xfId="2557"/>
    <cellStyle name="Comma 6 4 3 4 3" xfId="2558"/>
    <cellStyle name="Comma 6 4 3 5" xfId="2559"/>
    <cellStyle name="Comma 6 4 3 6" xfId="2560"/>
    <cellStyle name="Comma 6 4 4" xfId="2561"/>
    <cellStyle name="Comma 6 4 4 2" xfId="2562"/>
    <cellStyle name="Comma 6 4 4 2 2" xfId="2563"/>
    <cellStyle name="Comma 6 4 4 2 3" xfId="2564"/>
    <cellStyle name="Comma 6 4 4 3" xfId="2565"/>
    <cellStyle name="Comma 6 4 4 3 2" xfId="2566"/>
    <cellStyle name="Comma 6 4 4 3 3" xfId="2567"/>
    <cellStyle name="Comma 6 4 4 4" xfId="2568"/>
    <cellStyle name="Comma 6 4 4 5" xfId="2569"/>
    <cellStyle name="Comma 6 4 5" xfId="2570"/>
    <cellStyle name="Comma 6 4 5 2" xfId="2571"/>
    <cellStyle name="Comma 6 4 5 3" xfId="2572"/>
    <cellStyle name="Comma 6 4 6" xfId="2573"/>
    <cellStyle name="Comma 6 4 6 2" xfId="2574"/>
    <cellStyle name="Comma 6 4 6 3" xfId="2575"/>
    <cellStyle name="Comma 6 4 7" xfId="2576"/>
    <cellStyle name="Comma 6 4 8" xfId="2577"/>
    <cellStyle name="Comma 6 5" xfId="2578"/>
    <cellStyle name="Comma 6 5 2" xfId="2579"/>
    <cellStyle name="Comma 6 5 2 2" xfId="2580"/>
    <cellStyle name="Comma 6 5 2 2 2" xfId="2581"/>
    <cellStyle name="Comma 6 5 2 2 2 2" xfId="2582"/>
    <cellStyle name="Comma 6 5 2 2 2 3" xfId="2583"/>
    <cellStyle name="Comma 6 5 2 2 3" xfId="2584"/>
    <cellStyle name="Comma 6 5 2 2 3 2" xfId="2585"/>
    <cellStyle name="Comma 6 5 2 2 3 3" xfId="2586"/>
    <cellStyle name="Comma 6 5 2 2 4" xfId="2587"/>
    <cellStyle name="Comma 6 5 2 2 5" xfId="2588"/>
    <cellStyle name="Comma 6 5 2 3" xfId="2589"/>
    <cellStyle name="Comma 6 5 2 3 2" xfId="2590"/>
    <cellStyle name="Comma 6 5 2 3 3" xfId="2591"/>
    <cellStyle name="Comma 6 5 2 4" xfId="2592"/>
    <cellStyle name="Comma 6 5 2 4 2" xfId="2593"/>
    <cellStyle name="Comma 6 5 2 4 3" xfId="2594"/>
    <cellStyle name="Comma 6 5 2 5" xfId="2595"/>
    <cellStyle name="Comma 6 5 2 6" xfId="2596"/>
    <cellStyle name="Comma 6 5 3" xfId="2597"/>
    <cellStyle name="Comma 6 5 3 2" xfId="2598"/>
    <cellStyle name="Comma 6 5 3 2 2" xfId="2599"/>
    <cellStyle name="Comma 6 5 3 2 3" xfId="2600"/>
    <cellStyle name="Comma 6 5 3 3" xfId="2601"/>
    <cellStyle name="Comma 6 5 3 3 2" xfId="2602"/>
    <cellStyle name="Comma 6 5 3 3 3" xfId="2603"/>
    <cellStyle name="Comma 6 5 3 4" xfId="2604"/>
    <cellStyle name="Comma 6 5 3 5" xfId="2605"/>
    <cellStyle name="Comma 6 5 4" xfId="2606"/>
    <cellStyle name="Comma 6 5 4 2" xfId="2607"/>
    <cellStyle name="Comma 6 5 4 3" xfId="2608"/>
    <cellStyle name="Comma 6 5 5" xfId="2609"/>
    <cellStyle name="Comma 6 5 5 2" xfId="2610"/>
    <cellStyle name="Comma 6 5 5 3" xfId="2611"/>
    <cellStyle name="Comma 6 5 6" xfId="2612"/>
    <cellStyle name="Comma 6 5 7" xfId="2613"/>
    <cellStyle name="Comma 6 6" xfId="2614"/>
    <cellStyle name="Comma 6 6 2" xfId="2615"/>
    <cellStyle name="Comma 6 6 2 2" xfId="2616"/>
    <cellStyle name="Comma 6 6 2 2 2" xfId="2617"/>
    <cellStyle name="Comma 6 6 2 2 3" xfId="2618"/>
    <cellStyle name="Comma 6 6 2 3" xfId="2619"/>
    <cellStyle name="Comma 6 6 2 3 2" xfId="2620"/>
    <cellStyle name="Comma 6 6 2 3 3" xfId="2621"/>
    <cellStyle name="Comma 6 6 2 4" xfId="2622"/>
    <cellStyle name="Comma 6 6 2 5" xfId="2623"/>
    <cellStyle name="Comma 6 6 3" xfId="2624"/>
    <cellStyle name="Comma 6 6 3 2" xfId="2625"/>
    <cellStyle name="Comma 6 6 3 3" xfId="2626"/>
    <cellStyle name="Comma 6 6 4" xfId="2627"/>
    <cellStyle name="Comma 6 6 4 2" xfId="2628"/>
    <cellStyle name="Comma 6 6 4 3" xfId="2629"/>
    <cellStyle name="Comma 6 6 5" xfId="2630"/>
    <cellStyle name="Comma 6 6 6" xfId="2631"/>
    <cellStyle name="Comma 6 7" xfId="2632"/>
    <cellStyle name="Comma 6 7 2" xfId="2633"/>
    <cellStyle name="Comma 6 7 2 2" xfId="2634"/>
    <cellStyle name="Comma 6 7 2 3" xfId="2635"/>
    <cellStyle name="Comma 6 7 3" xfId="2636"/>
    <cellStyle name="Comma 6 7 3 2" xfId="2637"/>
    <cellStyle name="Comma 6 7 3 3" xfId="2638"/>
    <cellStyle name="Comma 6 7 4" xfId="2639"/>
    <cellStyle name="Comma 6 7 5" xfId="2640"/>
    <cellStyle name="Comma 6 8" xfId="2641"/>
    <cellStyle name="Comma 6 8 2" xfId="2642"/>
    <cellStyle name="Comma 6 8 3" xfId="2643"/>
    <cellStyle name="Comma 6 9" xfId="2644"/>
    <cellStyle name="Comma 6 9 2" xfId="2645"/>
    <cellStyle name="Comma 6 9 3" xfId="2646"/>
    <cellStyle name="Comma 7" xfId="114"/>
    <cellStyle name="Comma 7 10" xfId="2647"/>
    <cellStyle name="Comma 7 11" xfId="2648"/>
    <cellStyle name="Comma 7 2" xfId="2649"/>
    <cellStyle name="Comma 7 2 2" xfId="2650"/>
    <cellStyle name="Comma 7 2 2 2" xfId="2651"/>
    <cellStyle name="Comma 7 2 2 2 2" xfId="2652"/>
    <cellStyle name="Comma 7 2 2 2 2 2" xfId="2653"/>
    <cellStyle name="Comma 7 2 2 2 2 2 2" xfId="2654"/>
    <cellStyle name="Comma 7 2 2 2 2 2 2 2" xfId="2655"/>
    <cellStyle name="Comma 7 2 2 2 2 2 2 3" xfId="2656"/>
    <cellStyle name="Comma 7 2 2 2 2 2 3" xfId="2657"/>
    <cellStyle name="Comma 7 2 2 2 2 2 3 2" xfId="2658"/>
    <cellStyle name="Comma 7 2 2 2 2 2 3 3" xfId="2659"/>
    <cellStyle name="Comma 7 2 2 2 2 2 4" xfId="2660"/>
    <cellStyle name="Comma 7 2 2 2 2 2 5" xfId="2661"/>
    <cellStyle name="Comma 7 2 2 2 2 3" xfId="2662"/>
    <cellStyle name="Comma 7 2 2 2 2 3 2" xfId="2663"/>
    <cellStyle name="Comma 7 2 2 2 2 3 3" xfId="2664"/>
    <cellStyle name="Comma 7 2 2 2 2 4" xfId="2665"/>
    <cellStyle name="Comma 7 2 2 2 2 4 2" xfId="2666"/>
    <cellStyle name="Comma 7 2 2 2 2 4 3" xfId="2667"/>
    <cellStyle name="Comma 7 2 2 2 2 5" xfId="2668"/>
    <cellStyle name="Comma 7 2 2 2 2 6" xfId="2669"/>
    <cellStyle name="Comma 7 2 2 2 3" xfId="2670"/>
    <cellStyle name="Comma 7 2 2 2 3 2" xfId="2671"/>
    <cellStyle name="Comma 7 2 2 2 3 2 2" xfId="2672"/>
    <cellStyle name="Comma 7 2 2 2 3 2 3" xfId="2673"/>
    <cellStyle name="Comma 7 2 2 2 3 3" xfId="2674"/>
    <cellStyle name="Comma 7 2 2 2 3 3 2" xfId="2675"/>
    <cellStyle name="Comma 7 2 2 2 3 3 3" xfId="2676"/>
    <cellStyle name="Comma 7 2 2 2 3 4" xfId="2677"/>
    <cellStyle name="Comma 7 2 2 2 3 5" xfId="2678"/>
    <cellStyle name="Comma 7 2 2 2 4" xfId="2679"/>
    <cellStyle name="Comma 7 2 2 2 4 2" xfId="2680"/>
    <cellStyle name="Comma 7 2 2 2 4 3" xfId="2681"/>
    <cellStyle name="Comma 7 2 2 2 5" xfId="2682"/>
    <cellStyle name="Comma 7 2 2 2 5 2" xfId="2683"/>
    <cellStyle name="Comma 7 2 2 2 5 3" xfId="2684"/>
    <cellStyle name="Comma 7 2 2 2 6" xfId="2685"/>
    <cellStyle name="Comma 7 2 2 2 7" xfId="2686"/>
    <cellStyle name="Comma 7 2 2 3" xfId="2687"/>
    <cellStyle name="Comma 7 2 2 3 2" xfId="2688"/>
    <cellStyle name="Comma 7 2 2 3 2 2" xfId="2689"/>
    <cellStyle name="Comma 7 2 2 3 2 2 2" xfId="2690"/>
    <cellStyle name="Comma 7 2 2 3 2 2 3" xfId="2691"/>
    <cellStyle name="Comma 7 2 2 3 2 3" xfId="2692"/>
    <cellStyle name="Comma 7 2 2 3 2 3 2" xfId="2693"/>
    <cellStyle name="Comma 7 2 2 3 2 3 3" xfId="2694"/>
    <cellStyle name="Comma 7 2 2 3 2 4" xfId="2695"/>
    <cellStyle name="Comma 7 2 2 3 2 5" xfId="2696"/>
    <cellStyle name="Comma 7 2 2 3 3" xfId="2697"/>
    <cellStyle name="Comma 7 2 2 3 3 2" xfId="2698"/>
    <cellStyle name="Comma 7 2 2 3 3 3" xfId="2699"/>
    <cellStyle name="Comma 7 2 2 3 4" xfId="2700"/>
    <cellStyle name="Comma 7 2 2 3 4 2" xfId="2701"/>
    <cellStyle name="Comma 7 2 2 3 4 3" xfId="2702"/>
    <cellStyle name="Comma 7 2 2 3 5" xfId="2703"/>
    <cellStyle name="Comma 7 2 2 3 6" xfId="2704"/>
    <cellStyle name="Comma 7 2 2 4" xfId="2705"/>
    <cellStyle name="Comma 7 2 2 4 2" xfId="2706"/>
    <cellStyle name="Comma 7 2 2 4 2 2" xfId="2707"/>
    <cellStyle name="Comma 7 2 2 4 2 3" xfId="2708"/>
    <cellStyle name="Comma 7 2 2 4 3" xfId="2709"/>
    <cellStyle name="Comma 7 2 2 4 3 2" xfId="2710"/>
    <cellStyle name="Comma 7 2 2 4 3 3" xfId="2711"/>
    <cellStyle name="Comma 7 2 2 4 4" xfId="2712"/>
    <cellStyle name="Comma 7 2 2 4 5" xfId="2713"/>
    <cellStyle name="Comma 7 2 2 5" xfId="2714"/>
    <cellStyle name="Comma 7 2 2 5 2" xfId="2715"/>
    <cellStyle name="Comma 7 2 2 5 3" xfId="2716"/>
    <cellStyle name="Comma 7 2 2 6" xfId="2717"/>
    <cellStyle name="Comma 7 2 2 6 2" xfId="2718"/>
    <cellStyle name="Comma 7 2 2 6 3" xfId="2719"/>
    <cellStyle name="Comma 7 2 2 7" xfId="2720"/>
    <cellStyle name="Comma 7 2 2 8" xfId="2721"/>
    <cellStyle name="Comma 7 2 3" xfId="2722"/>
    <cellStyle name="Comma 7 2 3 2" xfId="2723"/>
    <cellStyle name="Comma 7 2 3 2 2" xfId="2724"/>
    <cellStyle name="Comma 7 2 3 2 2 2" xfId="2725"/>
    <cellStyle name="Comma 7 2 3 2 2 2 2" xfId="2726"/>
    <cellStyle name="Comma 7 2 3 2 2 2 3" xfId="2727"/>
    <cellStyle name="Comma 7 2 3 2 2 3" xfId="2728"/>
    <cellStyle name="Comma 7 2 3 2 2 3 2" xfId="2729"/>
    <cellStyle name="Comma 7 2 3 2 2 3 3" xfId="2730"/>
    <cellStyle name="Comma 7 2 3 2 2 4" xfId="2731"/>
    <cellStyle name="Comma 7 2 3 2 2 5" xfId="2732"/>
    <cellStyle name="Comma 7 2 3 2 3" xfId="2733"/>
    <cellStyle name="Comma 7 2 3 2 3 2" xfId="2734"/>
    <cellStyle name="Comma 7 2 3 2 3 3" xfId="2735"/>
    <cellStyle name="Comma 7 2 3 2 4" xfId="2736"/>
    <cellStyle name="Comma 7 2 3 2 4 2" xfId="2737"/>
    <cellStyle name="Comma 7 2 3 2 4 3" xfId="2738"/>
    <cellStyle name="Comma 7 2 3 2 5" xfId="2739"/>
    <cellStyle name="Comma 7 2 3 2 6" xfId="2740"/>
    <cellStyle name="Comma 7 2 3 3" xfId="2741"/>
    <cellStyle name="Comma 7 2 3 3 2" xfId="2742"/>
    <cellStyle name="Comma 7 2 3 3 2 2" xfId="2743"/>
    <cellStyle name="Comma 7 2 3 3 2 3" xfId="2744"/>
    <cellStyle name="Comma 7 2 3 3 3" xfId="2745"/>
    <cellStyle name="Comma 7 2 3 3 3 2" xfId="2746"/>
    <cellStyle name="Comma 7 2 3 3 3 3" xfId="2747"/>
    <cellStyle name="Comma 7 2 3 3 4" xfId="2748"/>
    <cellStyle name="Comma 7 2 3 3 5" xfId="2749"/>
    <cellStyle name="Comma 7 2 3 4" xfId="2750"/>
    <cellStyle name="Comma 7 2 3 4 2" xfId="2751"/>
    <cellStyle name="Comma 7 2 3 4 3" xfId="2752"/>
    <cellStyle name="Comma 7 2 3 5" xfId="2753"/>
    <cellStyle name="Comma 7 2 3 5 2" xfId="2754"/>
    <cellStyle name="Comma 7 2 3 5 3" xfId="2755"/>
    <cellStyle name="Comma 7 2 3 6" xfId="2756"/>
    <cellStyle name="Comma 7 2 3 7" xfId="2757"/>
    <cellStyle name="Comma 7 2 4" xfId="2758"/>
    <cellStyle name="Comma 7 2 4 2" xfId="2759"/>
    <cellStyle name="Comma 7 2 4 2 2" xfId="2760"/>
    <cellStyle name="Comma 7 2 4 2 2 2" xfId="2761"/>
    <cellStyle name="Comma 7 2 4 2 2 3" xfId="2762"/>
    <cellStyle name="Comma 7 2 4 2 3" xfId="2763"/>
    <cellStyle name="Comma 7 2 4 2 3 2" xfId="2764"/>
    <cellStyle name="Comma 7 2 4 2 3 3" xfId="2765"/>
    <cellStyle name="Comma 7 2 4 2 4" xfId="2766"/>
    <cellStyle name="Comma 7 2 4 2 5" xfId="2767"/>
    <cellStyle name="Comma 7 2 4 3" xfId="2768"/>
    <cellStyle name="Comma 7 2 4 3 2" xfId="2769"/>
    <cellStyle name="Comma 7 2 4 3 3" xfId="2770"/>
    <cellStyle name="Comma 7 2 4 4" xfId="2771"/>
    <cellStyle name="Comma 7 2 4 4 2" xfId="2772"/>
    <cellStyle name="Comma 7 2 4 4 3" xfId="2773"/>
    <cellStyle name="Comma 7 2 4 5" xfId="2774"/>
    <cellStyle name="Comma 7 2 4 6" xfId="2775"/>
    <cellStyle name="Comma 7 2 5" xfId="2776"/>
    <cellStyle name="Comma 7 2 5 2" xfId="2777"/>
    <cellStyle name="Comma 7 2 5 2 2" xfId="2778"/>
    <cellStyle name="Comma 7 2 5 2 3" xfId="2779"/>
    <cellStyle name="Comma 7 2 5 3" xfId="2780"/>
    <cellStyle name="Comma 7 2 5 3 2" xfId="2781"/>
    <cellStyle name="Comma 7 2 5 3 3" xfId="2782"/>
    <cellStyle name="Comma 7 2 5 4" xfId="2783"/>
    <cellStyle name="Comma 7 2 5 5" xfId="2784"/>
    <cellStyle name="Comma 7 2 6" xfId="2785"/>
    <cellStyle name="Comma 7 2 6 2" xfId="2786"/>
    <cellStyle name="Comma 7 2 6 3" xfId="2787"/>
    <cellStyle name="Comma 7 2 7" xfId="2788"/>
    <cellStyle name="Comma 7 2 7 2" xfId="2789"/>
    <cellStyle name="Comma 7 2 7 3" xfId="2790"/>
    <cellStyle name="Comma 7 2 8" xfId="2791"/>
    <cellStyle name="Comma 7 2 9" xfId="2792"/>
    <cellStyle name="Comma 7 3" xfId="2793"/>
    <cellStyle name="Comma 7 3 2" xfId="2794"/>
    <cellStyle name="Comma 7 3 2 2" xfId="2795"/>
    <cellStyle name="Comma 7 3 2 2 2" xfId="2796"/>
    <cellStyle name="Comma 7 3 2 2 2 2" xfId="2797"/>
    <cellStyle name="Comma 7 3 2 2 2 2 2" xfId="2798"/>
    <cellStyle name="Comma 7 3 2 2 2 2 3" xfId="2799"/>
    <cellStyle name="Comma 7 3 2 2 2 3" xfId="2800"/>
    <cellStyle name="Comma 7 3 2 2 2 3 2" xfId="2801"/>
    <cellStyle name="Comma 7 3 2 2 2 3 3" xfId="2802"/>
    <cellStyle name="Comma 7 3 2 2 2 4" xfId="2803"/>
    <cellStyle name="Comma 7 3 2 2 2 5" xfId="2804"/>
    <cellStyle name="Comma 7 3 2 2 3" xfId="2805"/>
    <cellStyle name="Comma 7 3 2 2 3 2" xfId="2806"/>
    <cellStyle name="Comma 7 3 2 2 3 3" xfId="2807"/>
    <cellStyle name="Comma 7 3 2 2 4" xfId="2808"/>
    <cellStyle name="Comma 7 3 2 2 4 2" xfId="2809"/>
    <cellStyle name="Comma 7 3 2 2 4 3" xfId="2810"/>
    <cellStyle name="Comma 7 3 2 2 5" xfId="2811"/>
    <cellStyle name="Comma 7 3 2 2 6" xfId="2812"/>
    <cellStyle name="Comma 7 3 2 3" xfId="2813"/>
    <cellStyle name="Comma 7 3 2 3 2" xfId="2814"/>
    <cellStyle name="Comma 7 3 2 3 2 2" xfId="2815"/>
    <cellStyle name="Comma 7 3 2 3 2 3" xfId="2816"/>
    <cellStyle name="Comma 7 3 2 3 3" xfId="2817"/>
    <cellStyle name="Comma 7 3 2 3 3 2" xfId="2818"/>
    <cellStyle name="Comma 7 3 2 3 3 3" xfId="2819"/>
    <cellStyle name="Comma 7 3 2 3 4" xfId="2820"/>
    <cellStyle name="Comma 7 3 2 3 5" xfId="2821"/>
    <cellStyle name="Comma 7 3 2 4" xfId="2822"/>
    <cellStyle name="Comma 7 3 2 4 2" xfId="2823"/>
    <cellStyle name="Comma 7 3 2 4 3" xfId="2824"/>
    <cellStyle name="Comma 7 3 2 5" xfId="2825"/>
    <cellStyle name="Comma 7 3 2 5 2" xfId="2826"/>
    <cellStyle name="Comma 7 3 2 5 3" xfId="2827"/>
    <cellStyle name="Comma 7 3 2 6" xfId="2828"/>
    <cellStyle name="Comma 7 3 2 7" xfId="2829"/>
    <cellStyle name="Comma 7 3 3" xfId="2830"/>
    <cellStyle name="Comma 7 3 3 2" xfId="2831"/>
    <cellStyle name="Comma 7 3 3 2 2" xfId="2832"/>
    <cellStyle name="Comma 7 3 3 2 2 2" xfId="2833"/>
    <cellStyle name="Comma 7 3 3 2 2 3" xfId="2834"/>
    <cellStyle name="Comma 7 3 3 2 3" xfId="2835"/>
    <cellStyle name="Comma 7 3 3 2 3 2" xfId="2836"/>
    <cellStyle name="Comma 7 3 3 2 3 3" xfId="2837"/>
    <cellStyle name="Comma 7 3 3 2 4" xfId="2838"/>
    <cellStyle name="Comma 7 3 3 2 5" xfId="2839"/>
    <cellStyle name="Comma 7 3 3 3" xfId="2840"/>
    <cellStyle name="Comma 7 3 3 3 2" xfId="2841"/>
    <cellStyle name="Comma 7 3 3 3 3" xfId="2842"/>
    <cellStyle name="Comma 7 3 3 4" xfId="2843"/>
    <cellStyle name="Comma 7 3 3 4 2" xfId="2844"/>
    <cellStyle name="Comma 7 3 3 4 3" xfId="2845"/>
    <cellStyle name="Comma 7 3 3 5" xfId="2846"/>
    <cellStyle name="Comma 7 3 3 6" xfId="2847"/>
    <cellStyle name="Comma 7 3 4" xfId="2848"/>
    <cellStyle name="Comma 7 3 4 2" xfId="2849"/>
    <cellStyle name="Comma 7 3 4 2 2" xfId="2850"/>
    <cellStyle name="Comma 7 3 4 2 3" xfId="2851"/>
    <cellStyle name="Comma 7 3 4 3" xfId="2852"/>
    <cellStyle name="Comma 7 3 4 3 2" xfId="2853"/>
    <cellStyle name="Comma 7 3 4 3 3" xfId="2854"/>
    <cellStyle name="Comma 7 3 4 4" xfId="2855"/>
    <cellStyle name="Comma 7 3 4 5" xfId="2856"/>
    <cellStyle name="Comma 7 3 5" xfId="2857"/>
    <cellStyle name="Comma 7 3 5 2" xfId="2858"/>
    <cellStyle name="Comma 7 3 5 3" xfId="2859"/>
    <cellStyle name="Comma 7 3 6" xfId="2860"/>
    <cellStyle name="Comma 7 3 6 2" xfId="2861"/>
    <cellStyle name="Comma 7 3 6 3" xfId="2862"/>
    <cellStyle name="Comma 7 3 7" xfId="2863"/>
    <cellStyle name="Comma 7 3 8" xfId="2864"/>
    <cellStyle name="Comma 7 4" xfId="2865"/>
    <cellStyle name="Comma 7 4 2" xfId="2866"/>
    <cellStyle name="Comma 7 4 2 2" xfId="2867"/>
    <cellStyle name="Comma 7 4 2 2 2" xfId="2868"/>
    <cellStyle name="Comma 7 4 2 2 2 2" xfId="2869"/>
    <cellStyle name="Comma 7 4 2 2 2 2 2" xfId="2870"/>
    <cellStyle name="Comma 7 4 2 2 2 2 3" xfId="2871"/>
    <cellStyle name="Comma 7 4 2 2 2 3" xfId="2872"/>
    <cellStyle name="Comma 7 4 2 2 2 3 2" xfId="2873"/>
    <cellStyle name="Comma 7 4 2 2 2 3 3" xfId="2874"/>
    <cellStyle name="Comma 7 4 2 2 2 4" xfId="2875"/>
    <cellStyle name="Comma 7 4 2 2 2 5" xfId="2876"/>
    <cellStyle name="Comma 7 4 2 2 3" xfId="2877"/>
    <cellStyle name="Comma 7 4 2 2 3 2" xfId="2878"/>
    <cellStyle name="Comma 7 4 2 2 3 3" xfId="2879"/>
    <cellStyle name="Comma 7 4 2 2 4" xfId="2880"/>
    <cellStyle name="Comma 7 4 2 2 4 2" xfId="2881"/>
    <cellStyle name="Comma 7 4 2 2 4 3" xfId="2882"/>
    <cellStyle name="Comma 7 4 2 2 5" xfId="2883"/>
    <cellStyle name="Comma 7 4 2 2 6" xfId="2884"/>
    <cellStyle name="Comma 7 4 2 3" xfId="2885"/>
    <cellStyle name="Comma 7 4 2 3 2" xfId="2886"/>
    <cellStyle name="Comma 7 4 2 3 2 2" xfId="2887"/>
    <cellStyle name="Comma 7 4 2 3 2 3" xfId="2888"/>
    <cellStyle name="Comma 7 4 2 3 3" xfId="2889"/>
    <cellStyle name="Comma 7 4 2 3 3 2" xfId="2890"/>
    <cellStyle name="Comma 7 4 2 3 3 3" xfId="2891"/>
    <cellStyle name="Comma 7 4 2 3 4" xfId="2892"/>
    <cellStyle name="Comma 7 4 2 3 5" xfId="2893"/>
    <cellStyle name="Comma 7 4 2 4" xfId="2894"/>
    <cellStyle name="Comma 7 4 2 4 2" xfId="2895"/>
    <cellStyle name="Comma 7 4 2 4 3" xfId="2896"/>
    <cellStyle name="Comma 7 4 2 5" xfId="2897"/>
    <cellStyle name="Comma 7 4 2 5 2" xfId="2898"/>
    <cellStyle name="Comma 7 4 2 5 3" xfId="2899"/>
    <cellStyle name="Comma 7 4 2 6" xfId="2900"/>
    <cellStyle name="Comma 7 4 2 7" xfId="2901"/>
    <cellStyle name="Comma 7 4 3" xfId="2902"/>
    <cellStyle name="Comma 7 4 3 2" xfId="2903"/>
    <cellStyle name="Comma 7 4 3 2 2" xfId="2904"/>
    <cellStyle name="Comma 7 4 3 2 2 2" xfId="2905"/>
    <cellStyle name="Comma 7 4 3 2 2 3" xfId="2906"/>
    <cellStyle name="Comma 7 4 3 2 3" xfId="2907"/>
    <cellStyle name="Comma 7 4 3 2 3 2" xfId="2908"/>
    <cellStyle name="Comma 7 4 3 2 3 3" xfId="2909"/>
    <cellStyle name="Comma 7 4 3 2 4" xfId="2910"/>
    <cellStyle name="Comma 7 4 3 2 5" xfId="2911"/>
    <cellStyle name="Comma 7 4 3 3" xfId="2912"/>
    <cellStyle name="Comma 7 4 3 3 2" xfId="2913"/>
    <cellStyle name="Comma 7 4 3 3 3" xfId="2914"/>
    <cellStyle name="Comma 7 4 3 4" xfId="2915"/>
    <cellStyle name="Comma 7 4 3 4 2" xfId="2916"/>
    <cellStyle name="Comma 7 4 3 4 3" xfId="2917"/>
    <cellStyle name="Comma 7 4 3 5" xfId="2918"/>
    <cellStyle name="Comma 7 4 3 6" xfId="2919"/>
    <cellStyle name="Comma 7 4 4" xfId="2920"/>
    <cellStyle name="Comma 7 4 4 2" xfId="2921"/>
    <cellStyle name="Comma 7 4 4 2 2" xfId="2922"/>
    <cellStyle name="Comma 7 4 4 2 3" xfId="2923"/>
    <cellStyle name="Comma 7 4 4 3" xfId="2924"/>
    <cellStyle name="Comma 7 4 4 3 2" xfId="2925"/>
    <cellStyle name="Comma 7 4 4 3 3" xfId="2926"/>
    <cellStyle name="Comma 7 4 4 4" xfId="2927"/>
    <cellStyle name="Comma 7 4 4 5" xfId="2928"/>
    <cellStyle name="Comma 7 4 5" xfId="2929"/>
    <cellStyle name="Comma 7 4 5 2" xfId="2930"/>
    <cellStyle name="Comma 7 4 5 3" xfId="2931"/>
    <cellStyle name="Comma 7 4 6" xfId="2932"/>
    <cellStyle name="Comma 7 4 6 2" xfId="2933"/>
    <cellStyle name="Comma 7 4 6 3" xfId="2934"/>
    <cellStyle name="Comma 7 4 7" xfId="2935"/>
    <cellStyle name="Comma 7 4 8" xfId="2936"/>
    <cellStyle name="Comma 7 5" xfId="2937"/>
    <cellStyle name="Comma 7 5 2" xfId="2938"/>
    <cellStyle name="Comma 7 5 2 2" xfId="2939"/>
    <cellStyle name="Comma 7 5 2 2 2" xfId="2940"/>
    <cellStyle name="Comma 7 5 2 2 2 2" xfId="2941"/>
    <cellStyle name="Comma 7 5 2 2 2 3" xfId="2942"/>
    <cellStyle name="Comma 7 5 2 2 3" xfId="2943"/>
    <cellStyle name="Comma 7 5 2 2 3 2" xfId="2944"/>
    <cellStyle name="Comma 7 5 2 2 3 3" xfId="2945"/>
    <cellStyle name="Comma 7 5 2 2 4" xfId="2946"/>
    <cellStyle name="Comma 7 5 2 2 5" xfId="2947"/>
    <cellStyle name="Comma 7 5 2 3" xfId="2948"/>
    <cellStyle name="Comma 7 5 2 3 2" xfId="2949"/>
    <cellStyle name="Comma 7 5 2 3 3" xfId="2950"/>
    <cellStyle name="Comma 7 5 2 4" xfId="2951"/>
    <cellStyle name="Comma 7 5 2 4 2" xfId="2952"/>
    <cellStyle name="Comma 7 5 2 4 3" xfId="2953"/>
    <cellStyle name="Comma 7 5 2 5" xfId="2954"/>
    <cellStyle name="Comma 7 5 2 6" xfId="2955"/>
    <cellStyle name="Comma 7 5 3" xfId="2956"/>
    <cellStyle name="Comma 7 5 3 2" xfId="2957"/>
    <cellStyle name="Comma 7 5 3 2 2" xfId="2958"/>
    <cellStyle name="Comma 7 5 3 2 3" xfId="2959"/>
    <cellStyle name="Comma 7 5 3 3" xfId="2960"/>
    <cellStyle name="Comma 7 5 3 3 2" xfId="2961"/>
    <cellStyle name="Comma 7 5 3 3 3" xfId="2962"/>
    <cellStyle name="Comma 7 5 3 4" xfId="2963"/>
    <cellStyle name="Comma 7 5 3 5" xfId="2964"/>
    <cellStyle name="Comma 7 5 4" xfId="2965"/>
    <cellStyle name="Comma 7 5 4 2" xfId="2966"/>
    <cellStyle name="Comma 7 5 4 3" xfId="2967"/>
    <cellStyle name="Comma 7 5 5" xfId="2968"/>
    <cellStyle name="Comma 7 5 5 2" xfId="2969"/>
    <cellStyle name="Comma 7 5 5 3" xfId="2970"/>
    <cellStyle name="Comma 7 5 6" xfId="2971"/>
    <cellStyle name="Comma 7 5 7" xfId="2972"/>
    <cellStyle name="Comma 7 6" xfId="2973"/>
    <cellStyle name="Comma 7 6 2" xfId="2974"/>
    <cellStyle name="Comma 7 6 2 2" xfId="2975"/>
    <cellStyle name="Comma 7 6 2 2 2" xfId="2976"/>
    <cellStyle name="Comma 7 6 2 2 3" xfId="2977"/>
    <cellStyle name="Comma 7 6 2 3" xfId="2978"/>
    <cellStyle name="Comma 7 6 2 3 2" xfId="2979"/>
    <cellStyle name="Comma 7 6 2 3 3" xfId="2980"/>
    <cellStyle name="Comma 7 6 2 4" xfId="2981"/>
    <cellStyle name="Comma 7 6 2 5" xfId="2982"/>
    <cellStyle name="Comma 7 6 3" xfId="2983"/>
    <cellStyle name="Comma 7 6 3 2" xfId="2984"/>
    <cellStyle name="Comma 7 6 3 3" xfId="2985"/>
    <cellStyle name="Comma 7 6 4" xfId="2986"/>
    <cellStyle name="Comma 7 6 4 2" xfId="2987"/>
    <cellStyle name="Comma 7 6 4 3" xfId="2988"/>
    <cellStyle name="Comma 7 6 5" xfId="2989"/>
    <cellStyle name="Comma 7 6 6" xfId="2990"/>
    <cellStyle name="Comma 7 7" xfId="2991"/>
    <cellStyle name="Comma 7 7 2" xfId="2992"/>
    <cellStyle name="Comma 7 7 2 2" xfId="2993"/>
    <cellStyle name="Comma 7 7 2 3" xfId="2994"/>
    <cellStyle name="Comma 7 7 3" xfId="2995"/>
    <cellStyle name="Comma 7 7 3 2" xfId="2996"/>
    <cellStyle name="Comma 7 7 3 3" xfId="2997"/>
    <cellStyle name="Comma 7 7 4" xfId="2998"/>
    <cellStyle name="Comma 7 7 5" xfId="2999"/>
    <cellStyle name="Comma 7 8" xfId="3000"/>
    <cellStyle name="Comma 7 8 2" xfId="3001"/>
    <cellStyle name="Comma 7 8 3" xfId="3002"/>
    <cellStyle name="Comma 7 9" xfId="3003"/>
    <cellStyle name="Comma 7 9 2" xfId="3004"/>
    <cellStyle name="Comma 7 9 3" xfId="3005"/>
    <cellStyle name="Comma 8" xfId="115"/>
    <cellStyle name="Comma 8 10" xfId="3006"/>
    <cellStyle name="Comma 8 2" xfId="3007"/>
    <cellStyle name="Comma 8 2 2" xfId="3008"/>
    <cellStyle name="Comma 8 2 2 2" xfId="3009"/>
    <cellStyle name="Comma 8 2 2 2 2" xfId="3010"/>
    <cellStyle name="Comma 8 2 2 2 2 2" xfId="3011"/>
    <cellStyle name="Comma 8 2 2 2 2 2 2" xfId="3012"/>
    <cellStyle name="Comma 8 2 2 2 2 2 3" xfId="3013"/>
    <cellStyle name="Comma 8 2 2 2 2 3" xfId="3014"/>
    <cellStyle name="Comma 8 2 2 2 2 3 2" xfId="3015"/>
    <cellStyle name="Comma 8 2 2 2 2 3 3" xfId="3016"/>
    <cellStyle name="Comma 8 2 2 2 2 4" xfId="3017"/>
    <cellStyle name="Comma 8 2 2 2 2 5" xfId="3018"/>
    <cellStyle name="Comma 8 2 2 2 3" xfId="3019"/>
    <cellStyle name="Comma 8 2 2 2 3 2" xfId="3020"/>
    <cellStyle name="Comma 8 2 2 2 3 3" xfId="3021"/>
    <cellStyle name="Comma 8 2 2 2 4" xfId="3022"/>
    <cellStyle name="Comma 8 2 2 2 4 2" xfId="3023"/>
    <cellStyle name="Comma 8 2 2 2 4 3" xfId="3024"/>
    <cellStyle name="Comma 8 2 2 2 5" xfId="3025"/>
    <cellStyle name="Comma 8 2 2 2 6" xfId="3026"/>
    <cellStyle name="Comma 8 2 2 3" xfId="3027"/>
    <cellStyle name="Comma 8 2 2 3 2" xfId="3028"/>
    <cellStyle name="Comma 8 2 2 3 2 2" xfId="3029"/>
    <cellStyle name="Comma 8 2 2 3 2 3" xfId="3030"/>
    <cellStyle name="Comma 8 2 2 3 3" xfId="3031"/>
    <cellStyle name="Comma 8 2 2 3 3 2" xfId="3032"/>
    <cellStyle name="Comma 8 2 2 3 3 3" xfId="3033"/>
    <cellStyle name="Comma 8 2 2 3 4" xfId="3034"/>
    <cellStyle name="Comma 8 2 2 3 5" xfId="3035"/>
    <cellStyle name="Comma 8 2 2 4" xfId="3036"/>
    <cellStyle name="Comma 8 2 2 4 2" xfId="3037"/>
    <cellStyle name="Comma 8 2 2 4 3" xfId="3038"/>
    <cellStyle name="Comma 8 2 2 5" xfId="3039"/>
    <cellStyle name="Comma 8 2 2 5 2" xfId="3040"/>
    <cellStyle name="Comma 8 2 2 5 3" xfId="3041"/>
    <cellStyle name="Comma 8 2 2 6" xfId="3042"/>
    <cellStyle name="Comma 8 2 2 7" xfId="3043"/>
    <cellStyle name="Comma 8 2 3" xfId="3044"/>
    <cellStyle name="Comma 8 2 3 2" xfId="3045"/>
    <cellStyle name="Comma 8 2 3 2 2" xfId="3046"/>
    <cellStyle name="Comma 8 2 3 2 2 2" xfId="3047"/>
    <cellStyle name="Comma 8 2 3 2 2 3" xfId="3048"/>
    <cellStyle name="Comma 8 2 3 2 3" xfId="3049"/>
    <cellStyle name="Comma 8 2 3 2 3 2" xfId="3050"/>
    <cellStyle name="Comma 8 2 3 2 3 3" xfId="3051"/>
    <cellStyle name="Comma 8 2 3 2 4" xfId="3052"/>
    <cellStyle name="Comma 8 2 3 2 5" xfId="3053"/>
    <cellStyle name="Comma 8 2 3 3" xfId="3054"/>
    <cellStyle name="Comma 8 2 3 3 2" xfId="3055"/>
    <cellStyle name="Comma 8 2 3 3 3" xfId="3056"/>
    <cellStyle name="Comma 8 2 3 4" xfId="3057"/>
    <cellStyle name="Comma 8 2 3 4 2" xfId="3058"/>
    <cellStyle name="Comma 8 2 3 4 3" xfId="3059"/>
    <cellStyle name="Comma 8 2 3 5" xfId="3060"/>
    <cellStyle name="Comma 8 2 3 6" xfId="3061"/>
    <cellStyle name="Comma 8 2 4" xfId="3062"/>
    <cellStyle name="Comma 8 2 4 2" xfId="3063"/>
    <cellStyle name="Comma 8 2 4 2 2" xfId="3064"/>
    <cellStyle name="Comma 8 2 4 2 3" xfId="3065"/>
    <cellStyle name="Comma 8 2 4 3" xfId="3066"/>
    <cellStyle name="Comma 8 2 4 3 2" xfId="3067"/>
    <cellStyle name="Comma 8 2 4 3 3" xfId="3068"/>
    <cellStyle name="Comma 8 2 4 4" xfId="3069"/>
    <cellStyle name="Comma 8 2 4 5" xfId="3070"/>
    <cellStyle name="Comma 8 2 5" xfId="3071"/>
    <cellStyle name="Comma 8 2 5 2" xfId="3072"/>
    <cellStyle name="Comma 8 2 5 3" xfId="3073"/>
    <cellStyle name="Comma 8 2 6" xfId="3074"/>
    <cellStyle name="Comma 8 2 6 2" xfId="3075"/>
    <cellStyle name="Comma 8 2 6 3" xfId="3076"/>
    <cellStyle name="Comma 8 2 7" xfId="3077"/>
    <cellStyle name="Comma 8 2 8" xfId="3078"/>
    <cellStyle name="Comma 8 3" xfId="3079"/>
    <cellStyle name="Comma 8 3 2" xfId="3080"/>
    <cellStyle name="Comma 8 3 2 2" xfId="3081"/>
    <cellStyle name="Comma 8 3 2 2 2" xfId="3082"/>
    <cellStyle name="Comma 8 3 2 2 2 2" xfId="3083"/>
    <cellStyle name="Comma 8 3 2 2 2 2 2" xfId="3084"/>
    <cellStyle name="Comma 8 3 2 2 2 2 3" xfId="3085"/>
    <cellStyle name="Comma 8 3 2 2 2 3" xfId="3086"/>
    <cellStyle name="Comma 8 3 2 2 2 3 2" xfId="3087"/>
    <cellStyle name="Comma 8 3 2 2 2 3 3" xfId="3088"/>
    <cellStyle name="Comma 8 3 2 2 2 4" xfId="3089"/>
    <cellStyle name="Comma 8 3 2 2 2 5" xfId="3090"/>
    <cellStyle name="Comma 8 3 2 2 3" xfId="3091"/>
    <cellStyle name="Comma 8 3 2 2 3 2" xfId="3092"/>
    <cellStyle name="Comma 8 3 2 2 3 3" xfId="3093"/>
    <cellStyle name="Comma 8 3 2 2 4" xfId="3094"/>
    <cellStyle name="Comma 8 3 2 2 4 2" xfId="3095"/>
    <cellStyle name="Comma 8 3 2 2 4 3" xfId="3096"/>
    <cellStyle name="Comma 8 3 2 2 5" xfId="3097"/>
    <cellStyle name="Comma 8 3 2 2 6" xfId="3098"/>
    <cellStyle name="Comma 8 3 2 3" xfId="3099"/>
    <cellStyle name="Comma 8 3 2 3 2" xfId="3100"/>
    <cellStyle name="Comma 8 3 2 3 2 2" xfId="3101"/>
    <cellStyle name="Comma 8 3 2 3 2 3" xfId="3102"/>
    <cellStyle name="Comma 8 3 2 3 3" xfId="3103"/>
    <cellStyle name="Comma 8 3 2 3 3 2" xfId="3104"/>
    <cellStyle name="Comma 8 3 2 3 3 3" xfId="3105"/>
    <cellStyle name="Comma 8 3 2 3 4" xfId="3106"/>
    <cellStyle name="Comma 8 3 2 3 5" xfId="3107"/>
    <cellStyle name="Comma 8 3 2 4" xfId="3108"/>
    <cellStyle name="Comma 8 3 2 4 2" xfId="3109"/>
    <cellStyle name="Comma 8 3 2 4 3" xfId="3110"/>
    <cellStyle name="Comma 8 3 2 5" xfId="3111"/>
    <cellStyle name="Comma 8 3 2 5 2" xfId="3112"/>
    <cellStyle name="Comma 8 3 2 5 3" xfId="3113"/>
    <cellStyle name="Comma 8 3 2 6" xfId="3114"/>
    <cellStyle name="Comma 8 3 2 7" xfId="3115"/>
    <cellStyle name="Comma 8 3 3" xfId="3116"/>
    <cellStyle name="Comma 8 3 3 2" xfId="3117"/>
    <cellStyle name="Comma 8 3 3 2 2" xfId="3118"/>
    <cellStyle name="Comma 8 3 3 2 2 2" xfId="3119"/>
    <cellStyle name="Comma 8 3 3 2 2 3" xfId="3120"/>
    <cellStyle name="Comma 8 3 3 2 3" xfId="3121"/>
    <cellStyle name="Comma 8 3 3 2 3 2" xfId="3122"/>
    <cellStyle name="Comma 8 3 3 2 3 3" xfId="3123"/>
    <cellStyle name="Comma 8 3 3 2 4" xfId="3124"/>
    <cellStyle name="Comma 8 3 3 2 5" xfId="3125"/>
    <cellStyle name="Comma 8 3 3 3" xfId="3126"/>
    <cellStyle name="Comma 8 3 3 3 2" xfId="3127"/>
    <cellStyle name="Comma 8 3 3 3 3" xfId="3128"/>
    <cellStyle name="Comma 8 3 3 4" xfId="3129"/>
    <cellStyle name="Comma 8 3 3 4 2" xfId="3130"/>
    <cellStyle name="Comma 8 3 3 4 3" xfId="3131"/>
    <cellStyle name="Comma 8 3 3 5" xfId="3132"/>
    <cellStyle name="Comma 8 3 3 6" xfId="3133"/>
    <cellStyle name="Comma 8 3 4" xfId="3134"/>
    <cellStyle name="Comma 8 3 4 2" xfId="3135"/>
    <cellStyle name="Comma 8 3 4 2 2" xfId="3136"/>
    <cellStyle name="Comma 8 3 4 2 3" xfId="3137"/>
    <cellStyle name="Comma 8 3 4 3" xfId="3138"/>
    <cellStyle name="Comma 8 3 4 3 2" xfId="3139"/>
    <cellStyle name="Comma 8 3 4 3 3" xfId="3140"/>
    <cellStyle name="Comma 8 3 4 4" xfId="3141"/>
    <cellStyle name="Comma 8 3 4 5" xfId="3142"/>
    <cellStyle name="Comma 8 3 5" xfId="3143"/>
    <cellStyle name="Comma 8 3 5 2" xfId="3144"/>
    <cellStyle name="Comma 8 3 5 3" xfId="3145"/>
    <cellStyle name="Comma 8 3 6" xfId="3146"/>
    <cellStyle name="Comma 8 3 6 2" xfId="3147"/>
    <cellStyle name="Comma 8 3 6 3" xfId="3148"/>
    <cellStyle name="Comma 8 3 7" xfId="3149"/>
    <cellStyle name="Comma 8 3 8" xfId="3150"/>
    <cellStyle name="Comma 8 4" xfId="3151"/>
    <cellStyle name="Comma 8 4 2" xfId="3152"/>
    <cellStyle name="Comma 8 4 2 2" xfId="3153"/>
    <cellStyle name="Comma 8 4 2 2 2" xfId="3154"/>
    <cellStyle name="Comma 8 4 2 2 2 2" xfId="3155"/>
    <cellStyle name="Comma 8 4 2 2 2 3" xfId="3156"/>
    <cellStyle name="Comma 8 4 2 2 3" xfId="3157"/>
    <cellStyle name="Comma 8 4 2 2 3 2" xfId="3158"/>
    <cellStyle name="Comma 8 4 2 2 3 3" xfId="3159"/>
    <cellStyle name="Comma 8 4 2 2 4" xfId="3160"/>
    <cellStyle name="Comma 8 4 2 2 5" xfId="3161"/>
    <cellStyle name="Comma 8 4 2 3" xfId="3162"/>
    <cellStyle name="Comma 8 4 2 3 2" xfId="3163"/>
    <cellStyle name="Comma 8 4 2 3 3" xfId="3164"/>
    <cellStyle name="Comma 8 4 2 4" xfId="3165"/>
    <cellStyle name="Comma 8 4 2 4 2" xfId="3166"/>
    <cellStyle name="Comma 8 4 2 4 3" xfId="3167"/>
    <cellStyle name="Comma 8 4 2 5" xfId="3168"/>
    <cellStyle name="Comma 8 4 2 6" xfId="3169"/>
    <cellStyle name="Comma 8 4 3" xfId="3170"/>
    <cellStyle name="Comma 8 4 3 2" xfId="3171"/>
    <cellStyle name="Comma 8 4 3 2 2" xfId="3172"/>
    <cellStyle name="Comma 8 4 3 2 3" xfId="3173"/>
    <cellStyle name="Comma 8 4 3 3" xfId="3174"/>
    <cellStyle name="Comma 8 4 3 3 2" xfId="3175"/>
    <cellStyle name="Comma 8 4 3 3 3" xfId="3176"/>
    <cellStyle name="Comma 8 4 3 4" xfId="3177"/>
    <cellStyle name="Comma 8 4 3 5" xfId="3178"/>
    <cellStyle name="Comma 8 4 4" xfId="3179"/>
    <cellStyle name="Comma 8 4 4 2" xfId="3180"/>
    <cellStyle name="Comma 8 4 4 3" xfId="3181"/>
    <cellStyle name="Comma 8 4 5" xfId="3182"/>
    <cellStyle name="Comma 8 4 5 2" xfId="3183"/>
    <cellStyle name="Comma 8 4 5 3" xfId="3184"/>
    <cellStyle name="Comma 8 4 6" xfId="3185"/>
    <cellStyle name="Comma 8 4 7" xfId="3186"/>
    <cellStyle name="Comma 8 5" xfId="3187"/>
    <cellStyle name="Comma 8 5 2" xfId="3188"/>
    <cellStyle name="Comma 8 5 2 2" xfId="3189"/>
    <cellStyle name="Comma 8 5 2 2 2" xfId="3190"/>
    <cellStyle name="Comma 8 5 2 2 3" xfId="3191"/>
    <cellStyle name="Comma 8 5 2 3" xfId="3192"/>
    <cellStyle name="Comma 8 5 2 3 2" xfId="3193"/>
    <cellStyle name="Comma 8 5 2 3 3" xfId="3194"/>
    <cellStyle name="Comma 8 5 2 4" xfId="3195"/>
    <cellStyle name="Comma 8 5 2 5" xfId="3196"/>
    <cellStyle name="Comma 8 5 3" xfId="3197"/>
    <cellStyle name="Comma 8 5 3 2" xfId="3198"/>
    <cellStyle name="Comma 8 5 3 3" xfId="3199"/>
    <cellStyle name="Comma 8 5 4" xfId="3200"/>
    <cellStyle name="Comma 8 5 4 2" xfId="3201"/>
    <cellStyle name="Comma 8 5 4 3" xfId="3202"/>
    <cellStyle name="Comma 8 5 5" xfId="3203"/>
    <cellStyle name="Comma 8 5 6" xfId="3204"/>
    <cellStyle name="Comma 8 6" xfId="3205"/>
    <cellStyle name="Comma 8 6 2" xfId="3206"/>
    <cellStyle name="Comma 8 6 2 2" xfId="3207"/>
    <cellStyle name="Comma 8 6 2 3" xfId="3208"/>
    <cellStyle name="Comma 8 6 3" xfId="3209"/>
    <cellStyle name="Comma 8 6 3 2" xfId="3210"/>
    <cellStyle name="Comma 8 6 3 3" xfId="3211"/>
    <cellStyle name="Comma 8 6 4" xfId="3212"/>
    <cellStyle name="Comma 8 6 5" xfId="3213"/>
    <cellStyle name="Comma 8 7" xfId="3214"/>
    <cellStyle name="Comma 8 7 2" xfId="3215"/>
    <cellStyle name="Comma 8 7 3" xfId="3216"/>
    <cellStyle name="Comma 8 8" xfId="3217"/>
    <cellStyle name="Comma 8 8 2" xfId="3218"/>
    <cellStyle name="Comma 8 8 3" xfId="3219"/>
    <cellStyle name="Comma 8 9" xfId="3220"/>
    <cellStyle name="Comma 9" xfId="116"/>
    <cellStyle name="Comma 9 2" xfId="3221"/>
    <cellStyle name="Comma(2)" xfId="117"/>
    <cellStyle name="Comma0" xfId="3222"/>
    <cellStyle name="Comma0 - Style2" xfId="118"/>
    <cellStyle name="Comma1 - Style1" xfId="119"/>
    <cellStyle name="Comments" xfId="120"/>
    <cellStyle name="Currency" xfId="2" builtinId="4"/>
    <cellStyle name="Currency 10" xfId="322"/>
    <cellStyle name="Currency 10 2" xfId="3223"/>
    <cellStyle name="Currency 10 2 2" xfId="3224"/>
    <cellStyle name="Currency 10 2 2 2" xfId="3225"/>
    <cellStyle name="Currency 10 2 2 2 2" xfId="3226"/>
    <cellStyle name="Currency 10 2 2 2 2 2" xfId="3227"/>
    <cellStyle name="Currency 10 2 2 2 2 3" xfId="3228"/>
    <cellStyle name="Currency 10 2 2 2 3" xfId="3229"/>
    <cellStyle name="Currency 10 2 2 2 3 2" xfId="3230"/>
    <cellStyle name="Currency 10 2 2 2 3 3" xfId="3231"/>
    <cellStyle name="Currency 10 2 2 2 4" xfId="3232"/>
    <cellStyle name="Currency 10 2 2 2 5" xfId="3233"/>
    <cellStyle name="Currency 10 2 2 3" xfId="3234"/>
    <cellStyle name="Currency 10 2 2 3 2" xfId="3235"/>
    <cellStyle name="Currency 10 2 2 3 3" xfId="3236"/>
    <cellStyle name="Currency 10 2 2 4" xfId="3237"/>
    <cellStyle name="Currency 10 2 2 4 2" xfId="3238"/>
    <cellStyle name="Currency 10 2 2 4 3" xfId="3239"/>
    <cellStyle name="Currency 10 2 2 5" xfId="3240"/>
    <cellStyle name="Currency 10 2 2 6" xfId="3241"/>
    <cellStyle name="Currency 10 2 3" xfId="3242"/>
    <cellStyle name="Currency 10 2 3 2" xfId="3243"/>
    <cellStyle name="Currency 10 2 3 2 2" xfId="3244"/>
    <cellStyle name="Currency 10 2 3 2 3" xfId="3245"/>
    <cellStyle name="Currency 10 2 3 3" xfId="3246"/>
    <cellStyle name="Currency 10 2 3 3 2" xfId="3247"/>
    <cellStyle name="Currency 10 2 3 3 3" xfId="3248"/>
    <cellStyle name="Currency 10 2 3 4" xfId="3249"/>
    <cellStyle name="Currency 10 2 3 5" xfId="3250"/>
    <cellStyle name="Currency 10 2 4" xfId="3251"/>
    <cellStyle name="Currency 10 2 4 2" xfId="3252"/>
    <cellStyle name="Currency 10 2 4 3" xfId="3253"/>
    <cellStyle name="Currency 10 2 5" xfId="3254"/>
    <cellStyle name="Currency 10 2 5 2" xfId="3255"/>
    <cellStyle name="Currency 10 2 5 3" xfId="3256"/>
    <cellStyle name="Currency 10 2 6" xfId="3257"/>
    <cellStyle name="Currency 10 2 7" xfId="3258"/>
    <cellStyle name="Currency 10 3" xfId="3259"/>
    <cellStyle name="Currency 10 4" xfId="3260"/>
    <cellStyle name="Currency 10 5" xfId="37564"/>
    <cellStyle name="Currency 11" xfId="3261"/>
    <cellStyle name="Currency 11 2" xfId="3262"/>
    <cellStyle name="Currency 11 2 2" xfId="3263"/>
    <cellStyle name="Currency 11 3" xfId="3264"/>
    <cellStyle name="Currency 11 4" xfId="3265"/>
    <cellStyle name="Currency 11 5" xfId="3266"/>
    <cellStyle name="Currency 12" xfId="3267"/>
    <cellStyle name="Currency 12 2" xfId="3268"/>
    <cellStyle name="Currency 12 2 2" xfId="3269"/>
    <cellStyle name="Currency 12 3" xfId="3270"/>
    <cellStyle name="Currency 13" xfId="3271"/>
    <cellStyle name="Currency 14" xfId="3272"/>
    <cellStyle name="Currency 14 2" xfId="3273"/>
    <cellStyle name="Currency 15" xfId="3274"/>
    <cellStyle name="Currency 16" xfId="3275"/>
    <cellStyle name="Currency 17" xfId="3276"/>
    <cellStyle name="Currency 18" xfId="3277"/>
    <cellStyle name="Currency 19" xfId="3278"/>
    <cellStyle name="Currency 2" xfId="10"/>
    <cellStyle name="Currency 2 2" xfId="11"/>
    <cellStyle name="Currency 2 2 2" xfId="123"/>
    <cellStyle name="Currency 2 2 2 2" xfId="3279"/>
    <cellStyle name="Currency 2 2 2 3" xfId="3280"/>
    <cellStyle name="Currency 2 2 2 4" xfId="3281"/>
    <cellStyle name="Currency 2 2 2 5" xfId="3282"/>
    <cellStyle name="Currency 2 2 2 6" xfId="3283"/>
    <cellStyle name="Currency 2 2 2 7" xfId="37457"/>
    <cellStyle name="Currency 2 2 3" xfId="3284"/>
    <cellStyle name="Currency 2 2 3 2" xfId="3285"/>
    <cellStyle name="Currency 2 2 3 3" xfId="3286"/>
    <cellStyle name="Currency 2 2 4" xfId="3287"/>
    <cellStyle name="Currency 2 2 4 2" xfId="3288"/>
    <cellStyle name="Currency 2 2 4 3" xfId="3289"/>
    <cellStyle name="Currency 2 2 5" xfId="3290"/>
    <cellStyle name="Currency 2 2 6" xfId="3291"/>
    <cellStyle name="Currency 2 2 7" xfId="3292"/>
    <cellStyle name="Currency 2 2 8" xfId="3293"/>
    <cellStyle name="Currency 2 3" xfId="122"/>
    <cellStyle name="Currency 2 3 2" xfId="323"/>
    <cellStyle name="Currency 2 3 2 2" xfId="3294"/>
    <cellStyle name="Currency 2 3 2 3" xfId="3295"/>
    <cellStyle name="Currency 2 3 2 4" xfId="3296"/>
    <cellStyle name="Currency 2 3 2 5" xfId="3297"/>
    <cellStyle name="Currency 2 3 2 6" xfId="3298"/>
    <cellStyle name="Currency 2 3 2 7" xfId="37421"/>
    <cellStyle name="Currency 2 3 3" xfId="3299"/>
    <cellStyle name="Currency 2 3 3 2" xfId="3300"/>
    <cellStyle name="Currency 2 3 3 3" xfId="3301"/>
    <cellStyle name="Currency 2 3 3 4" xfId="3302"/>
    <cellStyle name="Currency 2 3 3 5" xfId="3303"/>
    <cellStyle name="Currency 2 3 4" xfId="3304"/>
    <cellStyle name="Currency 2 3 4 2" xfId="3305"/>
    <cellStyle name="Currency 2 3 4 3" xfId="3306"/>
    <cellStyle name="Currency 2 3 5" xfId="3307"/>
    <cellStyle name="Currency 2 3 6" xfId="3308"/>
    <cellStyle name="Currency 2 3 7" xfId="3309"/>
    <cellStyle name="Currency 2 3 8" xfId="3310"/>
    <cellStyle name="Currency 2 4" xfId="3311"/>
    <cellStyle name="Currency 2 4 2" xfId="3312"/>
    <cellStyle name="Currency 2 4 2 2" xfId="3313"/>
    <cellStyle name="Currency 2 4 2 3" xfId="3314"/>
    <cellStyle name="Currency 2 4 2 4" xfId="3315"/>
    <cellStyle name="Currency 2 4 2 5" xfId="3316"/>
    <cellStyle name="Currency 2 4 3" xfId="3317"/>
    <cellStyle name="Currency 2 4 3 2" xfId="3318"/>
    <cellStyle name="Currency 2 4 3 3" xfId="3319"/>
    <cellStyle name="Currency 2 4 4" xfId="3320"/>
    <cellStyle name="Currency 2 4 4 2" xfId="3321"/>
    <cellStyle name="Currency 2 4 4 3" xfId="3322"/>
    <cellStyle name="Currency 2 4 5" xfId="3323"/>
    <cellStyle name="Currency 2 4 6" xfId="3324"/>
    <cellStyle name="Currency 2 4 7" xfId="3325"/>
    <cellStyle name="Currency 2 4 8" xfId="3326"/>
    <cellStyle name="Currency 2 5" xfId="3327"/>
    <cellStyle name="Currency 2 5 2" xfId="3328"/>
    <cellStyle name="Currency 2 5 3" xfId="3329"/>
    <cellStyle name="Currency 2 5 3 2" xfId="34921"/>
    <cellStyle name="Currency 2 6" xfId="12"/>
    <cellStyle name="Currency 2 6 2" xfId="13"/>
    <cellStyle name="Currency 2 6 2 2" xfId="368"/>
    <cellStyle name="Currency 2 6 3" xfId="3330"/>
    <cellStyle name="Currency 2 7" xfId="3331"/>
    <cellStyle name="Currency 3" xfId="14"/>
    <cellStyle name="Currency 3 10" xfId="3332"/>
    <cellStyle name="Currency 3 11" xfId="3333"/>
    <cellStyle name="Currency 3 2" xfId="125"/>
    <cellStyle name="Currency 3 2 2" xfId="3334"/>
    <cellStyle name="Currency 3 2 2 2" xfId="3335"/>
    <cellStyle name="Currency 3 2 2 2 2" xfId="3336"/>
    <cellStyle name="Currency 3 2 2 2 2 2" xfId="3337"/>
    <cellStyle name="Currency 3 2 2 2 2 2 2" xfId="3338"/>
    <cellStyle name="Currency 3 2 2 2 2 2 2 2" xfId="3339"/>
    <cellStyle name="Currency 3 2 2 2 2 2 2 3" xfId="3340"/>
    <cellStyle name="Currency 3 2 2 2 2 2 3" xfId="3341"/>
    <cellStyle name="Currency 3 2 2 2 2 2 3 2" xfId="3342"/>
    <cellStyle name="Currency 3 2 2 2 2 2 3 3" xfId="3343"/>
    <cellStyle name="Currency 3 2 2 2 2 2 4" xfId="3344"/>
    <cellStyle name="Currency 3 2 2 2 2 2 5" xfId="3345"/>
    <cellStyle name="Currency 3 2 2 2 2 3" xfId="3346"/>
    <cellStyle name="Currency 3 2 2 2 2 3 2" xfId="3347"/>
    <cellStyle name="Currency 3 2 2 2 2 3 3" xfId="3348"/>
    <cellStyle name="Currency 3 2 2 2 2 4" xfId="3349"/>
    <cellStyle name="Currency 3 2 2 2 2 4 2" xfId="3350"/>
    <cellStyle name="Currency 3 2 2 2 2 4 3" xfId="3351"/>
    <cellStyle name="Currency 3 2 2 2 2 5" xfId="3352"/>
    <cellStyle name="Currency 3 2 2 2 2 6" xfId="3353"/>
    <cellStyle name="Currency 3 2 2 2 3" xfId="3354"/>
    <cellStyle name="Currency 3 2 2 2 3 2" xfId="3355"/>
    <cellStyle name="Currency 3 2 2 2 3 2 2" xfId="3356"/>
    <cellStyle name="Currency 3 2 2 2 3 2 3" xfId="3357"/>
    <cellStyle name="Currency 3 2 2 2 3 3" xfId="3358"/>
    <cellStyle name="Currency 3 2 2 2 3 3 2" xfId="3359"/>
    <cellStyle name="Currency 3 2 2 2 3 3 3" xfId="3360"/>
    <cellStyle name="Currency 3 2 2 2 3 4" xfId="3361"/>
    <cellStyle name="Currency 3 2 2 2 3 5" xfId="3362"/>
    <cellStyle name="Currency 3 2 2 2 4" xfId="3363"/>
    <cellStyle name="Currency 3 2 2 2 4 2" xfId="3364"/>
    <cellStyle name="Currency 3 2 2 2 4 3" xfId="3365"/>
    <cellStyle name="Currency 3 2 2 2 5" xfId="3366"/>
    <cellStyle name="Currency 3 2 2 2 5 2" xfId="3367"/>
    <cellStyle name="Currency 3 2 2 2 5 3" xfId="3368"/>
    <cellStyle name="Currency 3 2 2 2 6" xfId="3369"/>
    <cellStyle name="Currency 3 2 2 2 7" xfId="3370"/>
    <cellStyle name="Currency 3 2 2 3" xfId="3371"/>
    <cellStyle name="Currency 3 2 2 3 2" xfId="3372"/>
    <cellStyle name="Currency 3 2 2 3 2 2" xfId="3373"/>
    <cellStyle name="Currency 3 2 2 3 2 2 2" xfId="3374"/>
    <cellStyle name="Currency 3 2 2 3 2 2 3" xfId="3375"/>
    <cellStyle name="Currency 3 2 2 3 2 3" xfId="3376"/>
    <cellStyle name="Currency 3 2 2 3 2 3 2" xfId="3377"/>
    <cellStyle name="Currency 3 2 2 3 2 3 3" xfId="3378"/>
    <cellStyle name="Currency 3 2 2 3 2 4" xfId="3379"/>
    <cellStyle name="Currency 3 2 2 3 2 5" xfId="3380"/>
    <cellStyle name="Currency 3 2 2 3 3" xfId="3381"/>
    <cellStyle name="Currency 3 2 2 3 3 2" xfId="3382"/>
    <cellStyle name="Currency 3 2 2 3 3 3" xfId="3383"/>
    <cellStyle name="Currency 3 2 2 3 4" xfId="3384"/>
    <cellStyle name="Currency 3 2 2 3 4 2" xfId="3385"/>
    <cellStyle name="Currency 3 2 2 3 4 3" xfId="3386"/>
    <cellStyle name="Currency 3 2 2 3 5" xfId="3387"/>
    <cellStyle name="Currency 3 2 2 3 6" xfId="3388"/>
    <cellStyle name="Currency 3 2 2 4" xfId="3389"/>
    <cellStyle name="Currency 3 2 2 4 2" xfId="3390"/>
    <cellStyle name="Currency 3 2 2 4 2 2" xfId="3391"/>
    <cellStyle name="Currency 3 2 2 4 2 3" xfId="3392"/>
    <cellStyle name="Currency 3 2 2 4 3" xfId="3393"/>
    <cellStyle name="Currency 3 2 2 4 3 2" xfId="3394"/>
    <cellStyle name="Currency 3 2 2 4 3 3" xfId="3395"/>
    <cellStyle name="Currency 3 2 2 4 4" xfId="3396"/>
    <cellStyle name="Currency 3 2 2 4 5" xfId="3397"/>
    <cellStyle name="Currency 3 2 2 5" xfId="3398"/>
    <cellStyle name="Currency 3 2 2 5 2" xfId="3399"/>
    <cellStyle name="Currency 3 2 2 5 3" xfId="3400"/>
    <cellStyle name="Currency 3 2 2 6" xfId="3401"/>
    <cellStyle name="Currency 3 2 2 6 2" xfId="3402"/>
    <cellStyle name="Currency 3 2 2 6 3" xfId="3403"/>
    <cellStyle name="Currency 3 2 2 7" xfId="3404"/>
    <cellStyle name="Currency 3 2 2 8" xfId="3405"/>
    <cellStyle name="Currency 3 2 3" xfId="3406"/>
    <cellStyle name="Currency 3 2 3 2" xfId="3407"/>
    <cellStyle name="Currency 3 2 3 2 2" xfId="3408"/>
    <cellStyle name="Currency 3 2 3 2 2 2" xfId="3409"/>
    <cellStyle name="Currency 3 2 3 2 2 2 2" xfId="3410"/>
    <cellStyle name="Currency 3 2 3 2 2 2 3" xfId="3411"/>
    <cellStyle name="Currency 3 2 3 2 2 3" xfId="3412"/>
    <cellStyle name="Currency 3 2 3 2 2 3 2" xfId="3413"/>
    <cellStyle name="Currency 3 2 3 2 2 3 3" xfId="3414"/>
    <cellStyle name="Currency 3 2 3 2 2 4" xfId="3415"/>
    <cellStyle name="Currency 3 2 3 2 2 5" xfId="3416"/>
    <cellStyle name="Currency 3 2 3 2 3" xfId="3417"/>
    <cellStyle name="Currency 3 2 3 2 3 2" xfId="3418"/>
    <cellStyle name="Currency 3 2 3 2 3 3" xfId="3419"/>
    <cellStyle name="Currency 3 2 3 2 4" xfId="3420"/>
    <cellStyle name="Currency 3 2 3 2 4 2" xfId="3421"/>
    <cellStyle name="Currency 3 2 3 2 4 3" xfId="3422"/>
    <cellStyle name="Currency 3 2 3 2 5" xfId="3423"/>
    <cellStyle name="Currency 3 2 3 2 6" xfId="3424"/>
    <cellStyle name="Currency 3 2 3 3" xfId="3425"/>
    <cellStyle name="Currency 3 2 3 3 2" xfId="3426"/>
    <cellStyle name="Currency 3 2 3 3 2 2" xfId="3427"/>
    <cellStyle name="Currency 3 2 3 3 2 3" xfId="3428"/>
    <cellStyle name="Currency 3 2 3 3 3" xfId="3429"/>
    <cellStyle name="Currency 3 2 3 3 3 2" xfId="3430"/>
    <cellStyle name="Currency 3 2 3 3 3 3" xfId="3431"/>
    <cellStyle name="Currency 3 2 3 3 4" xfId="3432"/>
    <cellStyle name="Currency 3 2 3 3 5" xfId="3433"/>
    <cellStyle name="Currency 3 2 3 4" xfId="3434"/>
    <cellStyle name="Currency 3 2 3 4 2" xfId="3435"/>
    <cellStyle name="Currency 3 2 3 4 3" xfId="3436"/>
    <cellStyle name="Currency 3 2 3 5" xfId="3437"/>
    <cellStyle name="Currency 3 2 3 5 2" xfId="3438"/>
    <cellStyle name="Currency 3 2 3 5 3" xfId="3439"/>
    <cellStyle name="Currency 3 2 3 6" xfId="3440"/>
    <cellStyle name="Currency 3 2 3 7" xfId="3441"/>
    <cellStyle name="Currency 3 2 4" xfId="3442"/>
    <cellStyle name="Currency 3 2 4 2" xfId="3443"/>
    <cellStyle name="Currency 3 2 4 2 2" xfId="3444"/>
    <cellStyle name="Currency 3 2 4 2 2 2" xfId="3445"/>
    <cellStyle name="Currency 3 2 4 2 2 3" xfId="3446"/>
    <cellStyle name="Currency 3 2 4 2 3" xfId="3447"/>
    <cellStyle name="Currency 3 2 4 2 3 2" xfId="3448"/>
    <cellStyle name="Currency 3 2 4 2 3 3" xfId="3449"/>
    <cellStyle name="Currency 3 2 4 2 4" xfId="3450"/>
    <cellStyle name="Currency 3 2 4 2 5" xfId="3451"/>
    <cellStyle name="Currency 3 2 4 3" xfId="3452"/>
    <cellStyle name="Currency 3 2 4 3 2" xfId="3453"/>
    <cellStyle name="Currency 3 2 4 3 3" xfId="3454"/>
    <cellStyle name="Currency 3 2 4 4" xfId="3455"/>
    <cellStyle name="Currency 3 2 4 4 2" xfId="3456"/>
    <cellStyle name="Currency 3 2 4 4 3" xfId="3457"/>
    <cellStyle name="Currency 3 2 4 5" xfId="3458"/>
    <cellStyle name="Currency 3 2 4 6" xfId="3459"/>
    <cellStyle name="Currency 3 2 5" xfId="3460"/>
    <cellStyle name="Currency 3 2 5 2" xfId="3461"/>
    <cellStyle name="Currency 3 2 5 2 2" xfId="3462"/>
    <cellStyle name="Currency 3 2 5 2 3" xfId="3463"/>
    <cellStyle name="Currency 3 2 5 3" xfId="3464"/>
    <cellStyle name="Currency 3 2 5 3 2" xfId="3465"/>
    <cellStyle name="Currency 3 2 5 3 3" xfId="3466"/>
    <cellStyle name="Currency 3 2 5 4" xfId="3467"/>
    <cellStyle name="Currency 3 2 5 5" xfId="3468"/>
    <cellStyle name="Currency 3 2 6" xfId="3469"/>
    <cellStyle name="Currency 3 2 6 2" xfId="3470"/>
    <cellStyle name="Currency 3 2 6 3" xfId="3471"/>
    <cellStyle name="Currency 3 2 7" xfId="3472"/>
    <cellStyle name="Currency 3 2 7 2" xfId="3473"/>
    <cellStyle name="Currency 3 2 7 3" xfId="3474"/>
    <cellStyle name="Currency 3 2 8" xfId="3475"/>
    <cellStyle name="Currency 3 2 9" xfId="3476"/>
    <cellStyle name="Currency 3 3" xfId="124"/>
    <cellStyle name="Currency 3 3 2" xfId="3478"/>
    <cellStyle name="Currency 3 3 2 2" xfId="3479"/>
    <cellStyle name="Currency 3 3 2 2 2" xfId="3480"/>
    <cellStyle name="Currency 3 3 2 2 2 2" xfId="3481"/>
    <cellStyle name="Currency 3 3 2 2 2 2 2" xfId="3482"/>
    <cellStyle name="Currency 3 3 2 2 2 2 3" xfId="3483"/>
    <cellStyle name="Currency 3 3 2 2 2 3" xfId="3484"/>
    <cellStyle name="Currency 3 3 2 2 2 3 2" xfId="3485"/>
    <cellStyle name="Currency 3 3 2 2 2 3 3" xfId="3486"/>
    <cellStyle name="Currency 3 3 2 2 2 4" xfId="3487"/>
    <cellStyle name="Currency 3 3 2 2 2 5" xfId="3488"/>
    <cellStyle name="Currency 3 3 2 2 3" xfId="3489"/>
    <cellStyle name="Currency 3 3 2 2 3 2" xfId="3490"/>
    <cellStyle name="Currency 3 3 2 2 3 3" xfId="3491"/>
    <cellStyle name="Currency 3 3 2 2 4" xfId="3492"/>
    <cellStyle name="Currency 3 3 2 2 4 2" xfId="3493"/>
    <cellStyle name="Currency 3 3 2 2 4 3" xfId="3494"/>
    <cellStyle name="Currency 3 3 2 2 5" xfId="3495"/>
    <cellStyle name="Currency 3 3 2 2 6" xfId="3496"/>
    <cellStyle name="Currency 3 3 2 3" xfId="3497"/>
    <cellStyle name="Currency 3 3 2 3 2" xfId="3498"/>
    <cellStyle name="Currency 3 3 2 3 2 2" xfId="3499"/>
    <cellStyle name="Currency 3 3 2 3 2 3" xfId="3500"/>
    <cellStyle name="Currency 3 3 2 3 3" xfId="3501"/>
    <cellStyle name="Currency 3 3 2 3 3 2" xfId="3502"/>
    <cellStyle name="Currency 3 3 2 3 3 3" xfId="3503"/>
    <cellStyle name="Currency 3 3 2 3 4" xfId="3504"/>
    <cellStyle name="Currency 3 3 2 3 5" xfId="3505"/>
    <cellStyle name="Currency 3 3 2 4" xfId="3506"/>
    <cellStyle name="Currency 3 3 2 4 2" xfId="3507"/>
    <cellStyle name="Currency 3 3 2 4 3" xfId="3508"/>
    <cellStyle name="Currency 3 3 2 5" xfId="3509"/>
    <cellStyle name="Currency 3 3 2 5 2" xfId="3510"/>
    <cellStyle name="Currency 3 3 2 5 3" xfId="3511"/>
    <cellStyle name="Currency 3 3 2 6" xfId="3512"/>
    <cellStyle name="Currency 3 3 2 7" xfId="3513"/>
    <cellStyle name="Currency 3 3 3" xfId="3514"/>
    <cellStyle name="Currency 3 3 3 2" xfId="3515"/>
    <cellStyle name="Currency 3 3 3 2 2" xfId="3516"/>
    <cellStyle name="Currency 3 3 3 2 2 2" xfId="3517"/>
    <cellStyle name="Currency 3 3 3 2 2 3" xfId="3518"/>
    <cellStyle name="Currency 3 3 3 2 3" xfId="3519"/>
    <cellStyle name="Currency 3 3 3 2 3 2" xfId="3520"/>
    <cellStyle name="Currency 3 3 3 2 3 3" xfId="3521"/>
    <cellStyle name="Currency 3 3 3 2 4" xfId="3522"/>
    <cellStyle name="Currency 3 3 3 2 5" xfId="3523"/>
    <cellStyle name="Currency 3 3 3 2 6" xfId="34918"/>
    <cellStyle name="Currency 3 3 3 3" xfId="3524"/>
    <cellStyle name="Currency 3 3 3 3 2" xfId="3525"/>
    <cellStyle name="Currency 3 3 3 3 3" xfId="3526"/>
    <cellStyle name="Currency 3 3 3 4" xfId="3527"/>
    <cellStyle name="Currency 3 3 3 4 2" xfId="3528"/>
    <cellStyle name="Currency 3 3 3 4 3" xfId="3529"/>
    <cellStyle name="Currency 3 3 3 5" xfId="3530"/>
    <cellStyle name="Currency 3 3 3 6" xfId="3531"/>
    <cellStyle name="Currency 3 3 4" xfId="3532"/>
    <cellStyle name="Currency 3 3 4 2" xfId="3533"/>
    <cellStyle name="Currency 3 3 4 2 2" xfId="3534"/>
    <cellStyle name="Currency 3 3 4 2 3" xfId="3535"/>
    <cellStyle name="Currency 3 3 4 3" xfId="3536"/>
    <cellStyle name="Currency 3 3 4 3 2" xfId="3537"/>
    <cellStyle name="Currency 3 3 4 3 3" xfId="3538"/>
    <cellStyle name="Currency 3 3 4 4" xfId="3539"/>
    <cellStyle name="Currency 3 3 4 5" xfId="3540"/>
    <cellStyle name="Currency 3 3 5" xfId="3541"/>
    <cellStyle name="Currency 3 3 5 2" xfId="3542"/>
    <cellStyle name="Currency 3 3 5 3" xfId="3543"/>
    <cellStyle name="Currency 3 3 6" xfId="3544"/>
    <cellStyle name="Currency 3 3 6 2" xfId="3545"/>
    <cellStyle name="Currency 3 3 6 3" xfId="3546"/>
    <cellStyle name="Currency 3 3 7" xfId="3547"/>
    <cellStyle name="Currency 3 3 8" xfId="3548"/>
    <cellStyle name="Currency 3 3 9" xfId="3477"/>
    <cellStyle name="Currency 3 4" xfId="288"/>
    <cellStyle name="Currency 3 4 2" xfId="3549"/>
    <cellStyle name="Currency 3 4 2 2" xfId="3550"/>
    <cellStyle name="Currency 3 4 2 2 2" xfId="3551"/>
    <cellStyle name="Currency 3 4 2 2 2 2" xfId="3552"/>
    <cellStyle name="Currency 3 4 2 2 2 2 2" xfId="3553"/>
    <cellStyle name="Currency 3 4 2 2 2 2 3" xfId="3554"/>
    <cellStyle name="Currency 3 4 2 2 2 3" xfId="3555"/>
    <cellStyle name="Currency 3 4 2 2 2 3 2" xfId="3556"/>
    <cellStyle name="Currency 3 4 2 2 2 3 3" xfId="3557"/>
    <cellStyle name="Currency 3 4 2 2 2 4" xfId="3558"/>
    <cellStyle name="Currency 3 4 2 2 2 5" xfId="3559"/>
    <cellStyle name="Currency 3 4 2 2 3" xfId="3560"/>
    <cellStyle name="Currency 3 4 2 2 3 2" xfId="3561"/>
    <cellStyle name="Currency 3 4 2 2 3 3" xfId="3562"/>
    <cellStyle name="Currency 3 4 2 2 4" xfId="3563"/>
    <cellStyle name="Currency 3 4 2 2 4 2" xfId="3564"/>
    <cellStyle name="Currency 3 4 2 2 4 3" xfId="3565"/>
    <cellStyle name="Currency 3 4 2 2 5" xfId="3566"/>
    <cellStyle name="Currency 3 4 2 2 6" xfId="3567"/>
    <cellStyle name="Currency 3 4 2 3" xfId="3568"/>
    <cellStyle name="Currency 3 4 2 3 2" xfId="3569"/>
    <cellStyle name="Currency 3 4 2 3 2 2" xfId="3570"/>
    <cellStyle name="Currency 3 4 2 3 2 3" xfId="3571"/>
    <cellStyle name="Currency 3 4 2 3 3" xfId="3572"/>
    <cellStyle name="Currency 3 4 2 3 3 2" xfId="3573"/>
    <cellStyle name="Currency 3 4 2 3 3 3" xfId="3574"/>
    <cellStyle name="Currency 3 4 2 3 4" xfId="3575"/>
    <cellStyle name="Currency 3 4 2 3 5" xfId="3576"/>
    <cellStyle name="Currency 3 4 2 4" xfId="3577"/>
    <cellStyle name="Currency 3 4 2 4 2" xfId="3578"/>
    <cellStyle name="Currency 3 4 2 4 3" xfId="3579"/>
    <cellStyle name="Currency 3 4 2 5" xfId="3580"/>
    <cellStyle name="Currency 3 4 2 5 2" xfId="3581"/>
    <cellStyle name="Currency 3 4 2 5 3" xfId="3582"/>
    <cellStyle name="Currency 3 4 2 6" xfId="3583"/>
    <cellStyle name="Currency 3 4 2 7" xfId="3584"/>
    <cellStyle name="Currency 3 4 3" xfId="3585"/>
    <cellStyle name="Currency 3 4 3 2" xfId="3586"/>
    <cellStyle name="Currency 3 4 3 2 2" xfId="3587"/>
    <cellStyle name="Currency 3 4 3 2 2 2" xfId="3588"/>
    <cellStyle name="Currency 3 4 3 2 2 3" xfId="3589"/>
    <cellStyle name="Currency 3 4 3 2 3" xfId="3590"/>
    <cellStyle name="Currency 3 4 3 2 3 2" xfId="3591"/>
    <cellStyle name="Currency 3 4 3 2 3 3" xfId="3592"/>
    <cellStyle name="Currency 3 4 3 2 4" xfId="3593"/>
    <cellStyle name="Currency 3 4 3 2 5" xfId="3594"/>
    <cellStyle name="Currency 3 4 3 3" xfId="3595"/>
    <cellStyle name="Currency 3 4 3 3 2" xfId="3596"/>
    <cellStyle name="Currency 3 4 3 3 3" xfId="3597"/>
    <cellStyle name="Currency 3 4 3 4" xfId="3598"/>
    <cellStyle name="Currency 3 4 3 4 2" xfId="3599"/>
    <cellStyle name="Currency 3 4 3 4 3" xfId="3600"/>
    <cellStyle name="Currency 3 4 3 5" xfId="3601"/>
    <cellStyle name="Currency 3 4 3 6" xfId="3602"/>
    <cellStyle name="Currency 3 4 4" xfId="3603"/>
    <cellStyle name="Currency 3 4 4 2" xfId="3604"/>
    <cellStyle name="Currency 3 4 4 2 2" xfId="3605"/>
    <cellStyle name="Currency 3 4 4 2 3" xfId="3606"/>
    <cellStyle name="Currency 3 4 4 3" xfId="3607"/>
    <cellStyle name="Currency 3 4 4 3 2" xfId="3608"/>
    <cellStyle name="Currency 3 4 4 3 3" xfId="3609"/>
    <cellStyle name="Currency 3 4 4 4" xfId="3610"/>
    <cellStyle name="Currency 3 4 4 5" xfId="3611"/>
    <cellStyle name="Currency 3 4 5" xfId="3612"/>
    <cellStyle name="Currency 3 4 5 2" xfId="3613"/>
    <cellStyle name="Currency 3 4 5 3" xfId="3614"/>
    <cellStyle name="Currency 3 4 6" xfId="3615"/>
    <cellStyle name="Currency 3 4 6 2" xfId="3616"/>
    <cellStyle name="Currency 3 4 6 3" xfId="3617"/>
    <cellStyle name="Currency 3 4 7" xfId="3618"/>
    <cellStyle name="Currency 3 4 8" xfId="3619"/>
    <cellStyle name="Currency 3 5" xfId="3620"/>
    <cellStyle name="Currency 3 5 2" xfId="3621"/>
    <cellStyle name="Currency 3 5 2 2" xfId="3622"/>
    <cellStyle name="Currency 3 5 2 2 2" xfId="3623"/>
    <cellStyle name="Currency 3 5 2 2 2 2" xfId="3624"/>
    <cellStyle name="Currency 3 5 2 2 2 3" xfId="3625"/>
    <cellStyle name="Currency 3 5 2 2 3" xfId="3626"/>
    <cellStyle name="Currency 3 5 2 2 3 2" xfId="3627"/>
    <cellStyle name="Currency 3 5 2 2 3 3" xfId="3628"/>
    <cellStyle name="Currency 3 5 2 2 4" xfId="3629"/>
    <cellStyle name="Currency 3 5 2 2 5" xfId="3630"/>
    <cellStyle name="Currency 3 5 2 3" xfId="3631"/>
    <cellStyle name="Currency 3 5 2 3 2" xfId="3632"/>
    <cellStyle name="Currency 3 5 2 3 3" xfId="3633"/>
    <cellStyle name="Currency 3 5 2 4" xfId="3634"/>
    <cellStyle name="Currency 3 5 2 4 2" xfId="3635"/>
    <cellStyle name="Currency 3 5 2 4 3" xfId="3636"/>
    <cellStyle name="Currency 3 5 2 5" xfId="3637"/>
    <cellStyle name="Currency 3 5 2 6" xfId="3638"/>
    <cellStyle name="Currency 3 5 3" xfId="3639"/>
    <cellStyle name="Currency 3 5 3 2" xfId="3640"/>
    <cellStyle name="Currency 3 5 3 2 2" xfId="3641"/>
    <cellStyle name="Currency 3 5 3 2 3" xfId="3642"/>
    <cellStyle name="Currency 3 5 3 3" xfId="3643"/>
    <cellStyle name="Currency 3 5 3 3 2" xfId="3644"/>
    <cellStyle name="Currency 3 5 3 3 3" xfId="3645"/>
    <cellStyle name="Currency 3 5 3 4" xfId="3646"/>
    <cellStyle name="Currency 3 5 3 5" xfId="3647"/>
    <cellStyle name="Currency 3 5 4" xfId="3648"/>
    <cellStyle name="Currency 3 5 4 2" xfId="3649"/>
    <cellStyle name="Currency 3 5 4 3" xfId="3650"/>
    <cellStyle name="Currency 3 5 5" xfId="3651"/>
    <cellStyle name="Currency 3 5 5 2" xfId="3652"/>
    <cellStyle name="Currency 3 5 5 3" xfId="3653"/>
    <cellStyle name="Currency 3 5 6" xfId="3654"/>
    <cellStyle name="Currency 3 5 7" xfId="3655"/>
    <cellStyle name="Currency 3 6" xfId="3656"/>
    <cellStyle name="Currency 3 6 2" xfId="3657"/>
    <cellStyle name="Currency 3 6 2 2" xfId="3658"/>
    <cellStyle name="Currency 3 6 2 2 2" xfId="3659"/>
    <cellStyle name="Currency 3 6 2 2 3" xfId="3660"/>
    <cellStyle name="Currency 3 6 2 3" xfId="3661"/>
    <cellStyle name="Currency 3 6 2 3 2" xfId="3662"/>
    <cellStyle name="Currency 3 6 2 3 3" xfId="3663"/>
    <cellStyle name="Currency 3 6 2 4" xfId="3664"/>
    <cellStyle name="Currency 3 6 2 5" xfId="3665"/>
    <cellStyle name="Currency 3 6 3" xfId="3666"/>
    <cellStyle name="Currency 3 6 3 2" xfId="3667"/>
    <cellStyle name="Currency 3 6 3 3" xfId="3668"/>
    <cellStyle name="Currency 3 6 4" xfId="3669"/>
    <cellStyle name="Currency 3 6 4 2" xfId="3670"/>
    <cellStyle name="Currency 3 6 4 3" xfId="3671"/>
    <cellStyle name="Currency 3 6 5" xfId="3672"/>
    <cellStyle name="Currency 3 6 6" xfId="3673"/>
    <cellStyle name="Currency 3 7" xfId="3674"/>
    <cellStyle name="Currency 3 7 2" xfId="3675"/>
    <cellStyle name="Currency 3 7 2 2" xfId="3676"/>
    <cellStyle name="Currency 3 7 2 3" xfId="3677"/>
    <cellStyle name="Currency 3 7 3" xfId="3678"/>
    <cellStyle name="Currency 3 7 3 2" xfId="3679"/>
    <cellStyle name="Currency 3 7 3 3" xfId="3680"/>
    <cellStyle name="Currency 3 7 4" xfId="3681"/>
    <cellStyle name="Currency 3 7 5" xfId="3682"/>
    <cellStyle name="Currency 3 8" xfId="3683"/>
    <cellStyle name="Currency 3 8 2" xfId="3684"/>
    <cellStyle name="Currency 3 8 3" xfId="3685"/>
    <cellStyle name="Currency 3 9" xfId="3686"/>
    <cellStyle name="Currency 3 9 2" xfId="3687"/>
    <cellStyle name="Currency 3 9 3" xfId="3688"/>
    <cellStyle name="Currency 4" xfId="15"/>
    <cellStyle name="Currency 4 10" xfId="3689"/>
    <cellStyle name="Currency 4 11" xfId="3690"/>
    <cellStyle name="Currency 4 2" xfId="16"/>
    <cellStyle name="Currency 4 2 10" xfId="37455"/>
    <cellStyle name="Currency 4 2 2" xfId="3691"/>
    <cellStyle name="Currency 4 2 2 2" xfId="3692"/>
    <cellStyle name="Currency 4 2 2 2 2" xfId="3693"/>
    <cellStyle name="Currency 4 2 2 2 2 2" xfId="3694"/>
    <cellStyle name="Currency 4 2 2 2 2 2 2" xfId="3695"/>
    <cellStyle name="Currency 4 2 2 2 2 2 2 2" xfId="3696"/>
    <cellStyle name="Currency 4 2 2 2 2 2 2 3" xfId="3697"/>
    <cellStyle name="Currency 4 2 2 2 2 2 3" xfId="3698"/>
    <cellStyle name="Currency 4 2 2 2 2 2 3 2" xfId="3699"/>
    <cellStyle name="Currency 4 2 2 2 2 2 3 3" xfId="3700"/>
    <cellStyle name="Currency 4 2 2 2 2 2 4" xfId="3701"/>
    <cellStyle name="Currency 4 2 2 2 2 2 5" xfId="3702"/>
    <cellStyle name="Currency 4 2 2 2 2 3" xfId="3703"/>
    <cellStyle name="Currency 4 2 2 2 2 3 2" xfId="3704"/>
    <cellStyle name="Currency 4 2 2 2 2 3 3" xfId="3705"/>
    <cellStyle name="Currency 4 2 2 2 2 4" xfId="3706"/>
    <cellStyle name="Currency 4 2 2 2 2 4 2" xfId="3707"/>
    <cellStyle name="Currency 4 2 2 2 2 4 3" xfId="3708"/>
    <cellStyle name="Currency 4 2 2 2 2 5" xfId="3709"/>
    <cellStyle name="Currency 4 2 2 2 2 6" xfId="3710"/>
    <cellStyle name="Currency 4 2 2 2 3" xfId="3711"/>
    <cellStyle name="Currency 4 2 2 2 3 2" xfId="3712"/>
    <cellStyle name="Currency 4 2 2 2 3 2 2" xfId="3713"/>
    <cellStyle name="Currency 4 2 2 2 3 2 3" xfId="3714"/>
    <cellStyle name="Currency 4 2 2 2 3 3" xfId="3715"/>
    <cellStyle name="Currency 4 2 2 2 3 3 2" xfId="3716"/>
    <cellStyle name="Currency 4 2 2 2 3 3 3" xfId="3717"/>
    <cellStyle name="Currency 4 2 2 2 3 4" xfId="3718"/>
    <cellStyle name="Currency 4 2 2 2 3 5" xfId="3719"/>
    <cellStyle name="Currency 4 2 2 2 4" xfId="3720"/>
    <cellStyle name="Currency 4 2 2 2 4 2" xfId="3721"/>
    <cellStyle name="Currency 4 2 2 2 4 3" xfId="3722"/>
    <cellStyle name="Currency 4 2 2 2 5" xfId="3723"/>
    <cellStyle name="Currency 4 2 2 2 5 2" xfId="3724"/>
    <cellStyle name="Currency 4 2 2 2 5 3" xfId="3725"/>
    <cellStyle name="Currency 4 2 2 2 6" xfId="3726"/>
    <cellStyle name="Currency 4 2 2 2 7" xfId="3727"/>
    <cellStyle name="Currency 4 2 2 3" xfId="3728"/>
    <cellStyle name="Currency 4 2 2 3 2" xfId="3729"/>
    <cellStyle name="Currency 4 2 2 3 2 2" xfId="3730"/>
    <cellStyle name="Currency 4 2 2 3 2 2 2" xfId="3731"/>
    <cellStyle name="Currency 4 2 2 3 2 2 3" xfId="3732"/>
    <cellStyle name="Currency 4 2 2 3 2 3" xfId="3733"/>
    <cellStyle name="Currency 4 2 2 3 2 3 2" xfId="3734"/>
    <cellStyle name="Currency 4 2 2 3 2 3 3" xfId="3735"/>
    <cellStyle name="Currency 4 2 2 3 2 4" xfId="3736"/>
    <cellStyle name="Currency 4 2 2 3 2 5" xfId="3737"/>
    <cellStyle name="Currency 4 2 2 3 3" xfId="3738"/>
    <cellStyle name="Currency 4 2 2 3 3 2" xfId="3739"/>
    <cellStyle name="Currency 4 2 2 3 3 3" xfId="3740"/>
    <cellStyle name="Currency 4 2 2 3 4" xfId="3741"/>
    <cellStyle name="Currency 4 2 2 3 4 2" xfId="3742"/>
    <cellStyle name="Currency 4 2 2 3 4 3" xfId="3743"/>
    <cellStyle name="Currency 4 2 2 3 5" xfId="3744"/>
    <cellStyle name="Currency 4 2 2 3 6" xfId="3745"/>
    <cellStyle name="Currency 4 2 2 4" xfId="3746"/>
    <cellStyle name="Currency 4 2 2 4 2" xfId="3747"/>
    <cellStyle name="Currency 4 2 2 4 2 2" xfId="3748"/>
    <cellStyle name="Currency 4 2 2 4 2 3" xfId="3749"/>
    <cellStyle name="Currency 4 2 2 4 3" xfId="3750"/>
    <cellStyle name="Currency 4 2 2 4 3 2" xfId="3751"/>
    <cellStyle name="Currency 4 2 2 4 3 3" xfId="3752"/>
    <cellStyle name="Currency 4 2 2 4 4" xfId="3753"/>
    <cellStyle name="Currency 4 2 2 4 5" xfId="3754"/>
    <cellStyle name="Currency 4 2 2 5" xfId="3755"/>
    <cellStyle name="Currency 4 2 2 5 2" xfId="3756"/>
    <cellStyle name="Currency 4 2 2 5 3" xfId="3757"/>
    <cellStyle name="Currency 4 2 2 6" xfId="3758"/>
    <cellStyle name="Currency 4 2 2 6 2" xfId="3759"/>
    <cellStyle name="Currency 4 2 2 6 3" xfId="3760"/>
    <cellStyle name="Currency 4 2 2 7" xfId="3761"/>
    <cellStyle name="Currency 4 2 2 8" xfId="3762"/>
    <cellStyle name="Currency 4 2 3" xfId="3763"/>
    <cellStyle name="Currency 4 2 3 2" xfId="3764"/>
    <cellStyle name="Currency 4 2 3 2 2" xfId="3765"/>
    <cellStyle name="Currency 4 2 3 2 2 2" xfId="3766"/>
    <cellStyle name="Currency 4 2 3 2 2 2 2" xfId="3767"/>
    <cellStyle name="Currency 4 2 3 2 2 2 3" xfId="3768"/>
    <cellStyle name="Currency 4 2 3 2 2 3" xfId="3769"/>
    <cellStyle name="Currency 4 2 3 2 2 3 2" xfId="3770"/>
    <cellStyle name="Currency 4 2 3 2 2 3 3" xfId="3771"/>
    <cellStyle name="Currency 4 2 3 2 2 4" xfId="3772"/>
    <cellStyle name="Currency 4 2 3 2 2 5" xfId="3773"/>
    <cellStyle name="Currency 4 2 3 2 3" xfId="3774"/>
    <cellStyle name="Currency 4 2 3 2 3 2" xfId="3775"/>
    <cellStyle name="Currency 4 2 3 2 3 3" xfId="3776"/>
    <cellStyle name="Currency 4 2 3 2 4" xfId="3777"/>
    <cellStyle name="Currency 4 2 3 2 4 2" xfId="3778"/>
    <cellStyle name="Currency 4 2 3 2 4 3" xfId="3779"/>
    <cellStyle name="Currency 4 2 3 2 5" xfId="3780"/>
    <cellStyle name="Currency 4 2 3 2 6" xfId="3781"/>
    <cellStyle name="Currency 4 2 3 3" xfId="3782"/>
    <cellStyle name="Currency 4 2 3 3 2" xfId="3783"/>
    <cellStyle name="Currency 4 2 3 3 2 2" xfId="3784"/>
    <cellStyle name="Currency 4 2 3 3 2 3" xfId="3785"/>
    <cellStyle name="Currency 4 2 3 3 3" xfId="3786"/>
    <cellStyle name="Currency 4 2 3 3 3 2" xfId="3787"/>
    <cellStyle name="Currency 4 2 3 3 3 3" xfId="3788"/>
    <cellStyle name="Currency 4 2 3 3 4" xfId="3789"/>
    <cellStyle name="Currency 4 2 3 3 5" xfId="3790"/>
    <cellStyle name="Currency 4 2 3 4" xfId="3791"/>
    <cellStyle name="Currency 4 2 3 4 2" xfId="3792"/>
    <cellStyle name="Currency 4 2 3 4 3" xfId="3793"/>
    <cellStyle name="Currency 4 2 3 5" xfId="3794"/>
    <cellStyle name="Currency 4 2 3 5 2" xfId="3795"/>
    <cellStyle name="Currency 4 2 3 5 3" xfId="3796"/>
    <cellStyle name="Currency 4 2 3 6" xfId="3797"/>
    <cellStyle name="Currency 4 2 3 7" xfId="3798"/>
    <cellStyle name="Currency 4 2 4" xfId="3799"/>
    <cellStyle name="Currency 4 2 4 2" xfId="3800"/>
    <cellStyle name="Currency 4 2 4 2 2" xfId="3801"/>
    <cellStyle name="Currency 4 2 4 2 2 2" xfId="3802"/>
    <cellStyle name="Currency 4 2 4 2 2 3" xfId="3803"/>
    <cellStyle name="Currency 4 2 4 2 3" xfId="3804"/>
    <cellStyle name="Currency 4 2 4 2 3 2" xfId="3805"/>
    <cellStyle name="Currency 4 2 4 2 3 3" xfId="3806"/>
    <cellStyle name="Currency 4 2 4 2 4" xfId="3807"/>
    <cellStyle name="Currency 4 2 4 2 5" xfId="3808"/>
    <cellStyle name="Currency 4 2 4 3" xfId="3809"/>
    <cellStyle name="Currency 4 2 4 3 2" xfId="3810"/>
    <cellStyle name="Currency 4 2 4 3 3" xfId="3811"/>
    <cellStyle name="Currency 4 2 4 4" xfId="3812"/>
    <cellStyle name="Currency 4 2 4 4 2" xfId="3813"/>
    <cellStyle name="Currency 4 2 4 4 3" xfId="3814"/>
    <cellStyle name="Currency 4 2 4 5" xfId="3815"/>
    <cellStyle name="Currency 4 2 4 6" xfId="3816"/>
    <cellStyle name="Currency 4 2 5" xfId="3817"/>
    <cellStyle name="Currency 4 2 5 2" xfId="3818"/>
    <cellStyle name="Currency 4 2 5 2 2" xfId="3819"/>
    <cellStyle name="Currency 4 2 5 2 3" xfId="3820"/>
    <cellStyle name="Currency 4 2 5 3" xfId="3821"/>
    <cellStyle name="Currency 4 2 5 3 2" xfId="3822"/>
    <cellStyle name="Currency 4 2 5 3 3" xfId="3823"/>
    <cellStyle name="Currency 4 2 5 4" xfId="3824"/>
    <cellStyle name="Currency 4 2 5 5" xfId="3825"/>
    <cellStyle name="Currency 4 2 6" xfId="3826"/>
    <cellStyle name="Currency 4 2 6 2" xfId="3827"/>
    <cellStyle name="Currency 4 2 6 3" xfId="3828"/>
    <cellStyle name="Currency 4 2 7" xfId="3829"/>
    <cellStyle name="Currency 4 2 7 2" xfId="3830"/>
    <cellStyle name="Currency 4 2 7 3" xfId="3831"/>
    <cellStyle name="Currency 4 2 8" xfId="3832"/>
    <cellStyle name="Currency 4 2 9" xfId="3833"/>
    <cellStyle name="Currency 4 3" xfId="3834"/>
    <cellStyle name="Currency 4 3 2" xfId="3835"/>
    <cellStyle name="Currency 4 3 2 2" xfId="3836"/>
    <cellStyle name="Currency 4 3 2 2 2" xfId="3837"/>
    <cellStyle name="Currency 4 3 2 2 2 2" xfId="3838"/>
    <cellStyle name="Currency 4 3 2 2 2 2 2" xfId="3839"/>
    <cellStyle name="Currency 4 3 2 2 2 2 3" xfId="3840"/>
    <cellStyle name="Currency 4 3 2 2 2 3" xfId="3841"/>
    <cellStyle name="Currency 4 3 2 2 2 3 2" xfId="3842"/>
    <cellStyle name="Currency 4 3 2 2 2 3 3" xfId="3843"/>
    <cellStyle name="Currency 4 3 2 2 2 4" xfId="3844"/>
    <cellStyle name="Currency 4 3 2 2 2 5" xfId="3845"/>
    <cellStyle name="Currency 4 3 2 2 3" xfId="3846"/>
    <cellStyle name="Currency 4 3 2 2 3 2" xfId="3847"/>
    <cellStyle name="Currency 4 3 2 2 3 3" xfId="3848"/>
    <cellStyle name="Currency 4 3 2 2 4" xfId="3849"/>
    <cellStyle name="Currency 4 3 2 2 4 2" xfId="3850"/>
    <cellStyle name="Currency 4 3 2 2 4 3" xfId="3851"/>
    <cellStyle name="Currency 4 3 2 2 5" xfId="3852"/>
    <cellStyle name="Currency 4 3 2 2 6" xfId="3853"/>
    <cellStyle name="Currency 4 3 2 3" xfId="3854"/>
    <cellStyle name="Currency 4 3 2 3 2" xfId="3855"/>
    <cellStyle name="Currency 4 3 2 3 2 2" xfId="3856"/>
    <cellStyle name="Currency 4 3 2 3 2 3" xfId="3857"/>
    <cellStyle name="Currency 4 3 2 3 3" xfId="3858"/>
    <cellStyle name="Currency 4 3 2 3 3 2" xfId="3859"/>
    <cellStyle name="Currency 4 3 2 3 3 3" xfId="3860"/>
    <cellStyle name="Currency 4 3 2 3 4" xfId="3861"/>
    <cellStyle name="Currency 4 3 2 3 5" xfId="3862"/>
    <cellStyle name="Currency 4 3 2 4" xfId="3863"/>
    <cellStyle name="Currency 4 3 2 4 2" xfId="3864"/>
    <cellStyle name="Currency 4 3 2 4 3" xfId="3865"/>
    <cellStyle name="Currency 4 3 2 5" xfId="3866"/>
    <cellStyle name="Currency 4 3 2 5 2" xfId="3867"/>
    <cellStyle name="Currency 4 3 2 5 3" xfId="3868"/>
    <cellStyle name="Currency 4 3 2 6" xfId="3869"/>
    <cellStyle name="Currency 4 3 2 7" xfId="3870"/>
    <cellStyle name="Currency 4 3 3" xfId="3871"/>
    <cellStyle name="Currency 4 3 3 2" xfId="3872"/>
    <cellStyle name="Currency 4 3 3 2 2" xfId="3873"/>
    <cellStyle name="Currency 4 3 3 2 2 2" xfId="3874"/>
    <cellStyle name="Currency 4 3 3 2 2 3" xfId="3875"/>
    <cellStyle name="Currency 4 3 3 2 3" xfId="3876"/>
    <cellStyle name="Currency 4 3 3 2 3 2" xfId="3877"/>
    <cellStyle name="Currency 4 3 3 2 3 3" xfId="3878"/>
    <cellStyle name="Currency 4 3 3 2 4" xfId="3879"/>
    <cellStyle name="Currency 4 3 3 2 5" xfId="3880"/>
    <cellStyle name="Currency 4 3 3 3" xfId="3881"/>
    <cellStyle name="Currency 4 3 3 3 2" xfId="3882"/>
    <cellStyle name="Currency 4 3 3 3 3" xfId="3883"/>
    <cellStyle name="Currency 4 3 3 4" xfId="3884"/>
    <cellStyle name="Currency 4 3 3 4 2" xfId="3885"/>
    <cellStyle name="Currency 4 3 3 4 3" xfId="3886"/>
    <cellStyle name="Currency 4 3 3 5" xfId="3887"/>
    <cellStyle name="Currency 4 3 3 6" xfId="3888"/>
    <cellStyle name="Currency 4 3 4" xfId="3889"/>
    <cellStyle name="Currency 4 3 4 2" xfId="3890"/>
    <cellStyle name="Currency 4 3 4 2 2" xfId="3891"/>
    <cellStyle name="Currency 4 3 4 2 3" xfId="3892"/>
    <cellStyle name="Currency 4 3 4 3" xfId="3893"/>
    <cellStyle name="Currency 4 3 4 3 2" xfId="3894"/>
    <cellStyle name="Currency 4 3 4 3 3" xfId="3895"/>
    <cellStyle name="Currency 4 3 4 4" xfId="3896"/>
    <cellStyle name="Currency 4 3 4 5" xfId="3897"/>
    <cellStyle name="Currency 4 3 5" xfId="3898"/>
    <cellStyle name="Currency 4 3 5 2" xfId="3899"/>
    <cellStyle name="Currency 4 3 5 3" xfId="3900"/>
    <cellStyle name="Currency 4 3 6" xfId="3901"/>
    <cellStyle name="Currency 4 3 6 2" xfId="3902"/>
    <cellStyle name="Currency 4 3 6 3" xfId="3903"/>
    <cellStyle name="Currency 4 3 7" xfId="3904"/>
    <cellStyle name="Currency 4 3 8" xfId="3905"/>
    <cellStyle name="Currency 4 4" xfId="3906"/>
    <cellStyle name="Currency 4 4 2" xfId="3907"/>
    <cellStyle name="Currency 4 4 2 2" xfId="3908"/>
    <cellStyle name="Currency 4 4 2 2 2" xfId="3909"/>
    <cellStyle name="Currency 4 4 2 2 2 2" xfId="3910"/>
    <cellStyle name="Currency 4 4 2 2 2 2 2" xfId="3911"/>
    <cellStyle name="Currency 4 4 2 2 2 2 3" xfId="3912"/>
    <cellStyle name="Currency 4 4 2 2 2 3" xfId="3913"/>
    <cellStyle name="Currency 4 4 2 2 2 3 2" xfId="3914"/>
    <cellStyle name="Currency 4 4 2 2 2 3 3" xfId="3915"/>
    <cellStyle name="Currency 4 4 2 2 2 4" xfId="3916"/>
    <cellStyle name="Currency 4 4 2 2 2 5" xfId="3917"/>
    <cellStyle name="Currency 4 4 2 2 3" xfId="3918"/>
    <cellStyle name="Currency 4 4 2 2 3 2" xfId="3919"/>
    <cellStyle name="Currency 4 4 2 2 3 3" xfId="3920"/>
    <cellStyle name="Currency 4 4 2 2 4" xfId="3921"/>
    <cellStyle name="Currency 4 4 2 2 4 2" xfId="3922"/>
    <cellStyle name="Currency 4 4 2 2 4 3" xfId="3923"/>
    <cellStyle name="Currency 4 4 2 2 5" xfId="3924"/>
    <cellStyle name="Currency 4 4 2 2 6" xfId="3925"/>
    <cellStyle name="Currency 4 4 2 3" xfId="3926"/>
    <cellStyle name="Currency 4 4 2 3 2" xfId="3927"/>
    <cellStyle name="Currency 4 4 2 3 2 2" xfId="3928"/>
    <cellStyle name="Currency 4 4 2 3 2 3" xfId="3929"/>
    <cellStyle name="Currency 4 4 2 3 3" xfId="3930"/>
    <cellStyle name="Currency 4 4 2 3 3 2" xfId="3931"/>
    <cellStyle name="Currency 4 4 2 3 3 3" xfId="3932"/>
    <cellStyle name="Currency 4 4 2 3 4" xfId="3933"/>
    <cellStyle name="Currency 4 4 2 3 5" xfId="3934"/>
    <cellStyle name="Currency 4 4 2 4" xfId="3935"/>
    <cellStyle name="Currency 4 4 2 4 2" xfId="3936"/>
    <cellStyle name="Currency 4 4 2 4 3" xfId="3937"/>
    <cellStyle name="Currency 4 4 2 5" xfId="3938"/>
    <cellStyle name="Currency 4 4 2 5 2" xfId="3939"/>
    <cellStyle name="Currency 4 4 2 5 3" xfId="3940"/>
    <cellStyle name="Currency 4 4 2 6" xfId="3941"/>
    <cellStyle name="Currency 4 4 2 7" xfId="3942"/>
    <cellStyle name="Currency 4 4 3" xfId="3943"/>
    <cellStyle name="Currency 4 4 3 2" xfId="3944"/>
    <cellStyle name="Currency 4 4 3 2 2" xfId="3945"/>
    <cellStyle name="Currency 4 4 3 2 2 2" xfId="3946"/>
    <cellStyle name="Currency 4 4 3 2 2 3" xfId="3947"/>
    <cellStyle name="Currency 4 4 3 2 3" xfId="3948"/>
    <cellStyle name="Currency 4 4 3 2 3 2" xfId="3949"/>
    <cellStyle name="Currency 4 4 3 2 3 3" xfId="3950"/>
    <cellStyle name="Currency 4 4 3 2 4" xfId="3951"/>
    <cellStyle name="Currency 4 4 3 2 5" xfId="3952"/>
    <cellStyle name="Currency 4 4 3 3" xfId="3953"/>
    <cellStyle name="Currency 4 4 3 3 2" xfId="3954"/>
    <cellStyle name="Currency 4 4 3 3 3" xfId="3955"/>
    <cellStyle name="Currency 4 4 3 4" xfId="3956"/>
    <cellStyle name="Currency 4 4 3 4 2" xfId="3957"/>
    <cellStyle name="Currency 4 4 3 4 3" xfId="3958"/>
    <cellStyle name="Currency 4 4 3 5" xfId="3959"/>
    <cellStyle name="Currency 4 4 3 6" xfId="3960"/>
    <cellStyle name="Currency 4 4 4" xfId="3961"/>
    <cellStyle name="Currency 4 4 4 2" xfId="3962"/>
    <cellStyle name="Currency 4 4 4 2 2" xfId="3963"/>
    <cellStyle name="Currency 4 4 4 2 3" xfId="3964"/>
    <cellStyle name="Currency 4 4 4 3" xfId="3965"/>
    <cellStyle name="Currency 4 4 4 3 2" xfId="3966"/>
    <cellStyle name="Currency 4 4 4 3 3" xfId="3967"/>
    <cellStyle name="Currency 4 4 4 4" xfId="3968"/>
    <cellStyle name="Currency 4 4 4 5" xfId="3969"/>
    <cellStyle name="Currency 4 4 5" xfId="3970"/>
    <cellStyle name="Currency 4 4 5 2" xfId="3971"/>
    <cellStyle name="Currency 4 4 5 3" xfId="3972"/>
    <cellStyle name="Currency 4 4 6" xfId="3973"/>
    <cellStyle name="Currency 4 4 6 2" xfId="3974"/>
    <cellStyle name="Currency 4 4 6 3" xfId="3975"/>
    <cellStyle name="Currency 4 4 7" xfId="3976"/>
    <cellStyle name="Currency 4 4 8" xfId="3977"/>
    <cellStyle name="Currency 4 5" xfId="3978"/>
    <cellStyle name="Currency 4 5 2" xfId="3979"/>
    <cellStyle name="Currency 4 5 2 2" xfId="3980"/>
    <cellStyle name="Currency 4 5 2 2 2" xfId="3981"/>
    <cellStyle name="Currency 4 5 2 2 2 2" xfId="3982"/>
    <cellStyle name="Currency 4 5 2 2 2 3" xfId="3983"/>
    <cellStyle name="Currency 4 5 2 2 3" xfId="3984"/>
    <cellStyle name="Currency 4 5 2 2 3 2" xfId="3985"/>
    <cellStyle name="Currency 4 5 2 2 3 3" xfId="3986"/>
    <cellStyle name="Currency 4 5 2 2 4" xfId="3987"/>
    <cellStyle name="Currency 4 5 2 2 5" xfId="3988"/>
    <cellStyle name="Currency 4 5 2 3" xfId="3989"/>
    <cellStyle name="Currency 4 5 2 3 2" xfId="3990"/>
    <cellStyle name="Currency 4 5 2 3 3" xfId="3991"/>
    <cellStyle name="Currency 4 5 2 4" xfId="3992"/>
    <cellStyle name="Currency 4 5 2 4 2" xfId="3993"/>
    <cellStyle name="Currency 4 5 2 4 3" xfId="3994"/>
    <cellStyle name="Currency 4 5 2 5" xfId="3995"/>
    <cellStyle name="Currency 4 5 2 6" xfId="3996"/>
    <cellStyle name="Currency 4 5 3" xfId="3997"/>
    <cellStyle name="Currency 4 5 3 2" xfId="3998"/>
    <cellStyle name="Currency 4 5 3 2 2" xfId="3999"/>
    <cellStyle name="Currency 4 5 3 2 3" xfId="4000"/>
    <cellStyle name="Currency 4 5 3 3" xfId="4001"/>
    <cellStyle name="Currency 4 5 3 3 2" xfId="4002"/>
    <cellStyle name="Currency 4 5 3 3 3" xfId="4003"/>
    <cellStyle name="Currency 4 5 3 4" xfId="4004"/>
    <cellStyle name="Currency 4 5 3 5" xfId="4005"/>
    <cellStyle name="Currency 4 5 4" xfId="4006"/>
    <cellStyle name="Currency 4 5 4 2" xfId="4007"/>
    <cellStyle name="Currency 4 5 4 3" xfId="4008"/>
    <cellStyle name="Currency 4 5 5" xfId="4009"/>
    <cellStyle name="Currency 4 5 5 2" xfId="4010"/>
    <cellStyle name="Currency 4 5 5 3" xfId="4011"/>
    <cellStyle name="Currency 4 5 6" xfId="4012"/>
    <cellStyle name="Currency 4 5 7" xfId="4013"/>
    <cellStyle name="Currency 4 6" xfId="4014"/>
    <cellStyle name="Currency 4 6 2" xfId="4015"/>
    <cellStyle name="Currency 4 6 2 2" xfId="4016"/>
    <cellStyle name="Currency 4 6 2 2 2" xfId="4017"/>
    <cellStyle name="Currency 4 6 2 2 3" xfId="4018"/>
    <cellStyle name="Currency 4 6 2 3" xfId="4019"/>
    <cellStyle name="Currency 4 6 2 3 2" xfId="4020"/>
    <cellStyle name="Currency 4 6 2 3 3" xfId="4021"/>
    <cellStyle name="Currency 4 6 2 4" xfId="4022"/>
    <cellStyle name="Currency 4 6 2 5" xfId="4023"/>
    <cellStyle name="Currency 4 6 3" xfId="4024"/>
    <cellStyle name="Currency 4 6 3 2" xfId="4025"/>
    <cellStyle name="Currency 4 6 3 3" xfId="4026"/>
    <cellStyle name="Currency 4 6 4" xfId="4027"/>
    <cellStyle name="Currency 4 6 4 2" xfId="4028"/>
    <cellStyle name="Currency 4 6 4 3" xfId="4029"/>
    <cellStyle name="Currency 4 6 5" xfId="4030"/>
    <cellStyle name="Currency 4 6 6" xfId="4031"/>
    <cellStyle name="Currency 4 7" xfId="4032"/>
    <cellStyle name="Currency 4 7 2" xfId="4033"/>
    <cellStyle name="Currency 4 7 2 2" xfId="4034"/>
    <cellStyle name="Currency 4 7 2 3" xfId="4035"/>
    <cellStyle name="Currency 4 7 3" xfId="4036"/>
    <cellStyle name="Currency 4 7 3 2" xfId="4037"/>
    <cellStyle name="Currency 4 7 3 3" xfId="4038"/>
    <cellStyle name="Currency 4 7 4" xfId="4039"/>
    <cellStyle name="Currency 4 7 5" xfId="4040"/>
    <cellStyle name="Currency 4 8" xfId="4041"/>
    <cellStyle name="Currency 4 8 2" xfId="4042"/>
    <cellStyle name="Currency 4 8 3" xfId="4043"/>
    <cellStyle name="Currency 4 9" xfId="4044"/>
    <cellStyle name="Currency 4 9 2" xfId="4045"/>
    <cellStyle name="Currency 4 9 3" xfId="4046"/>
    <cellStyle name="Currency 5" xfId="121"/>
    <cellStyle name="Currency 5 10" xfId="4047"/>
    <cellStyle name="Currency 5 2" xfId="273"/>
    <cellStyle name="Currency 5 2 2" xfId="4048"/>
    <cellStyle name="Currency 5 2 2 2" xfId="4049"/>
    <cellStyle name="Currency 5 2 2 2 2" xfId="4050"/>
    <cellStyle name="Currency 5 2 2 2 2 2" xfId="4051"/>
    <cellStyle name="Currency 5 2 2 2 2 2 2" xfId="4052"/>
    <cellStyle name="Currency 5 2 2 2 2 2 3" xfId="4053"/>
    <cellStyle name="Currency 5 2 2 2 2 3" xfId="4054"/>
    <cellStyle name="Currency 5 2 2 2 2 3 2" xfId="4055"/>
    <cellStyle name="Currency 5 2 2 2 2 3 3" xfId="4056"/>
    <cellStyle name="Currency 5 2 2 2 2 4" xfId="4057"/>
    <cellStyle name="Currency 5 2 2 2 2 5" xfId="4058"/>
    <cellStyle name="Currency 5 2 2 2 3" xfId="4059"/>
    <cellStyle name="Currency 5 2 2 2 3 2" xfId="4060"/>
    <cellStyle name="Currency 5 2 2 2 3 3" xfId="4061"/>
    <cellStyle name="Currency 5 2 2 2 4" xfId="4062"/>
    <cellStyle name="Currency 5 2 2 2 4 2" xfId="4063"/>
    <cellStyle name="Currency 5 2 2 2 4 3" xfId="4064"/>
    <cellStyle name="Currency 5 2 2 2 5" xfId="4065"/>
    <cellStyle name="Currency 5 2 2 2 6" xfId="4066"/>
    <cellStyle name="Currency 5 2 2 3" xfId="4067"/>
    <cellStyle name="Currency 5 2 2 3 2" xfId="4068"/>
    <cellStyle name="Currency 5 2 2 3 2 2" xfId="4069"/>
    <cellStyle name="Currency 5 2 2 3 2 3" xfId="4070"/>
    <cellStyle name="Currency 5 2 2 3 3" xfId="4071"/>
    <cellStyle name="Currency 5 2 2 3 3 2" xfId="4072"/>
    <cellStyle name="Currency 5 2 2 3 3 3" xfId="4073"/>
    <cellStyle name="Currency 5 2 2 3 4" xfId="4074"/>
    <cellStyle name="Currency 5 2 2 3 5" xfId="4075"/>
    <cellStyle name="Currency 5 2 2 4" xfId="4076"/>
    <cellStyle name="Currency 5 2 2 4 2" xfId="4077"/>
    <cellStyle name="Currency 5 2 2 4 3" xfId="4078"/>
    <cellStyle name="Currency 5 2 2 5" xfId="4079"/>
    <cellStyle name="Currency 5 2 2 5 2" xfId="4080"/>
    <cellStyle name="Currency 5 2 2 5 3" xfId="4081"/>
    <cellStyle name="Currency 5 2 2 6" xfId="4082"/>
    <cellStyle name="Currency 5 2 2 7" xfId="4083"/>
    <cellStyle name="Currency 5 2 3" xfId="4084"/>
    <cellStyle name="Currency 5 2 3 2" xfId="4085"/>
    <cellStyle name="Currency 5 2 3 2 2" xfId="4086"/>
    <cellStyle name="Currency 5 2 3 2 2 2" xfId="4087"/>
    <cellStyle name="Currency 5 2 3 2 2 3" xfId="4088"/>
    <cellStyle name="Currency 5 2 3 2 3" xfId="4089"/>
    <cellStyle name="Currency 5 2 3 2 3 2" xfId="4090"/>
    <cellStyle name="Currency 5 2 3 2 3 3" xfId="4091"/>
    <cellStyle name="Currency 5 2 3 2 4" xfId="4092"/>
    <cellStyle name="Currency 5 2 3 2 5" xfId="4093"/>
    <cellStyle name="Currency 5 2 3 3" xfId="4094"/>
    <cellStyle name="Currency 5 2 3 3 2" xfId="4095"/>
    <cellStyle name="Currency 5 2 3 3 3" xfId="4096"/>
    <cellStyle name="Currency 5 2 3 4" xfId="4097"/>
    <cellStyle name="Currency 5 2 3 4 2" xfId="4098"/>
    <cellStyle name="Currency 5 2 3 4 3" xfId="4099"/>
    <cellStyle name="Currency 5 2 3 5" xfId="4100"/>
    <cellStyle name="Currency 5 2 3 6" xfId="4101"/>
    <cellStyle name="Currency 5 2 4" xfId="4102"/>
    <cellStyle name="Currency 5 2 4 2" xfId="4103"/>
    <cellStyle name="Currency 5 2 4 2 2" xfId="4104"/>
    <cellStyle name="Currency 5 2 4 2 3" xfId="4105"/>
    <cellStyle name="Currency 5 2 4 3" xfId="4106"/>
    <cellStyle name="Currency 5 2 4 3 2" xfId="4107"/>
    <cellStyle name="Currency 5 2 4 3 3" xfId="4108"/>
    <cellStyle name="Currency 5 2 4 4" xfId="4109"/>
    <cellStyle name="Currency 5 2 4 5" xfId="4110"/>
    <cellStyle name="Currency 5 2 5" xfId="4111"/>
    <cellStyle name="Currency 5 2 5 2" xfId="4112"/>
    <cellStyle name="Currency 5 2 5 3" xfId="4113"/>
    <cellStyle name="Currency 5 2 6" xfId="4114"/>
    <cellStyle name="Currency 5 2 6 2" xfId="4115"/>
    <cellStyle name="Currency 5 2 6 3" xfId="4116"/>
    <cellStyle name="Currency 5 2 7" xfId="4117"/>
    <cellStyle name="Currency 5 2 8" xfId="4118"/>
    <cellStyle name="Currency 5 3" xfId="289"/>
    <cellStyle name="Currency 5 3 2" xfId="4119"/>
    <cellStyle name="Currency 5 3 2 2" xfId="4120"/>
    <cellStyle name="Currency 5 3 2 2 2" xfId="4121"/>
    <cellStyle name="Currency 5 3 2 2 2 2" xfId="4122"/>
    <cellStyle name="Currency 5 3 2 2 2 2 2" xfId="4123"/>
    <cellStyle name="Currency 5 3 2 2 2 2 3" xfId="4124"/>
    <cellStyle name="Currency 5 3 2 2 2 3" xfId="4125"/>
    <cellStyle name="Currency 5 3 2 2 2 3 2" xfId="4126"/>
    <cellStyle name="Currency 5 3 2 2 2 3 3" xfId="4127"/>
    <cellStyle name="Currency 5 3 2 2 2 4" xfId="4128"/>
    <cellStyle name="Currency 5 3 2 2 2 5" xfId="4129"/>
    <cellStyle name="Currency 5 3 2 2 3" xfId="4130"/>
    <cellStyle name="Currency 5 3 2 2 3 2" xfId="4131"/>
    <cellStyle name="Currency 5 3 2 2 3 3" xfId="4132"/>
    <cellStyle name="Currency 5 3 2 2 4" xfId="4133"/>
    <cellStyle name="Currency 5 3 2 2 4 2" xfId="4134"/>
    <cellStyle name="Currency 5 3 2 2 4 3" xfId="4135"/>
    <cellStyle name="Currency 5 3 2 2 5" xfId="4136"/>
    <cellStyle name="Currency 5 3 2 2 6" xfId="4137"/>
    <cellStyle name="Currency 5 3 2 3" xfId="4138"/>
    <cellStyle name="Currency 5 3 2 3 2" xfId="4139"/>
    <cellStyle name="Currency 5 3 2 3 2 2" xfId="4140"/>
    <cellStyle name="Currency 5 3 2 3 2 3" xfId="4141"/>
    <cellStyle name="Currency 5 3 2 3 3" xfId="4142"/>
    <cellStyle name="Currency 5 3 2 3 3 2" xfId="4143"/>
    <cellStyle name="Currency 5 3 2 3 3 3" xfId="4144"/>
    <cellStyle name="Currency 5 3 2 3 4" xfId="4145"/>
    <cellStyle name="Currency 5 3 2 3 5" xfId="4146"/>
    <cellStyle name="Currency 5 3 2 4" xfId="4147"/>
    <cellStyle name="Currency 5 3 2 4 2" xfId="4148"/>
    <cellStyle name="Currency 5 3 2 4 3" xfId="4149"/>
    <cellStyle name="Currency 5 3 2 5" xfId="4150"/>
    <cellStyle name="Currency 5 3 2 5 2" xfId="4151"/>
    <cellStyle name="Currency 5 3 2 5 3" xfId="4152"/>
    <cellStyle name="Currency 5 3 2 6" xfId="4153"/>
    <cellStyle name="Currency 5 3 2 7" xfId="4154"/>
    <cellStyle name="Currency 5 3 3" xfId="4155"/>
    <cellStyle name="Currency 5 3 3 2" xfId="4156"/>
    <cellStyle name="Currency 5 3 3 2 2" xfId="4157"/>
    <cellStyle name="Currency 5 3 3 2 2 2" xfId="4158"/>
    <cellStyle name="Currency 5 3 3 2 2 3" xfId="4159"/>
    <cellStyle name="Currency 5 3 3 2 3" xfId="4160"/>
    <cellStyle name="Currency 5 3 3 2 3 2" xfId="4161"/>
    <cellStyle name="Currency 5 3 3 2 3 3" xfId="4162"/>
    <cellStyle name="Currency 5 3 3 2 4" xfId="4163"/>
    <cellStyle name="Currency 5 3 3 2 5" xfId="4164"/>
    <cellStyle name="Currency 5 3 3 3" xfId="4165"/>
    <cellStyle name="Currency 5 3 3 3 2" xfId="4166"/>
    <cellStyle name="Currency 5 3 3 3 3" xfId="4167"/>
    <cellStyle name="Currency 5 3 3 4" xfId="4168"/>
    <cellStyle name="Currency 5 3 3 4 2" xfId="4169"/>
    <cellStyle name="Currency 5 3 3 4 3" xfId="4170"/>
    <cellStyle name="Currency 5 3 3 5" xfId="4171"/>
    <cellStyle name="Currency 5 3 3 6" xfId="4172"/>
    <cellStyle name="Currency 5 3 4" xfId="4173"/>
    <cellStyle name="Currency 5 3 4 2" xfId="4174"/>
    <cellStyle name="Currency 5 3 4 2 2" xfId="4175"/>
    <cellStyle name="Currency 5 3 4 2 3" xfId="4176"/>
    <cellStyle name="Currency 5 3 4 3" xfId="4177"/>
    <cellStyle name="Currency 5 3 4 3 2" xfId="4178"/>
    <cellStyle name="Currency 5 3 4 3 3" xfId="4179"/>
    <cellStyle name="Currency 5 3 4 4" xfId="4180"/>
    <cellStyle name="Currency 5 3 4 5" xfId="4181"/>
    <cellStyle name="Currency 5 3 5" xfId="4182"/>
    <cellStyle name="Currency 5 3 5 2" xfId="4183"/>
    <cellStyle name="Currency 5 3 5 3" xfId="4184"/>
    <cellStyle name="Currency 5 3 6" xfId="4185"/>
    <cellStyle name="Currency 5 3 6 2" xfId="4186"/>
    <cellStyle name="Currency 5 3 6 3" xfId="4187"/>
    <cellStyle name="Currency 5 3 7" xfId="4188"/>
    <cellStyle name="Currency 5 3 8" xfId="4189"/>
    <cellStyle name="Currency 5 4" xfId="4190"/>
    <cellStyle name="Currency 5 4 2" xfId="4191"/>
    <cellStyle name="Currency 5 4 2 2" xfId="4192"/>
    <cellStyle name="Currency 5 4 2 2 2" xfId="4193"/>
    <cellStyle name="Currency 5 4 2 2 2 2" xfId="4194"/>
    <cellStyle name="Currency 5 4 2 2 2 3" xfId="4195"/>
    <cellStyle name="Currency 5 4 2 2 3" xfId="4196"/>
    <cellStyle name="Currency 5 4 2 2 3 2" xfId="4197"/>
    <cellStyle name="Currency 5 4 2 2 3 3" xfId="4198"/>
    <cellStyle name="Currency 5 4 2 2 4" xfId="4199"/>
    <cellStyle name="Currency 5 4 2 2 5" xfId="4200"/>
    <cellStyle name="Currency 5 4 2 3" xfId="4201"/>
    <cellStyle name="Currency 5 4 2 3 2" xfId="4202"/>
    <cellStyle name="Currency 5 4 2 3 3" xfId="4203"/>
    <cellStyle name="Currency 5 4 2 4" xfId="4204"/>
    <cellStyle name="Currency 5 4 2 4 2" xfId="4205"/>
    <cellStyle name="Currency 5 4 2 4 3" xfId="4206"/>
    <cellStyle name="Currency 5 4 2 5" xfId="4207"/>
    <cellStyle name="Currency 5 4 2 6" xfId="4208"/>
    <cellStyle name="Currency 5 4 3" xfId="4209"/>
    <cellStyle name="Currency 5 4 3 2" xfId="4210"/>
    <cellStyle name="Currency 5 4 3 2 2" xfId="4211"/>
    <cellStyle name="Currency 5 4 3 2 3" xfId="4212"/>
    <cellStyle name="Currency 5 4 3 3" xfId="4213"/>
    <cellStyle name="Currency 5 4 3 3 2" xfId="4214"/>
    <cellStyle name="Currency 5 4 3 3 3" xfId="4215"/>
    <cellStyle name="Currency 5 4 3 4" xfId="4216"/>
    <cellStyle name="Currency 5 4 3 5" xfId="4217"/>
    <cellStyle name="Currency 5 4 4" xfId="4218"/>
    <cellStyle name="Currency 5 4 4 2" xfId="4219"/>
    <cellStyle name="Currency 5 4 4 3" xfId="4220"/>
    <cellStyle name="Currency 5 4 5" xfId="4221"/>
    <cellStyle name="Currency 5 4 5 2" xfId="4222"/>
    <cellStyle name="Currency 5 4 5 3" xfId="4223"/>
    <cellStyle name="Currency 5 4 6" xfId="4224"/>
    <cellStyle name="Currency 5 4 7" xfId="4225"/>
    <cellStyle name="Currency 5 5" xfId="4226"/>
    <cellStyle name="Currency 5 5 2" xfId="4227"/>
    <cellStyle name="Currency 5 5 2 2" xfId="4228"/>
    <cellStyle name="Currency 5 5 2 2 2" xfId="4229"/>
    <cellStyle name="Currency 5 5 2 2 3" xfId="4230"/>
    <cellStyle name="Currency 5 5 2 3" xfId="4231"/>
    <cellStyle name="Currency 5 5 2 3 2" xfId="4232"/>
    <cellStyle name="Currency 5 5 2 3 3" xfId="4233"/>
    <cellStyle name="Currency 5 5 2 4" xfId="4234"/>
    <cellStyle name="Currency 5 5 2 5" xfId="4235"/>
    <cellStyle name="Currency 5 5 3" xfId="4236"/>
    <cellStyle name="Currency 5 5 3 2" xfId="4237"/>
    <cellStyle name="Currency 5 5 3 3" xfId="4238"/>
    <cellStyle name="Currency 5 5 4" xfId="4239"/>
    <cellStyle name="Currency 5 5 4 2" xfId="4240"/>
    <cellStyle name="Currency 5 5 4 3" xfId="4241"/>
    <cellStyle name="Currency 5 5 5" xfId="4242"/>
    <cellStyle name="Currency 5 5 6" xfId="4243"/>
    <cellStyle name="Currency 5 6" xfId="4244"/>
    <cellStyle name="Currency 5 6 2" xfId="4245"/>
    <cellStyle name="Currency 5 6 2 2" xfId="4246"/>
    <cellStyle name="Currency 5 6 2 3" xfId="4247"/>
    <cellStyle name="Currency 5 6 3" xfId="4248"/>
    <cellStyle name="Currency 5 6 3 2" xfId="4249"/>
    <cellStyle name="Currency 5 6 3 3" xfId="4250"/>
    <cellStyle name="Currency 5 6 4" xfId="4251"/>
    <cellStyle name="Currency 5 6 5" xfId="4252"/>
    <cellStyle name="Currency 5 7" xfId="4253"/>
    <cellStyle name="Currency 5 7 2" xfId="4254"/>
    <cellStyle name="Currency 5 7 3" xfId="4255"/>
    <cellStyle name="Currency 5 8" xfId="4256"/>
    <cellStyle name="Currency 5 8 2" xfId="4257"/>
    <cellStyle name="Currency 5 8 3" xfId="4258"/>
    <cellStyle name="Currency 5 9" xfId="4259"/>
    <cellStyle name="Currency 6" xfId="290"/>
    <cellStyle name="Currency 6 2" xfId="4260"/>
    <cellStyle name="Currency 6 3" xfId="4261"/>
    <cellStyle name="Currency 6 4" xfId="4262"/>
    <cellStyle name="Currency 6 5" xfId="37454"/>
    <cellStyle name="Currency 7" xfId="291"/>
    <cellStyle name="Currency 7 2" xfId="4263"/>
    <cellStyle name="Currency 7 3" xfId="37465"/>
    <cellStyle name="Currency 8" xfId="324"/>
    <cellStyle name="Currency 8 2" xfId="4264"/>
    <cellStyle name="Currency 8 2 2" xfId="4265"/>
    <cellStyle name="Currency 8 2 2 2" xfId="4266"/>
    <cellStyle name="Currency 8 2 2 2 2" xfId="4267"/>
    <cellStyle name="Currency 8 2 2 2 2 2" xfId="4268"/>
    <cellStyle name="Currency 8 2 2 2 2 2 2" xfId="4269"/>
    <cellStyle name="Currency 8 2 2 2 2 2 3" xfId="4270"/>
    <cellStyle name="Currency 8 2 2 2 2 3" xfId="4271"/>
    <cellStyle name="Currency 8 2 2 2 2 3 2" xfId="4272"/>
    <cellStyle name="Currency 8 2 2 2 2 3 3" xfId="4273"/>
    <cellStyle name="Currency 8 2 2 2 2 4" xfId="4274"/>
    <cellStyle name="Currency 8 2 2 2 2 5" xfId="4275"/>
    <cellStyle name="Currency 8 2 2 2 3" xfId="4276"/>
    <cellStyle name="Currency 8 2 2 2 3 2" xfId="4277"/>
    <cellStyle name="Currency 8 2 2 2 3 3" xfId="4278"/>
    <cellStyle name="Currency 8 2 2 2 4" xfId="4279"/>
    <cellStyle name="Currency 8 2 2 2 4 2" xfId="4280"/>
    <cellStyle name="Currency 8 2 2 2 4 3" xfId="4281"/>
    <cellStyle name="Currency 8 2 2 2 5" xfId="4282"/>
    <cellStyle name="Currency 8 2 2 2 6" xfId="4283"/>
    <cellStyle name="Currency 8 2 2 3" xfId="4284"/>
    <cellStyle name="Currency 8 2 2 3 2" xfId="4285"/>
    <cellStyle name="Currency 8 2 2 3 2 2" xfId="4286"/>
    <cellStyle name="Currency 8 2 2 3 2 3" xfId="4287"/>
    <cellStyle name="Currency 8 2 2 3 3" xfId="4288"/>
    <cellStyle name="Currency 8 2 2 3 3 2" xfId="4289"/>
    <cellStyle name="Currency 8 2 2 3 3 3" xfId="4290"/>
    <cellStyle name="Currency 8 2 2 3 4" xfId="4291"/>
    <cellStyle name="Currency 8 2 2 3 5" xfId="4292"/>
    <cellStyle name="Currency 8 2 2 4" xfId="4293"/>
    <cellStyle name="Currency 8 2 2 4 2" xfId="4294"/>
    <cellStyle name="Currency 8 2 2 4 3" xfId="4295"/>
    <cellStyle name="Currency 8 2 2 5" xfId="4296"/>
    <cellStyle name="Currency 8 2 2 5 2" xfId="4297"/>
    <cellStyle name="Currency 8 2 2 5 3" xfId="4298"/>
    <cellStyle name="Currency 8 2 2 6" xfId="4299"/>
    <cellStyle name="Currency 8 2 2 7" xfId="4300"/>
    <cellStyle name="Currency 8 2 3" xfId="4301"/>
    <cellStyle name="Currency 8 2 3 2" xfId="4302"/>
    <cellStyle name="Currency 8 2 3 2 2" xfId="4303"/>
    <cellStyle name="Currency 8 2 3 2 2 2" xfId="4304"/>
    <cellStyle name="Currency 8 2 3 2 2 3" xfId="4305"/>
    <cellStyle name="Currency 8 2 3 2 3" xfId="4306"/>
    <cellStyle name="Currency 8 2 3 2 3 2" xfId="4307"/>
    <cellStyle name="Currency 8 2 3 2 3 3" xfId="4308"/>
    <cellStyle name="Currency 8 2 3 2 4" xfId="4309"/>
    <cellStyle name="Currency 8 2 3 2 5" xfId="4310"/>
    <cellStyle name="Currency 8 2 3 3" xfId="4311"/>
    <cellStyle name="Currency 8 2 3 3 2" xfId="4312"/>
    <cellStyle name="Currency 8 2 3 3 3" xfId="4313"/>
    <cellStyle name="Currency 8 2 3 4" xfId="4314"/>
    <cellStyle name="Currency 8 2 3 4 2" xfId="4315"/>
    <cellStyle name="Currency 8 2 3 4 3" xfId="4316"/>
    <cellStyle name="Currency 8 2 3 5" xfId="4317"/>
    <cellStyle name="Currency 8 2 3 6" xfId="4318"/>
    <cellStyle name="Currency 8 2 4" xfId="4319"/>
    <cellStyle name="Currency 8 2 4 2" xfId="4320"/>
    <cellStyle name="Currency 8 2 4 2 2" xfId="4321"/>
    <cellStyle name="Currency 8 2 4 2 3" xfId="4322"/>
    <cellStyle name="Currency 8 2 4 3" xfId="4323"/>
    <cellStyle name="Currency 8 2 4 3 2" xfId="4324"/>
    <cellStyle name="Currency 8 2 4 3 3" xfId="4325"/>
    <cellStyle name="Currency 8 2 4 4" xfId="4326"/>
    <cellStyle name="Currency 8 2 4 5" xfId="4327"/>
    <cellStyle name="Currency 8 2 5" xfId="4328"/>
    <cellStyle name="Currency 8 2 5 2" xfId="4329"/>
    <cellStyle name="Currency 8 2 5 3" xfId="4330"/>
    <cellStyle name="Currency 8 2 6" xfId="4331"/>
    <cellStyle name="Currency 8 2 6 2" xfId="4332"/>
    <cellStyle name="Currency 8 2 6 3" xfId="4333"/>
    <cellStyle name="Currency 8 2 7" xfId="4334"/>
    <cellStyle name="Currency 8 2 8" xfId="4335"/>
    <cellStyle name="Currency 8 3" xfId="4336"/>
    <cellStyle name="Currency 8 3 2" xfId="4337"/>
    <cellStyle name="Currency 8 3 2 2" xfId="4338"/>
    <cellStyle name="Currency 8 3 2 2 2" xfId="4339"/>
    <cellStyle name="Currency 8 3 2 2 2 2" xfId="4340"/>
    <cellStyle name="Currency 8 3 2 2 2 3" xfId="4341"/>
    <cellStyle name="Currency 8 3 2 2 3" xfId="4342"/>
    <cellStyle name="Currency 8 3 2 2 3 2" xfId="4343"/>
    <cellStyle name="Currency 8 3 2 2 3 3" xfId="4344"/>
    <cellStyle name="Currency 8 3 2 2 4" xfId="4345"/>
    <cellStyle name="Currency 8 3 2 2 5" xfId="4346"/>
    <cellStyle name="Currency 8 3 2 3" xfId="4347"/>
    <cellStyle name="Currency 8 3 2 3 2" xfId="4348"/>
    <cellStyle name="Currency 8 3 2 3 3" xfId="4349"/>
    <cellStyle name="Currency 8 3 2 4" xfId="4350"/>
    <cellStyle name="Currency 8 3 2 4 2" xfId="4351"/>
    <cellStyle name="Currency 8 3 2 4 3" xfId="4352"/>
    <cellStyle name="Currency 8 3 2 5" xfId="4353"/>
    <cellStyle name="Currency 8 3 2 6" xfId="4354"/>
    <cellStyle name="Currency 8 3 3" xfId="4355"/>
    <cellStyle name="Currency 8 3 3 2" xfId="4356"/>
    <cellStyle name="Currency 8 3 3 2 2" xfId="4357"/>
    <cellStyle name="Currency 8 3 3 2 3" xfId="4358"/>
    <cellStyle name="Currency 8 3 3 3" xfId="4359"/>
    <cellStyle name="Currency 8 3 3 3 2" xfId="4360"/>
    <cellStyle name="Currency 8 3 3 3 3" xfId="4361"/>
    <cellStyle name="Currency 8 3 3 4" xfId="4362"/>
    <cellStyle name="Currency 8 3 3 5" xfId="4363"/>
    <cellStyle name="Currency 8 3 4" xfId="4364"/>
    <cellStyle name="Currency 8 3 4 2" xfId="4365"/>
    <cellStyle name="Currency 8 3 4 3" xfId="4366"/>
    <cellStyle name="Currency 8 3 5" xfId="4367"/>
    <cellStyle name="Currency 8 3 5 2" xfId="4368"/>
    <cellStyle name="Currency 8 3 5 3" xfId="4369"/>
    <cellStyle name="Currency 8 3 6" xfId="4370"/>
    <cellStyle name="Currency 8 3 7" xfId="4371"/>
    <cellStyle name="Currency 8 4" xfId="4372"/>
    <cellStyle name="Currency 8 4 2" xfId="4373"/>
    <cellStyle name="Currency 8 4 2 2" xfId="4374"/>
    <cellStyle name="Currency 8 4 2 2 2" xfId="4375"/>
    <cellStyle name="Currency 8 4 2 2 3" xfId="4376"/>
    <cellStyle name="Currency 8 4 2 3" xfId="4377"/>
    <cellStyle name="Currency 8 4 2 3 2" xfId="4378"/>
    <cellStyle name="Currency 8 4 2 3 3" xfId="4379"/>
    <cellStyle name="Currency 8 4 2 4" xfId="4380"/>
    <cellStyle name="Currency 8 4 2 5" xfId="4381"/>
    <cellStyle name="Currency 8 4 3" xfId="4382"/>
    <cellStyle name="Currency 8 4 3 2" xfId="4383"/>
    <cellStyle name="Currency 8 4 3 3" xfId="4384"/>
    <cellStyle name="Currency 8 4 4" xfId="4385"/>
    <cellStyle name="Currency 8 4 4 2" xfId="4386"/>
    <cellStyle name="Currency 8 4 4 3" xfId="4387"/>
    <cellStyle name="Currency 8 4 5" xfId="4388"/>
    <cellStyle name="Currency 8 4 6" xfId="4389"/>
    <cellStyle name="Currency 8 5" xfId="4390"/>
    <cellStyle name="Currency 8 5 2" xfId="4391"/>
    <cellStyle name="Currency 8 5 2 2" xfId="4392"/>
    <cellStyle name="Currency 8 5 2 3" xfId="4393"/>
    <cellStyle name="Currency 8 5 3" xfId="4394"/>
    <cellStyle name="Currency 8 5 3 2" xfId="4395"/>
    <cellStyle name="Currency 8 5 3 3" xfId="4396"/>
    <cellStyle name="Currency 8 5 4" xfId="4397"/>
    <cellStyle name="Currency 8 5 5" xfId="4398"/>
    <cellStyle name="Currency 8 6" xfId="4399"/>
    <cellStyle name="Currency 8 6 2" xfId="4400"/>
    <cellStyle name="Currency 8 6 3" xfId="4401"/>
    <cellStyle name="Currency 8 7" xfId="4402"/>
    <cellStyle name="Currency 8 7 2" xfId="4403"/>
    <cellStyle name="Currency 8 7 3" xfId="4404"/>
    <cellStyle name="Currency 8 8" xfId="4405"/>
    <cellStyle name="Currency 8 9" xfId="4406"/>
    <cellStyle name="Currency 9" xfId="325"/>
    <cellStyle name="Currency 9 2" xfId="4407"/>
    <cellStyle name="Currency 9 2 2" xfId="4408"/>
    <cellStyle name="Currency 9 2 2 2" xfId="4409"/>
    <cellStyle name="Currency 9 2 2 2 2" xfId="4410"/>
    <cellStyle name="Currency 9 2 2 2 2 2" xfId="4411"/>
    <cellStyle name="Currency 9 2 2 2 2 3" xfId="4412"/>
    <cellStyle name="Currency 9 2 2 2 3" xfId="4413"/>
    <cellStyle name="Currency 9 2 2 2 3 2" xfId="4414"/>
    <cellStyle name="Currency 9 2 2 2 3 3" xfId="4415"/>
    <cellStyle name="Currency 9 2 2 2 4" xfId="4416"/>
    <cellStyle name="Currency 9 2 2 2 5" xfId="4417"/>
    <cellStyle name="Currency 9 2 2 3" xfId="4418"/>
    <cellStyle name="Currency 9 2 2 3 2" xfId="4419"/>
    <cellStyle name="Currency 9 2 2 3 3" xfId="4420"/>
    <cellStyle name="Currency 9 2 2 4" xfId="4421"/>
    <cellStyle name="Currency 9 2 2 4 2" xfId="4422"/>
    <cellStyle name="Currency 9 2 2 4 3" xfId="4423"/>
    <cellStyle name="Currency 9 2 2 5" xfId="4424"/>
    <cellStyle name="Currency 9 2 2 6" xfId="4425"/>
    <cellStyle name="Currency 9 2 3" xfId="4426"/>
    <cellStyle name="Currency 9 2 3 2" xfId="4427"/>
    <cellStyle name="Currency 9 2 3 2 2" xfId="4428"/>
    <cellStyle name="Currency 9 2 3 2 3" xfId="4429"/>
    <cellStyle name="Currency 9 2 3 3" xfId="4430"/>
    <cellStyle name="Currency 9 2 3 3 2" xfId="4431"/>
    <cellStyle name="Currency 9 2 3 3 3" xfId="4432"/>
    <cellStyle name="Currency 9 2 3 4" xfId="4433"/>
    <cellStyle name="Currency 9 2 3 5" xfId="4434"/>
    <cellStyle name="Currency 9 2 4" xfId="4435"/>
    <cellStyle name="Currency 9 2 4 2" xfId="4436"/>
    <cellStyle name="Currency 9 2 4 3" xfId="4437"/>
    <cellStyle name="Currency 9 2 5" xfId="4438"/>
    <cellStyle name="Currency 9 2 5 2" xfId="4439"/>
    <cellStyle name="Currency 9 2 5 3" xfId="4440"/>
    <cellStyle name="Currency 9 2 6" xfId="4441"/>
    <cellStyle name="Currency 9 2 7" xfId="4442"/>
    <cellStyle name="Currency 9 3" xfId="4443"/>
    <cellStyle name="Currency 9 3 2" xfId="4444"/>
    <cellStyle name="Currency 9 3 2 2" xfId="4445"/>
    <cellStyle name="Currency 9 3 2 2 2" xfId="4446"/>
    <cellStyle name="Currency 9 3 2 2 3" xfId="4447"/>
    <cellStyle name="Currency 9 3 2 3" xfId="4448"/>
    <cellStyle name="Currency 9 3 2 3 2" xfId="4449"/>
    <cellStyle name="Currency 9 3 2 3 3" xfId="4450"/>
    <cellStyle name="Currency 9 3 2 4" xfId="4451"/>
    <cellStyle name="Currency 9 3 2 5" xfId="4452"/>
    <cellStyle name="Currency 9 3 3" xfId="4453"/>
    <cellStyle name="Currency 9 3 3 2" xfId="4454"/>
    <cellStyle name="Currency 9 3 3 3" xfId="4455"/>
    <cellStyle name="Currency 9 3 4" xfId="4456"/>
    <cellStyle name="Currency 9 3 4 2" xfId="4457"/>
    <cellStyle name="Currency 9 3 4 3" xfId="4458"/>
    <cellStyle name="Currency 9 3 5" xfId="4459"/>
    <cellStyle name="Currency 9 3 6" xfId="4460"/>
    <cellStyle name="Currency 9 4" xfId="4461"/>
    <cellStyle name="Currency 9 4 2" xfId="4462"/>
    <cellStyle name="Currency 9 4 2 2" xfId="4463"/>
    <cellStyle name="Currency 9 4 2 3" xfId="4464"/>
    <cellStyle name="Currency 9 4 3" xfId="4465"/>
    <cellStyle name="Currency 9 4 3 2" xfId="4466"/>
    <cellStyle name="Currency 9 4 3 3" xfId="4467"/>
    <cellStyle name="Currency 9 4 4" xfId="4468"/>
    <cellStyle name="Currency 9 4 5" xfId="4469"/>
    <cellStyle name="Currency 9 5" xfId="4470"/>
    <cellStyle name="Currency 9 5 2" xfId="4471"/>
    <cellStyle name="Currency 9 5 3" xfId="4472"/>
    <cellStyle name="Currency 9 6" xfId="4473"/>
    <cellStyle name="Currency 9 6 2" xfId="4474"/>
    <cellStyle name="Currency 9 6 3" xfId="4475"/>
    <cellStyle name="Currency 9 7" xfId="4476"/>
    <cellStyle name="Currency 9 8" xfId="4477"/>
    <cellStyle name="Currency0" xfId="4478"/>
    <cellStyle name="Custom - Style1" xfId="4479"/>
    <cellStyle name="Custom - Style8" xfId="4480"/>
    <cellStyle name="Data   - Style2" xfId="4481"/>
    <cellStyle name="Data   - Style2 10" xfId="4482"/>
    <cellStyle name="Data   - Style2 10 10" xfId="24384"/>
    <cellStyle name="Data   - Style2 10 11" xfId="25383"/>
    <cellStyle name="Data   - Style2 10 12" xfId="28330"/>
    <cellStyle name="Data   - Style2 10 13" xfId="29297"/>
    <cellStyle name="Data   - Style2 10 14" xfId="30339"/>
    <cellStyle name="Data   - Style2 10 15" xfId="31330"/>
    <cellStyle name="Data   - Style2 10 16" xfId="32338"/>
    <cellStyle name="Data   - Style2 10 17" xfId="33341"/>
    <cellStyle name="Data   - Style2 10 18" xfId="34340"/>
    <cellStyle name="Data   - Style2 10 19" xfId="35961"/>
    <cellStyle name="Data   - Style2 10 2" xfId="16365"/>
    <cellStyle name="Data   - Style2 10 20" xfId="36900"/>
    <cellStyle name="Data   - Style2 10 3" xfId="17344"/>
    <cellStyle name="Data   - Style2 10 4" xfId="18370"/>
    <cellStyle name="Data   - Style2 10 5" xfId="19403"/>
    <cellStyle name="Data   - Style2 10 6" xfId="20425"/>
    <cellStyle name="Data   - Style2 10 7" xfId="21436"/>
    <cellStyle name="Data   - Style2 10 8" xfId="22407"/>
    <cellStyle name="Data   - Style2 10 9" xfId="23412"/>
    <cellStyle name="Data   - Style2 11" xfId="14000"/>
    <cellStyle name="Data   - Style2 12" xfId="14580"/>
    <cellStyle name="Data   - Style2 13" xfId="13783"/>
    <cellStyle name="Data   - Style2 14" xfId="14234"/>
    <cellStyle name="Data   - Style2 15" xfId="27430"/>
    <cellStyle name="Data   - Style2 16" xfId="26200"/>
    <cellStyle name="Data   - Style2 17" xfId="28757"/>
    <cellStyle name="Data   - Style2 18" xfId="37476"/>
    <cellStyle name="Data   - Style2 2" xfId="4483"/>
    <cellStyle name="Data   - Style2 2 10" xfId="14576"/>
    <cellStyle name="Data   - Style2 2 11" xfId="26538"/>
    <cellStyle name="Data   - Style2 2 12" xfId="27764"/>
    <cellStyle name="Data   - Style2 2 13" xfId="29802"/>
    <cellStyle name="Data   - Style2 2 2" xfId="4484"/>
    <cellStyle name="Data   - Style2 2 2 10" xfId="23413"/>
    <cellStyle name="Data   - Style2 2 2 11" xfId="24385"/>
    <cellStyle name="Data   - Style2 2 2 12" xfId="25384"/>
    <cellStyle name="Data   - Style2 2 2 13" xfId="28331"/>
    <cellStyle name="Data   - Style2 2 2 14" xfId="29298"/>
    <cellStyle name="Data   - Style2 2 2 15" xfId="30340"/>
    <cellStyle name="Data   - Style2 2 2 16" xfId="31331"/>
    <cellStyle name="Data   - Style2 2 2 17" xfId="32339"/>
    <cellStyle name="Data   - Style2 2 2 18" xfId="33342"/>
    <cellStyle name="Data   - Style2 2 2 19" xfId="34341"/>
    <cellStyle name="Data   - Style2 2 2 2" xfId="4485"/>
    <cellStyle name="Data   - Style2 2 2 2 10" xfId="24386"/>
    <cellStyle name="Data   - Style2 2 2 2 11" xfId="25385"/>
    <cellStyle name="Data   - Style2 2 2 2 12" xfId="28332"/>
    <cellStyle name="Data   - Style2 2 2 2 13" xfId="29299"/>
    <cellStyle name="Data   - Style2 2 2 2 14" xfId="30341"/>
    <cellStyle name="Data   - Style2 2 2 2 15" xfId="31332"/>
    <cellStyle name="Data   - Style2 2 2 2 16" xfId="32340"/>
    <cellStyle name="Data   - Style2 2 2 2 17" xfId="33343"/>
    <cellStyle name="Data   - Style2 2 2 2 18" xfId="34342"/>
    <cellStyle name="Data   - Style2 2 2 2 19" xfId="35963"/>
    <cellStyle name="Data   - Style2 2 2 2 2" xfId="16367"/>
    <cellStyle name="Data   - Style2 2 2 2 20" xfId="36902"/>
    <cellStyle name="Data   - Style2 2 2 2 3" xfId="17346"/>
    <cellStyle name="Data   - Style2 2 2 2 4" xfId="18372"/>
    <cellStyle name="Data   - Style2 2 2 2 5" xfId="19405"/>
    <cellStyle name="Data   - Style2 2 2 2 6" xfId="20427"/>
    <cellStyle name="Data   - Style2 2 2 2 7" xfId="21438"/>
    <cellStyle name="Data   - Style2 2 2 2 8" xfId="22409"/>
    <cellStyle name="Data   - Style2 2 2 2 9" xfId="23414"/>
    <cellStyle name="Data   - Style2 2 2 20" xfId="35962"/>
    <cellStyle name="Data   - Style2 2 2 21" xfId="36901"/>
    <cellStyle name="Data   - Style2 2 2 3" xfId="16366"/>
    <cellStyle name="Data   - Style2 2 2 4" xfId="17345"/>
    <cellStyle name="Data   - Style2 2 2 5" xfId="18371"/>
    <cellStyle name="Data   - Style2 2 2 6" xfId="19404"/>
    <cellStyle name="Data   - Style2 2 2 7" xfId="20426"/>
    <cellStyle name="Data   - Style2 2 2 8" xfId="21437"/>
    <cellStyle name="Data   - Style2 2 2 9" xfId="22408"/>
    <cellStyle name="Data   - Style2 2 3" xfId="4486"/>
    <cellStyle name="Data   - Style2 2 3 10" xfId="23415"/>
    <cellStyle name="Data   - Style2 2 3 11" xfId="24387"/>
    <cellStyle name="Data   - Style2 2 3 12" xfId="25386"/>
    <cellStyle name="Data   - Style2 2 3 13" xfId="28333"/>
    <cellStyle name="Data   - Style2 2 3 14" xfId="29300"/>
    <cellStyle name="Data   - Style2 2 3 15" xfId="30342"/>
    <cellStyle name="Data   - Style2 2 3 16" xfId="31333"/>
    <cellStyle name="Data   - Style2 2 3 17" xfId="32341"/>
    <cellStyle name="Data   - Style2 2 3 18" xfId="33344"/>
    <cellStyle name="Data   - Style2 2 3 19" xfId="34343"/>
    <cellStyle name="Data   - Style2 2 3 2" xfId="4487"/>
    <cellStyle name="Data   - Style2 2 3 2 10" xfId="24388"/>
    <cellStyle name="Data   - Style2 2 3 2 11" xfId="25387"/>
    <cellStyle name="Data   - Style2 2 3 2 12" xfId="28334"/>
    <cellStyle name="Data   - Style2 2 3 2 13" xfId="29301"/>
    <cellStyle name="Data   - Style2 2 3 2 14" xfId="30343"/>
    <cellStyle name="Data   - Style2 2 3 2 15" xfId="31334"/>
    <cellStyle name="Data   - Style2 2 3 2 16" xfId="32342"/>
    <cellStyle name="Data   - Style2 2 3 2 17" xfId="33345"/>
    <cellStyle name="Data   - Style2 2 3 2 18" xfId="34344"/>
    <cellStyle name="Data   - Style2 2 3 2 19" xfId="35965"/>
    <cellStyle name="Data   - Style2 2 3 2 2" xfId="16369"/>
    <cellStyle name="Data   - Style2 2 3 2 20" xfId="36904"/>
    <cellStyle name="Data   - Style2 2 3 2 3" xfId="17348"/>
    <cellStyle name="Data   - Style2 2 3 2 4" xfId="18374"/>
    <cellStyle name="Data   - Style2 2 3 2 5" xfId="19407"/>
    <cellStyle name="Data   - Style2 2 3 2 6" xfId="20429"/>
    <cellStyle name="Data   - Style2 2 3 2 7" xfId="21440"/>
    <cellStyle name="Data   - Style2 2 3 2 8" xfId="22411"/>
    <cellStyle name="Data   - Style2 2 3 2 9" xfId="23416"/>
    <cellStyle name="Data   - Style2 2 3 20" xfId="35964"/>
    <cellStyle name="Data   - Style2 2 3 21" xfId="36903"/>
    <cellStyle name="Data   - Style2 2 3 3" xfId="16368"/>
    <cellStyle name="Data   - Style2 2 3 4" xfId="17347"/>
    <cellStyle name="Data   - Style2 2 3 5" xfId="18373"/>
    <cellStyle name="Data   - Style2 2 3 6" xfId="19406"/>
    <cellStyle name="Data   - Style2 2 3 7" xfId="20428"/>
    <cellStyle name="Data   - Style2 2 3 8" xfId="21439"/>
    <cellStyle name="Data   - Style2 2 3 9" xfId="22410"/>
    <cellStyle name="Data   - Style2 2 4" xfId="4488"/>
    <cellStyle name="Data   - Style2 2 4 10" xfId="23417"/>
    <cellStyle name="Data   - Style2 2 4 11" xfId="24389"/>
    <cellStyle name="Data   - Style2 2 4 12" xfId="25388"/>
    <cellStyle name="Data   - Style2 2 4 13" xfId="28335"/>
    <cellStyle name="Data   - Style2 2 4 14" xfId="29302"/>
    <cellStyle name="Data   - Style2 2 4 15" xfId="30344"/>
    <cellStyle name="Data   - Style2 2 4 16" xfId="31335"/>
    <cellStyle name="Data   - Style2 2 4 17" xfId="32343"/>
    <cellStyle name="Data   - Style2 2 4 18" xfId="33346"/>
    <cellStyle name="Data   - Style2 2 4 19" xfId="34345"/>
    <cellStyle name="Data   - Style2 2 4 2" xfId="4489"/>
    <cellStyle name="Data   - Style2 2 4 2 10" xfId="24390"/>
    <cellStyle name="Data   - Style2 2 4 2 11" xfId="25389"/>
    <cellStyle name="Data   - Style2 2 4 2 12" xfId="28336"/>
    <cellStyle name="Data   - Style2 2 4 2 13" xfId="29303"/>
    <cellStyle name="Data   - Style2 2 4 2 14" xfId="30345"/>
    <cellStyle name="Data   - Style2 2 4 2 15" xfId="31336"/>
    <cellStyle name="Data   - Style2 2 4 2 16" xfId="32344"/>
    <cellStyle name="Data   - Style2 2 4 2 17" xfId="33347"/>
    <cellStyle name="Data   - Style2 2 4 2 18" xfId="34346"/>
    <cellStyle name="Data   - Style2 2 4 2 19" xfId="35967"/>
    <cellStyle name="Data   - Style2 2 4 2 2" xfId="16371"/>
    <cellStyle name="Data   - Style2 2 4 2 20" xfId="36906"/>
    <cellStyle name="Data   - Style2 2 4 2 3" xfId="17350"/>
    <cellStyle name="Data   - Style2 2 4 2 4" xfId="18376"/>
    <cellStyle name="Data   - Style2 2 4 2 5" xfId="19409"/>
    <cellStyle name="Data   - Style2 2 4 2 6" xfId="20431"/>
    <cellStyle name="Data   - Style2 2 4 2 7" xfId="21442"/>
    <cellStyle name="Data   - Style2 2 4 2 8" xfId="22413"/>
    <cellStyle name="Data   - Style2 2 4 2 9" xfId="23418"/>
    <cellStyle name="Data   - Style2 2 4 20" xfId="35966"/>
    <cellStyle name="Data   - Style2 2 4 21" xfId="36905"/>
    <cellStyle name="Data   - Style2 2 4 3" xfId="16370"/>
    <cellStyle name="Data   - Style2 2 4 4" xfId="17349"/>
    <cellStyle name="Data   - Style2 2 4 5" xfId="18375"/>
    <cellStyle name="Data   - Style2 2 4 6" xfId="19408"/>
    <cellStyle name="Data   - Style2 2 4 7" xfId="20430"/>
    <cellStyle name="Data   - Style2 2 4 8" xfId="21441"/>
    <cellStyle name="Data   - Style2 2 4 9" xfId="22412"/>
    <cellStyle name="Data   - Style2 2 5" xfId="4490"/>
    <cellStyle name="Data   - Style2 2 5 10" xfId="23419"/>
    <cellStyle name="Data   - Style2 2 5 11" xfId="24391"/>
    <cellStyle name="Data   - Style2 2 5 12" xfId="25390"/>
    <cellStyle name="Data   - Style2 2 5 13" xfId="28337"/>
    <cellStyle name="Data   - Style2 2 5 14" xfId="29304"/>
    <cellStyle name="Data   - Style2 2 5 15" xfId="30346"/>
    <cellStyle name="Data   - Style2 2 5 16" xfId="31337"/>
    <cellStyle name="Data   - Style2 2 5 17" xfId="32345"/>
    <cellStyle name="Data   - Style2 2 5 18" xfId="33348"/>
    <cellStyle name="Data   - Style2 2 5 19" xfId="34347"/>
    <cellStyle name="Data   - Style2 2 5 2" xfId="4491"/>
    <cellStyle name="Data   - Style2 2 5 2 10" xfId="24392"/>
    <cellStyle name="Data   - Style2 2 5 2 11" xfId="25391"/>
    <cellStyle name="Data   - Style2 2 5 2 12" xfId="28338"/>
    <cellStyle name="Data   - Style2 2 5 2 13" xfId="29305"/>
    <cellStyle name="Data   - Style2 2 5 2 14" xfId="30347"/>
    <cellStyle name="Data   - Style2 2 5 2 15" xfId="31338"/>
    <cellStyle name="Data   - Style2 2 5 2 16" xfId="32346"/>
    <cellStyle name="Data   - Style2 2 5 2 17" xfId="33349"/>
    <cellStyle name="Data   - Style2 2 5 2 18" xfId="34348"/>
    <cellStyle name="Data   - Style2 2 5 2 19" xfId="35969"/>
    <cellStyle name="Data   - Style2 2 5 2 2" xfId="16373"/>
    <cellStyle name="Data   - Style2 2 5 2 20" xfId="36908"/>
    <cellStyle name="Data   - Style2 2 5 2 3" xfId="17352"/>
    <cellStyle name="Data   - Style2 2 5 2 4" xfId="18378"/>
    <cellStyle name="Data   - Style2 2 5 2 5" xfId="19411"/>
    <cellStyle name="Data   - Style2 2 5 2 6" xfId="20433"/>
    <cellStyle name="Data   - Style2 2 5 2 7" xfId="21444"/>
    <cellStyle name="Data   - Style2 2 5 2 8" xfId="22415"/>
    <cellStyle name="Data   - Style2 2 5 2 9" xfId="23420"/>
    <cellStyle name="Data   - Style2 2 5 20" xfId="35968"/>
    <cellStyle name="Data   - Style2 2 5 21" xfId="36907"/>
    <cellStyle name="Data   - Style2 2 5 3" xfId="16372"/>
    <cellStyle name="Data   - Style2 2 5 4" xfId="17351"/>
    <cellStyle name="Data   - Style2 2 5 5" xfId="18377"/>
    <cellStyle name="Data   - Style2 2 5 6" xfId="19410"/>
    <cellStyle name="Data   - Style2 2 5 7" xfId="20432"/>
    <cellStyle name="Data   - Style2 2 5 8" xfId="21443"/>
    <cellStyle name="Data   - Style2 2 5 9" xfId="22414"/>
    <cellStyle name="Data   - Style2 2 6" xfId="4492"/>
    <cellStyle name="Data   - Style2 2 6 10" xfId="24393"/>
    <cellStyle name="Data   - Style2 2 6 11" xfId="25392"/>
    <cellStyle name="Data   - Style2 2 6 12" xfId="28339"/>
    <cellStyle name="Data   - Style2 2 6 13" xfId="29306"/>
    <cellStyle name="Data   - Style2 2 6 14" xfId="30348"/>
    <cellStyle name="Data   - Style2 2 6 15" xfId="31339"/>
    <cellStyle name="Data   - Style2 2 6 16" xfId="32347"/>
    <cellStyle name="Data   - Style2 2 6 17" xfId="33350"/>
    <cellStyle name="Data   - Style2 2 6 18" xfId="34349"/>
    <cellStyle name="Data   - Style2 2 6 19" xfId="35970"/>
    <cellStyle name="Data   - Style2 2 6 2" xfId="16374"/>
    <cellStyle name="Data   - Style2 2 6 20" xfId="36909"/>
    <cellStyle name="Data   - Style2 2 6 3" xfId="17353"/>
    <cellStyle name="Data   - Style2 2 6 4" xfId="18379"/>
    <cellStyle name="Data   - Style2 2 6 5" xfId="19412"/>
    <cellStyle name="Data   - Style2 2 6 6" xfId="20434"/>
    <cellStyle name="Data   - Style2 2 6 7" xfId="21445"/>
    <cellStyle name="Data   - Style2 2 6 8" xfId="22416"/>
    <cellStyle name="Data   - Style2 2 6 9" xfId="23421"/>
    <cellStyle name="Data   - Style2 2 7" xfId="13737"/>
    <cellStyle name="Data   - Style2 2 8" xfId="14797"/>
    <cellStyle name="Data   - Style2 2 9" xfId="13922"/>
    <cellStyle name="Data   - Style2 3" xfId="4493"/>
    <cellStyle name="Data   - Style2 3 10" xfId="15482"/>
    <cellStyle name="Data   - Style2 3 11" xfId="26779"/>
    <cellStyle name="Data   - Style2 3 12" xfId="26621"/>
    <cellStyle name="Data   - Style2 3 13" xfId="26265"/>
    <cellStyle name="Data   - Style2 3 2" xfId="4494"/>
    <cellStyle name="Data   - Style2 3 2 10" xfId="23422"/>
    <cellStyle name="Data   - Style2 3 2 11" xfId="24394"/>
    <cellStyle name="Data   - Style2 3 2 12" xfId="25393"/>
    <cellStyle name="Data   - Style2 3 2 13" xfId="28340"/>
    <cellStyle name="Data   - Style2 3 2 14" xfId="29307"/>
    <cellStyle name="Data   - Style2 3 2 15" xfId="30349"/>
    <cellStyle name="Data   - Style2 3 2 16" xfId="31340"/>
    <cellStyle name="Data   - Style2 3 2 17" xfId="32348"/>
    <cellStyle name="Data   - Style2 3 2 18" xfId="33351"/>
    <cellStyle name="Data   - Style2 3 2 19" xfId="34350"/>
    <cellStyle name="Data   - Style2 3 2 2" xfId="4495"/>
    <cellStyle name="Data   - Style2 3 2 2 10" xfId="24395"/>
    <cellStyle name="Data   - Style2 3 2 2 11" xfId="25394"/>
    <cellStyle name="Data   - Style2 3 2 2 12" xfId="28341"/>
    <cellStyle name="Data   - Style2 3 2 2 13" xfId="29308"/>
    <cellStyle name="Data   - Style2 3 2 2 14" xfId="30350"/>
    <cellStyle name="Data   - Style2 3 2 2 15" xfId="31341"/>
    <cellStyle name="Data   - Style2 3 2 2 16" xfId="32349"/>
    <cellStyle name="Data   - Style2 3 2 2 17" xfId="33352"/>
    <cellStyle name="Data   - Style2 3 2 2 18" xfId="34351"/>
    <cellStyle name="Data   - Style2 3 2 2 19" xfId="35972"/>
    <cellStyle name="Data   - Style2 3 2 2 2" xfId="16376"/>
    <cellStyle name="Data   - Style2 3 2 2 20" xfId="36911"/>
    <cellStyle name="Data   - Style2 3 2 2 3" xfId="17355"/>
    <cellStyle name="Data   - Style2 3 2 2 4" xfId="18381"/>
    <cellStyle name="Data   - Style2 3 2 2 5" xfId="19414"/>
    <cellStyle name="Data   - Style2 3 2 2 6" xfId="20436"/>
    <cellStyle name="Data   - Style2 3 2 2 7" xfId="21447"/>
    <cellStyle name="Data   - Style2 3 2 2 8" xfId="22418"/>
    <cellStyle name="Data   - Style2 3 2 2 9" xfId="23423"/>
    <cellStyle name="Data   - Style2 3 2 20" xfId="35971"/>
    <cellStyle name="Data   - Style2 3 2 21" xfId="36910"/>
    <cellStyle name="Data   - Style2 3 2 3" xfId="16375"/>
    <cellStyle name="Data   - Style2 3 2 4" xfId="17354"/>
    <cellStyle name="Data   - Style2 3 2 5" xfId="18380"/>
    <cellStyle name="Data   - Style2 3 2 6" xfId="19413"/>
    <cellStyle name="Data   - Style2 3 2 7" xfId="20435"/>
    <cellStyle name="Data   - Style2 3 2 8" xfId="21446"/>
    <cellStyle name="Data   - Style2 3 2 9" xfId="22417"/>
    <cellStyle name="Data   - Style2 3 3" xfId="4496"/>
    <cellStyle name="Data   - Style2 3 3 10" xfId="23424"/>
    <cellStyle name="Data   - Style2 3 3 11" xfId="24396"/>
    <cellStyle name="Data   - Style2 3 3 12" xfId="25395"/>
    <cellStyle name="Data   - Style2 3 3 13" xfId="28342"/>
    <cellStyle name="Data   - Style2 3 3 14" xfId="29309"/>
    <cellStyle name="Data   - Style2 3 3 15" xfId="30351"/>
    <cellStyle name="Data   - Style2 3 3 16" xfId="31342"/>
    <cellStyle name="Data   - Style2 3 3 17" xfId="32350"/>
    <cellStyle name="Data   - Style2 3 3 18" xfId="33353"/>
    <cellStyle name="Data   - Style2 3 3 19" xfId="34352"/>
    <cellStyle name="Data   - Style2 3 3 2" xfId="4497"/>
    <cellStyle name="Data   - Style2 3 3 2 10" xfId="24397"/>
    <cellStyle name="Data   - Style2 3 3 2 11" xfId="25396"/>
    <cellStyle name="Data   - Style2 3 3 2 12" xfId="28343"/>
    <cellStyle name="Data   - Style2 3 3 2 13" xfId="29310"/>
    <cellStyle name="Data   - Style2 3 3 2 14" xfId="30352"/>
    <cellStyle name="Data   - Style2 3 3 2 15" xfId="31343"/>
    <cellStyle name="Data   - Style2 3 3 2 16" xfId="32351"/>
    <cellStyle name="Data   - Style2 3 3 2 17" xfId="33354"/>
    <cellStyle name="Data   - Style2 3 3 2 18" xfId="34353"/>
    <cellStyle name="Data   - Style2 3 3 2 19" xfId="35974"/>
    <cellStyle name="Data   - Style2 3 3 2 2" xfId="16378"/>
    <cellStyle name="Data   - Style2 3 3 2 20" xfId="36913"/>
    <cellStyle name="Data   - Style2 3 3 2 3" xfId="17357"/>
    <cellStyle name="Data   - Style2 3 3 2 4" xfId="18383"/>
    <cellStyle name="Data   - Style2 3 3 2 5" xfId="19416"/>
    <cellStyle name="Data   - Style2 3 3 2 6" xfId="20438"/>
    <cellStyle name="Data   - Style2 3 3 2 7" xfId="21449"/>
    <cellStyle name="Data   - Style2 3 3 2 8" xfId="22420"/>
    <cellStyle name="Data   - Style2 3 3 2 9" xfId="23425"/>
    <cellStyle name="Data   - Style2 3 3 20" xfId="35973"/>
    <cellStyle name="Data   - Style2 3 3 21" xfId="36912"/>
    <cellStyle name="Data   - Style2 3 3 3" xfId="16377"/>
    <cellStyle name="Data   - Style2 3 3 4" xfId="17356"/>
    <cellStyle name="Data   - Style2 3 3 5" xfId="18382"/>
    <cellStyle name="Data   - Style2 3 3 6" xfId="19415"/>
    <cellStyle name="Data   - Style2 3 3 7" xfId="20437"/>
    <cellStyle name="Data   - Style2 3 3 8" xfId="21448"/>
    <cellStyle name="Data   - Style2 3 3 9" xfId="22419"/>
    <cellStyle name="Data   - Style2 3 4" xfId="4498"/>
    <cellStyle name="Data   - Style2 3 4 10" xfId="23426"/>
    <cellStyle name="Data   - Style2 3 4 11" xfId="24398"/>
    <cellStyle name="Data   - Style2 3 4 12" xfId="25397"/>
    <cellStyle name="Data   - Style2 3 4 13" xfId="28344"/>
    <cellStyle name="Data   - Style2 3 4 14" xfId="29311"/>
    <cellStyle name="Data   - Style2 3 4 15" xfId="30353"/>
    <cellStyle name="Data   - Style2 3 4 16" xfId="31344"/>
    <cellStyle name="Data   - Style2 3 4 17" xfId="32352"/>
    <cellStyle name="Data   - Style2 3 4 18" xfId="33355"/>
    <cellStyle name="Data   - Style2 3 4 19" xfId="34354"/>
    <cellStyle name="Data   - Style2 3 4 2" xfId="4499"/>
    <cellStyle name="Data   - Style2 3 4 2 10" xfId="24399"/>
    <cellStyle name="Data   - Style2 3 4 2 11" xfId="25398"/>
    <cellStyle name="Data   - Style2 3 4 2 12" xfId="28345"/>
    <cellStyle name="Data   - Style2 3 4 2 13" xfId="29312"/>
    <cellStyle name="Data   - Style2 3 4 2 14" xfId="30354"/>
    <cellStyle name="Data   - Style2 3 4 2 15" xfId="31345"/>
    <cellStyle name="Data   - Style2 3 4 2 16" xfId="32353"/>
    <cellStyle name="Data   - Style2 3 4 2 17" xfId="33356"/>
    <cellStyle name="Data   - Style2 3 4 2 18" xfId="34355"/>
    <cellStyle name="Data   - Style2 3 4 2 19" xfId="35976"/>
    <cellStyle name="Data   - Style2 3 4 2 2" xfId="16380"/>
    <cellStyle name="Data   - Style2 3 4 2 20" xfId="36915"/>
    <cellStyle name="Data   - Style2 3 4 2 3" xfId="17359"/>
    <cellStyle name="Data   - Style2 3 4 2 4" xfId="18385"/>
    <cellStyle name="Data   - Style2 3 4 2 5" xfId="19418"/>
    <cellStyle name="Data   - Style2 3 4 2 6" xfId="20440"/>
    <cellStyle name="Data   - Style2 3 4 2 7" xfId="21451"/>
    <cellStyle name="Data   - Style2 3 4 2 8" xfId="22422"/>
    <cellStyle name="Data   - Style2 3 4 2 9" xfId="23427"/>
    <cellStyle name="Data   - Style2 3 4 20" xfId="35975"/>
    <cellStyle name="Data   - Style2 3 4 21" xfId="36914"/>
    <cellStyle name="Data   - Style2 3 4 3" xfId="16379"/>
    <cellStyle name="Data   - Style2 3 4 4" xfId="17358"/>
    <cellStyle name="Data   - Style2 3 4 5" xfId="18384"/>
    <cellStyle name="Data   - Style2 3 4 6" xfId="19417"/>
    <cellStyle name="Data   - Style2 3 4 7" xfId="20439"/>
    <cellStyle name="Data   - Style2 3 4 8" xfId="21450"/>
    <cellStyle name="Data   - Style2 3 4 9" xfId="22421"/>
    <cellStyle name="Data   - Style2 3 5" xfId="4500"/>
    <cellStyle name="Data   - Style2 3 5 10" xfId="23428"/>
    <cellStyle name="Data   - Style2 3 5 11" xfId="24400"/>
    <cellStyle name="Data   - Style2 3 5 12" xfId="25399"/>
    <cellStyle name="Data   - Style2 3 5 13" xfId="28346"/>
    <cellStyle name="Data   - Style2 3 5 14" xfId="29313"/>
    <cellStyle name="Data   - Style2 3 5 15" xfId="30355"/>
    <cellStyle name="Data   - Style2 3 5 16" xfId="31346"/>
    <cellStyle name="Data   - Style2 3 5 17" xfId="32354"/>
    <cellStyle name="Data   - Style2 3 5 18" xfId="33357"/>
    <cellStyle name="Data   - Style2 3 5 19" xfId="34356"/>
    <cellStyle name="Data   - Style2 3 5 2" xfId="4501"/>
    <cellStyle name="Data   - Style2 3 5 2 10" xfId="24401"/>
    <cellStyle name="Data   - Style2 3 5 2 11" xfId="25400"/>
    <cellStyle name="Data   - Style2 3 5 2 12" xfId="28347"/>
    <cellStyle name="Data   - Style2 3 5 2 13" xfId="29314"/>
    <cellStyle name="Data   - Style2 3 5 2 14" xfId="30356"/>
    <cellStyle name="Data   - Style2 3 5 2 15" xfId="31347"/>
    <cellStyle name="Data   - Style2 3 5 2 16" xfId="32355"/>
    <cellStyle name="Data   - Style2 3 5 2 17" xfId="33358"/>
    <cellStyle name="Data   - Style2 3 5 2 18" xfId="34357"/>
    <cellStyle name="Data   - Style2 3 5 2 19" xfId="35978"/>
    <cellStyle name="Data   - Style2 3 5 2 2" xfId="16382"/>
    <cellStyle name="Data   - Style2 3 5 2 20" xfId="36917"/>
    <cellStyle name="Data   - Style2 3 5 2 3" xfId="17361"/>
    <cellStyle name="Data   - Style2 3 5 2 4" xfId="18387"/>
    <cellStyle name="Data   - Style2 3 5 2 5" xfId="19420"/>
    <cellStyle name="Data   - Style2 3 5 2 6" xfId="20442"/>
    <cellStyle name="Data   - Style2 3 5 2 7" xfId="21453"/>
    <cellStyle name="Data   - Style2 3 5 2 8" xfId="22424"/>
    <cellStyle name="Data   - Style2 3 5 2 9" xfId="23429"/>
    <cellStyle name="Data   - Style2 3 5 20" xfId="35977"/>
    <cellStyle name="Data   - Style2 3 5 21" xfId="36916"/>
    <cellStyle name="Data   - Style2 3 5 3" xfId="16381"/>
    <cellStyle name="Data   - Style2 3 5 4" xfId="17360"/>
    <cellStyle name="Data   - Style2 3 5 5" xfId="18386"/>
    <cellStyle name="Data   - Style2 3 5 6" xfId="19419"/>
    <cellStyle name="Data   - Style2 3 5 7" xfId="20441"/>
    <cellStyle name="Data   - Style2 3 5 8" xfId="21452"/>
    <cellStyle name="Data   - Style2 3 5 9" xfId="22423"/>
    <cellStyle name="Data   - Style2 3 6" xfId="4502"/>
    <cellStyle name="Data   - Style2 3 6 10" xfId="24402"/>
    <cellStyle name="Data   - Style2 3 6 11" xfId="25401"/>
    <cellStyle name="Data   - Style2 3 6 12" xfId="28348"/>
    <cellStyle name="Data   - Style2 3 6 13" xfId="29315"/>
    <cellStyle name="Data   - Style2 3 6 14" xfId="30357"/>
    <cellStyle name="Data   - Style2 3 6 15" xfId="31348"/>
    <cellStyle name="Data   - Style2 3 6 16" xfId="32356"/>
    <cellStyle name="Data   - Style2 3 6 17" xfId="33359"/>
    <cellStyle name="Data   - Style2 3 6 18" xfId="34358"/>
    <cellStyle name="Data   - Style2 3 6 19" xfId="35979"/>
    <cellStyle name="Data   - Style2 3 6 2" xfId="16383"/>
    <cellStyle name="Data   - Style2 3 6 20" xfId="36918"/>
    <cellStyle name="Data   - Style2 3 6 3" xfId="17362"/>
    <cellStyle name="Data   - Style2 3 6 4" xfId="18388"/>
    <cellStyle name="Data   - Style2 3 6 5" xfId="19421"/>
    <cellStyle name="Data   - Style2 3 6 6" xfId="20443"/>
    <cellStyle name="Data   - Style2 3 6 7" xfId="21454"/>
    <cellStyle name="Data   - Style2 3 6 8" xfId="22425"/>
    <cellStyle name="Data   - Style2 3 6 9" xfId="23430"/>
    <cellStyle name="Data   - Style2 3 7" xfId="13539"/>
    <cellStyle name="Data   - Style2 3 8" xfId="13920"/>
    <cellStyle name="Data   - Style2 3 9" xfId="15363"/>
    <cellStyle name="Data   - Style2 4" xfId="4503"/>
    <cellStyle name="Data   - Style2 4 10" xfId="13889"/>
    <cellStyle name="Data   - Style2 4 11" xfId="25966"/>
    <cellStyle name="Data   - Style2 4 12" xfId="26680"/>
    <cellStyle name="Data   - Style2 4 13" xfId="27440"/>
    <cellStyle name="Data   - Style2 4 2" xfId="4504"/>
    <cellStyle name="Data   - Style2 4 2 10" xfId="23431"/>
    <cellStyle name="Data   - Style2 4 2 11" xfId="24403"/>
    <cellStyle name="Data   - Style2 4 2 12" xfId="25402"/>
    <cellStyle name="Data   - Style2 4 2 13" xfId="28349"/>
    <cellStyle name="Data   - Style2 4 2 14" xfId="29316"/>
    <cellStyle name="Data   - Style2 4 2 15" xfId="30358"/>
    <cellStyle name="Data   - Style2 4 2 16" xfId="31349"/>
    <cellStyle name="Data   - Style2 4 2 17" xfId="32357"/>
    <cellStyle name="Data   - Style2 4 2 18" xfId="33360"/>
    <cellStyle name="Data   - Style2 4 2 19" xfId="34359"/>
    <cellStyle name="Data   - Style2 4 2 2" xfId="4505"/>
    <cellStyle name="Data   - Style2 4 2 2 10" xfId="24404"/>
    <cellStyle name="Data   - Style2 4 2 2 11" xfId="25403"/>
    <cellStyle name="Data   - Style2 4 2 2 12" xfId="28350"/>
    <cellStyle name="Data   - Style2 4 2 2 13" xfId="29317"/>
    <cellStyle name="Data   - Style2 4 2 2 14" xfId="30359"/>
    <cellStyle name="Data   - Style2 4 2 2 15" xfId="31350"/>
    <cellStyle name="Data   - Style2 4 2 2 16" xfId="32358"/>
    <cellStyle name="Data   - Style2 4 2 2 17" xfId="33361"/>
    <cellStyle name="Data   - Style2 4 2 2 18" xfId="34360"/>
    <cellStyle name="Data   - Style2 4 2 2 19" xfId="35981"/>
    <cellStyle name="Data   - Style2 4 2 2 2" xfId="16385"/>
    <cellStyle name="Data   - Style2 4 2 2 20" xfId="36920"/>
    <cellStyle name="Data   - Style2 4 2 2 3" xfId="17364"/>
    <cellStyle name="Data   - Style2 4 2 2 4" xfId="18390"/>
    <cellStyle name="Data   - Style2 4 2 2 5" xfId="19423"/>
    <cellStyle name="Data   - Style2 4 2 2 6" xfId="20445"/>
    <cellStyle name="Data   - Style2 4 2 2 7" xfId="21456"/>
    <cellStyle name="Data   - Style2 4 2 2 8" xfId="22427"/>
    <cellStyle name="Data   - Style2 4 2 2 9" xfId="23432"/>
    <cellStyle name="Data   - Style2 4 2 20" xfId="35980"/>
    <cellStyle name="Data   - Style2 4 2 21" xfId="36919"/>
    <cellStyle name="Data   - Style2 4 2 3" xfId="16384"/>
    <cellStyle name="Data   - Style2 4 2 4" xfId="17363"/>
    <cellStyle name="Data   - Style2 4 2 5" xfId="18389"/>
    <cellStyle name="Data   - Style2 4 2 6" xfId="19422"/>
    <cellStyle name="Data   - Style2 4 2 7" xfId="20444"/>
    <cellStyle name="Data   - Style2 4 2 8" xfId="21455"/>
    <cellStyle name="Data   - Style2 4 2 9" xfId="22426"/>
    <cellStyle name="Data   - Style2 4 3" xfId="4506"/>
    <cellStyle name="Data   - Style2 4 3 10" xfId="23433"/>
    <cellStyle name="Data   - Style2 4 3 11" xfId="24405"/>
    <cellStyle name="Data   - Style2 4 3 12" xfId="25404"/>
    <cellStyle name="Data   - Style2 4 3 13" xfId="28351"/>
    <cellStyle name="Data   - Style2 4 3 14" xfId="29318"/>
    <cellStyle name="Data   - Style2 4 3 15" xfId="30360"/>
    <cellStyle name="Data   - Style2 4 3 16" xfId="31351"/>
    <cellStyle name="Data   - Style2 4 3 17" xfId="32359"/>
    <cellStyle name="Data   - Style2 4 3 18" xfId="33362"/>
    <cellStyle name="Data   - Style2 4 3 19" xfId="34361"/>
    <cellStyle name="Data   - Style2 4 3 2" xfId="4507"/>
    <cellStyle name="Data   - Style2 4 3 2 10" xfId="24406"/>
    <cellStyle name="Data   - Style2 4 3 2 11" xfId="25405"/>
    <cellStyle name="Data   - Style2 4 3 2 12" xfId="28352"/>
    <cellStyle name="Data   - Style2 4 3 2 13" xfId="29319"/>
    <cellStyle name="Data   - Style2 4 3 2 14" xfId="30361"/>
    <cellStyle name="Data   - Style2 4 3 2 15" xfId="31352"/>
    <cellStyle name="Data   - Style2 4 3 2 16" xfId="32360"/>
    <cellStyle name="Data   - Style2 4 3 2 17" xfId="33363"/>
    <cellStyle name="Data   - Style2 4 3 2 18" xfId="34362"/>
    <cellStyle name="Data   - Style2 4 3 2 19" xfId="35983"/>
    <cellStyle name="Data   - Style2 4 3 2 2" xfId="16387"/>
    <cellStyle name="Data   - Style2 4 3 2 20" xfId="36922"/>
    <cellStyle name="Data   - Style2 4 3 2 3" xfId="17366"/>
    <cellStyle name="Data   - Style2 4 3 2 4" xfId="18392"/>
    <cellStyle name="Data   - Style2 4 3 2 5" xfId="19425"/>
    <cellStyle name="Data   - Style2 4 3 2 6" xfId="20447"/>
    <cellStyle name="Data   - Style2 4 3 2 7" xfId="21458"/>
    <cellStyle name="Data   - Style2 4 3 2 8" xfId="22429"/>
    <cellStyle name="Data   - Style2 4 3 2 9" xfId="23434"/>
    <cellStyle name="Data   - Style2 4 3 20" xfId="35982"/>
    <cellStyle name="Data   - Style2 4 3 21" xfId="36921"/>
    <cellStyle name="Data   - Style2 4 3 3" xfId="16386"/>
    <cellStyle name="Data   - Style2 4 3 4" xfId="17365"/>
    <cellStyle name="Data   - Style2 4 3 5" xfId="18391"/>
    <cellStyle name="Data   - Style2 4 3 6" xfId="19424"/>
    <cellStyle name="Data   - Style2 4 3 7" xfId="20446"/>
    <cellStyle name="Data   - Style2 4 3 8" xfId="21457"/>
    <cellStyle name="Data   - Style2 4 3 9" xfId="22428"/>
    <cellStyle name="Data   - Style2 4 4" xfId="4508"/>
    <cellStyle name="Data   - Style2 4 4 10" xfId="23435"/>
    <cellStyle name="Data   - Style2 4 4 11" xfId="24407"/>
    <cellStyle name="Data   - Style2 4 4 12" xfId="25406"/>
    <cellStyle name="Data   - Style2 4 4 13" xfId="28353"/>
    <cellStyle name="Data   - Style2 4 4 14" xfId="29320"/>
    <cellStyle name="Data   - Style2 4 4 15" xfId="30362"/>
    <cellStyle name="Data   - Style2 4 4 16" xfId="31353"/>
    <cellStyle name="Data   - Style2 4 4 17" xfId="32361"/>
    <cellStyle name="Data   - Style2 4 4 18" xfId="33364"/>
    <cellStyle name="Data   - Style2 4 4 19" xfId="34363"/>
    <cellStyle name="Data   - Style2 4 4 2" xfId="4509"/>
    <cellStyle name="Data   - Style2 4 4 2 10" xfId="24408"/>
    <cellStyle name="Data   - Style2 4 4 2 11" xfId="25407"/>
    <cellStyle name="Data   - Style2 4 4 2 12" xfId="28354"/>
    <cellStyle name="Data   - Style2 4 4 2 13" xfId="29321"/>
    <cellStyle name="Data   - Style2 4 4 2 14" xfId="30363"/>
    <cellStyle name="Data   - Style2 4 4 2 15" xfId="31354"/>
    <cellStyle name="Data   - Style2 4 4 2 16" xfId="32362"/>
    <cellStyle name="Data   - Style2 4 4 2 17" xfId="33365"/>
    <cellStyle name="Data   - Style2 4 4 2 18" xfId="34364"/>
    <cellStyle name="Data   - Style2 4 4 2 19" xfId="35985"/>
    <cellStyle name="Data   - Style2 4 4 2 2" xfId="16389"/>
    <cellStyle name="Data   - Style2 4 4 2 20" xfId="36924"/>
    <cellStyle name="Data   - Style2 4 4 2 3" xfId="17368"/>
    <cellStyle name="Data   - Style2 4 4 2 4" xfId="18394"/>
    <cellStyle name="Data   - Style2 4 4 2 5" xfId="19427"/>
    <cellStyle name="Data   - Style2 4 4 2 6" xfId="20449"/>
    <cellStyle name="Data   - Style2 4 4 2 7" xfId="21460"/>
    <cellStyle name="Data   - Style2 4 4 2 8" xfId="22431"/>
    <cellStyle name="Data   - Style2 4 4 2 9" xfId="23436"/>
    <cellStyle name="Data   - Style2 4 4 20" xfId="35984"/>
    <cellStyle name="Data   - Style2 4 4 21" xfId="36923"/>
    <cellStyle name="Data   - Style2 4 4 3" xfId="16388"/>
    <cellStyle name="Data   - Style2 4 4 4" xfId="17367"/>
    <cellStyle name="Data   - Style2 4 4 5" xfId="18393"/>
    <cellStyle name="Data   - Style2 4 4 6" xfId="19426"/>
    <cellStyle name="Data   - Style2 4 4 7" xfId="20448"/>
    <cellStyle name="Data   - Style2 4 4 8" xfId="21459"/>
    <cellStyle name="Data   - Style2 4 4 9" xfId="22430"/>
    <cellStyle name="Data   - Style2 4 5" xfId="4510"/>
    <cellStyle name="Data   - Style2 4 5 10" xfId="23437"/>
    <cellStyle name="Data   - Style2 4 5 11" xfId="24409"/>
    <cellStyle name="Data   - Style2 4 5 12" xfId="25408"/>
    <cellStyle name="Data   - Style2 4 5 13" xfId="28355"/>
    <cellStyle name="Data   - Style2 4 5 14" xfId="29322"/>
    <cellStyle name="Data   - Style2 4 5 15" xfId="30364"/>
    <cellStyle name="Data   - Style2 4 5 16" xfId="31355"/>
    <cellStyle name="Data   - Style2 4 5 17" xfId="32363"/>
    <cellStyle name="Data   - Style2 4 5 18" xfId="33366"/>
    <cellStyle name="Data   - Style2 4 5 19" xfId="34365"/>
    <cellStyle name="Data   - Style2 4 5 2" xfId="4511"/>
    <cellStyle name="Data   - Style2 4 5 2 10" xfId="24410"/>
    <cellStyle name="Data   - Style2 4 5 2 11" xfId="25409"/>
    <cellStyle name="Data   - Style2 4 5 2 12" xfId="28356"/>
    <cellStyle name="Data   - Style2 4 5 2 13" xfId="29323"/>
    <cellStyle name="Data   - Style2 4 5 2 14" xfId="30365"/>
    <cellStyle name="Data   - Style2 4 5 2 15" xfId="31356"/>
    <cellStyle name="Data   - Style2 4 5 2 16" xfId="32364"/>
    <cellStyle name="Data   - Style2 4 5 2 17" xfId="33367"/>
    <cellStyle name="Data   - Style2 4 5 2 18" xfId="34366"/>
    <cellStyle name="Data   - Style2 4 5 2 19" xfId="35987"/>
    <cellStyle name="Data   - Style2 4 5 2 2" xfId="16391"/>
    <cellStyle name="Data   - Style2 4 5 2 20" xfId="36926"/>
    <cellStyle name="Data   - Style2 4 5 2 3" xfId="17370"/>
    <cellStyle name="Data   - Style2 4 5 2 4" xfId="18396"/>
    <cellStyle name="Data   - Style2 4 5 2 5" xfId="19429"/>
    <cellStyle name="Data   - Style2 4 5 2 6" xfId="20451"/>
    <cellStyle name="Data   - Style2 4 5 2 7" xfId="21462"/>
    <cellStyle name="Data   - Style2 4 5 2 8" xfId="22433"/>
    <cellStyle name="Data   - Style2 4 5 2 9" xfId="23438"/>
    <cellStyle name="Data   - Style2 4 5 20" xfId="35986"/>
    <cellStyle name="Data   - Style2 4 5 21" xfId="36925"/>
    <cellStyle name="Data   - Style2 4 5 3" xfId="16390"/>
    <cellStyle name="Data   - Style2 4 5 4" xfId="17369"/>
    <cellStyle name="Data   - Style2 4 5 5" xfId="18395"/>
    <cellStyle name="Data   - Style2 4 5 6" xfId="19428"/>
    <cellStyle name="Data   - Style2 4 5 7" xfId="20450"/>
    <cellStyle name="Data   - Style2 4 5 8" xfId="21461"/>
    <cellStyle name="Data   - Style2 4 5 9" xfId="22432"/>
    <cellStyle name="Data   - Style2 4 6" xfId="4512"/>
    <cellStyle name="Data   - Style2 4 6 10" xfId="24411"/>
    <cellStyle name="Data   - Style2 4 6 11" xfId="25410"/>
    <cellStyle name="Data   - Style2 4 6 12" xfId="28357"/>
    <cellStyle name="Data   - Style2 4 6 13" xfId="29324"/>
    <cellStyle name="Data   - Style2 4 6 14" xfId="30366"/>
    <cellStyle name="Data   - Style2 4 6 15" xfId="31357"/>
    <cellStyle name="Data   - Style2 4 6 16" xfId="32365"/>
    <cellStyle name="Data   - Style2 4 6 17" xfId="33368"/>
    <cellStyle name="Data   - Style2 4 6 18" xfId="34367"/>
    <cellStyle name="Data   - Style2 4 6 19" xfId="35988"/>
    <cellStyle name="Data   - Style2 4 6 2" xfId="16392"/>
    <cellStyle name="Data   - Style2 4 6 20" xfId="36927"/>
    <cellStyle name="Data   - Style2 4 6 3" xfId="17371"/>
    <cellStyle name="Data   - Style2 4 6 4" xfId="18397"/>
    <cellStyle name="Data   - Style2 4 6 5" xfId="19430"/>
    <cellStyle name="Data   - Style2 4 6 6" xfId="20452"/>
    <cellStyle name="Data   - Style2 4 6 7" xfId="21463"/>
    <cellStyle name="Data   - Style2 4 6 8" xfId="22434"/>
    <cellStyle name="Data   - Style2 4 6 9" xfId="23439"/>
    <cellStyle name="Data   - Style2 4 7" xfId="15207"/>
    <cellStyle name="Data   - Style2 4 8" xfId="13822"/>
    <cellStyle name="Data   - Style2 4 9" xfId="14171"/>
    <cellStyle name="Data   - Style2 5" xfId="4513"/>
    <cellStyle name="Data   - Style2 5 10" xfId="15320"/>
    <cellStyle name="Data   - Style2 5 11" xfId="26196"/>
    <cellStyle name="Data   - Style2 5 12" xfId="27471"/>
    <cellStyle name="Data   - Style2 5 13" xfId="27747"/>
    <cellStyle name="Data   - Style2 5 2" xfId="4514"/>
    <cellStyle name="Data   - Style2 5 2 10" xfId="23440"/>
    <cellStyle name="Data   - Style2 5 2 11" xfId="24412"/>
    <cellStyle name="Data   - Style2 5 2 12" xfId="25411"/>
    <cellStyle name="Data   - Style2 5 2 13" xfId="28358"/>
    <cellStyle name="Data   - Style2 5 2 14" xfId="29325"/>
    <cellStyle name="Data   - Style2 5 2 15" xfId="30367"/>
    <cellStyle name="Data   - Style2 5 2 16" xfId="31358"/>
    <cellStyle name="Data   - Style2 5 2 17" xfId="32366"/>
    <cellStyle name="Data   - Style2 5 2 18" xfId="33369"/>
    <cellStyle name="Data   - Style2 5 2 19" xfId="34368"/>
    <cellStyle name="Data   - Style2 5 2 2" xfId="4515"/>
    <cellStyle name="Data   - Style2 5 2 2 10" xfId="24413"/>
    <cellStyle name="Data   - Style2 5 2 2 11" xfId="25412"/>
    <cellStyle name="Data   - Style2 5 2 2 12" xfId="28359"/>
    <cellStyle name="Data   - Style2 5 2 2 13" xfId="29326"/>
    <cellStyle name="Data   - Style2 5 2 2 14" xfId="30368"/>
    <cellStyle name="Data   - Style2 5 2 2 15" xfId="31359"/>
    <cellStyle name="Data   - Style2 5 2 2 16" xfId="32367"/>
    <cellStyle name="Data   - Style2 5 2 2 17" xfId="33370"/>
    <cellStyle name="Data   - Style2 5 2 2 18" xfId="34369"/>
    <cellStyle name="Data   - Style2 5 2 2 19" xfId="35990"/>
    <cellStyle name="Data   - Style2 5 2 2 2" xfId="16394"/>
    <cellStyle name="Data   - Style2 5 2 2 20" xfId="36929"/>
    <cellStyle name="Data   - Style2 5 2 2 3" xfId="17373"/>
    <cellStyle name="Data   - Style2 5 2 2 4" xfId="18399"/>
    <cellStyle name="Data   - Style2 5 2 2 5" xfId="19432"/>
    <cellStyle name="Data   - Style2 5 2 2 6" xfId="20454"/>
    <cellStyle name="Data   - Style2 5 2 2 7" xfId="21465"/>
    <cellStyle name="Data   - Style2 5 2 2 8" xfId="22436"/>
    <cellStyle name="Data   - Style2 5 2 2 9" xfId="23441"/>
    <cellStyle name="Data   - Style2 5 2 20" xfId="35989"/>
    <cellStyle name="Data   - Style2 5 2 21" xfId="36928"/>
    <cellStyle name="Data   - Style2 5 2 3" xfId="16393"/>
    <cellStyle name="Data   - Style2 5 2 4" xfId="17372"/>
    <cellStyle name="Data   - Style2 5 2 5" xfId="18398"/>
    <cellStyle name="Data   - Style2 5 2 6" xfId="19431"/>
    <cellStyle name="Data   - Style2 5 2 7" xfId="20453"/>
    <cellStyle name="Data   - Style2 5 2 8" xfId="21464"/>
    <cellStyle name="Data   - Style2 5 2 9" xfId="22435"/>
    <cellStyle name="Data   - Style2 5 3" xfId="4516"/>
    <cellStyle name="Data   - Style2 5 3 10" xfId="23442"/>
    <cellStyle name="Data   - Style2 5 3 11" xfId="24414"/>
    <cellStyle name="Data   - Style2 5 3 12" xfId="25413"/>
    <cellStyle name="Data   - Style2 5 3 13" xfId="28360"/>
    <cellStyle name="Data   - Style2 5 3 14" xfId="29327"/>
    <cellStyle name="Data   - Style2 5 3 15" xfId="30369"/>
    <cellStyle name="Data   - Style2 5 3 16" xfId="31360"/>
    <cellStyle name="Data   - Style2 5 3 17" xfId="32368"/>
    <cellStyle name="Data   - Style2 5 3 18" xfId="33371"/>
    <cellStyle name="Data   - Style2 5 3 19" xfId="34370"/>
    <cellStyle name="Data   - Style2 5 3 2" xfId="4517"/>
    <cellStyle name="Data   - Style2 5 3 2 10" xfId="24415"/>
    <cellStyle name="Data   - Style2 5 3 2 11" xfId="25414"/>
    <cellStyle name="Data   - Style2 5 3 2 12" xfId="28361"/>
    <cellStyle name="Data   - Style2 5 3 2 13" xfId="29328"/>
    <cellStyle name="Data   - Style2 5 3 2 14" xfId="30370"/>
    <cellStyle name="Data   - Style2 5 3 2 15" xfId="31361"/>
    <cellStyle name="Data   - Style2 5 3 2 16" xfId="32369"/>
    <cellStyle name="Data   - Style2 5 3 2 17" xfId="33372"/>
    <cellStyle name="Data   - Style2 5 3 2 18" xfId="34371"/>
    <cellStyle name="Data   - Style2 5 3 2 19" xfId="35992"/>
    <cellStyle name="Data   - Style2 5 3 2 2" xfId="16396"/>
    <cellStyle name="Data   - Style2 5 3 2 20" xfId="36931"/>
    <cellStyle name="Data   - Style2 5 3 2 3" xfId="17375"/>
    <cellStyle name="Data   - Style2 5 3 2 4" xfId="18401"/>
    <cellStyle name="Data   - Style2 5 3 2 5" xfId="19434"/>
    <cellStyle name="Data   - Style2 5 3 2 6" xfId="20456"/>
    <cellStyle name="Data   - Style2 5 3 2 7" xfId="21467"/>
    <cellStyle name="Data   - Style2 5 3 2 8" xfId="22438"/>
    <cellStyle name="Data   - Style2 5 3 2 9" xfId="23443"/>
    <cellStyle name="Data   - Style2 5 3 20" xfId="35991"/>
    <cellStyle name="Data   - Style2 5 3 21" xfId="36930"/>
    <cellStyle name="Data   - Style2 5 3 3" xfId="16395"/>
    <cellStyle name="Data   - Style2 5 3 4" xfId="17374"/>
    <cellStyle name="Data   - Style2 5 3 5" xfId="18400"/>
    <cellStyle name="Data   - Style2 5 3 6" xfId="19433"/>
    <cellStyle name="Data   - Style2 5 3 7" xfId="20455"/>
    <cellStyle name="Data   - Style2 5 3 8" xfId="21466"/>
    <cellStyle name="Data   - Style2 5 3 9" xfId="22437"/>
    <cellStyle name="Data   - Style2 5 4" xfId="4518"/>
    <cellStyle name="Data   - Style2 5 4 10" xfId="23444"/>
    <cellStyle name="Data   - Style2 5 4 11" xfId="24416"/>
    <cellStyle name="Data   - Style2 5 4 12" xfId="25415"/>
    <cellStyle name="Data   - Style2 5 4 13" xfId="28362"/>
    <cellStyle name="Data   - Style2 5 4 14" xfId="29329"/>
    <cellStyle name="Data   - Style2 5 4 15" xfId="30371"/>
    <cellStyle name="Data   - Style2 5 4 16" xfId="31362"/>
    <cellStyle name="Data   - Style2 5 4 17" xfId="32370"/>
    <cellStyle name="Data   - Style2 5 4 18" xfId="33373"/>
    <cellStyle name="Data   - Style2 5 4 19" xfId="34372"/>
    <cellStyle name="Data   - Style2 5 4 2" xfId="4519"/>
    <cellStyle name="Data   - Style2 5 4 2 10" xfId="24417"/>
    <cellStyle name="Data   - Style2 5 4 2 11" xfId="25416"/>
    <cellStyle name="Data   - Style2 5 4 2 12" xfId="28363"/>
    <cellStyle name="Data   - Style2 5 4 2 13" xfId="29330"/>
    <cellStyle name="Data   - Style2 5 4 2 14" xfId="30372"/>
    <cellStyle name="Data   - Style2 5 4 2 15" xfId="31363"/>
    <cellStyle name="Data   - Style2 5 4 2 16" xfId="32371"/>
    <cellStyle name="Data   - Style2 5 4 2 17" xfId="33374"/>
    <cellStyle name="Data   - Style2 5 4 2 18" xfId="34373"/>
    <cellStyle name="Data   - Style2 5 4 2 19" xfId="35994"/>
    <cellStyle name="Data   - Style2 5 4 2 2" xfId="16398"/>
    <cellStyle name="Data   - Style2 5 4 2 20" xfId="36933"/>
    <cellStyle name="Data   - Style2 5 4 2 3" xfId="17377"/>
    <cellStyle name="Data   - Style2 5 4 2 4" xfId="18403"/>
    <cellStyle name="Data   - Style2 5 4 2 5" xfId="19436"/>
    <cellStyle name="Data   - Style2 5 4 2 6" xfId="20458"/>
    <cellStyle name="Data   - Style2 5 4 2 7" xfId="21469"/>
    <cellStyle name="Data   - Style2 5 4 2 8" xfId="22440"/>
    <cellStyle name="Data   - Style2 5 4 2 9" xfId="23445"/>
    <cellStyle name="Data   - Style2 5 4 20" xfId="35993"/>
    <cellStyle name="Data   - Style2 5 4 21" xfId="36932"/>
    <cellStyle name="Data   - Style2 5 4 3" xfId="16397"/>
    <cellStyle name="Data   - Style2 5 4 4" xfId="17376"/>
    <cellStyle name="Data   - Style2 5 4 5" xfId="18402"/>
    <cellStyle name="Data   - Style2 5 4 6" xfId="19435"/>
    <cellStyle name="Data   - Style2 5 4 7" xfId="20457"/>
    <cellStyle name="Data   - Style2 5 4 8" xfId="21468"/>
    <cellStyle name="Data   - Style2 5 4 9" xfId="22439"/>
    <cellStyle name="Data   - Style2 5 5" xfId="4520"/>
    <cellStyle name="Data   - Style2 5 5 10" xfId="23446"/>
    <cellStyle name="Data   - Style2 5 5 11" xfId="24418"/>
    <cellStyle name="Data   - Style2 5 5 12" xfId="25417"/>
    <cellStyle name="Data   - Style2 5 5 13" xfId="28364"/>
    <cellStyle name="Data   - Style2 5 5 14" xfId="29331"/>
    <cellStyle name="Data   - Style2 5 5 15" xfId="30373"/>
    <cellStyle name="Data   - Style2 5 5 16" xfId="31364"/>
    <cellStyle name="Data   - Style2 5 5 17" xfId="32372"/>
    <cellStyle name="Data   - Style2 5 5 18" xfId="33375"/>
    <cellStyle name="Data   - Style2 5 5 19" xfId="34374"/>
    <cellStyle name="Data   - Style2 5 5 2" xfId="4521"/>
    <cellStyle name="Data   - Style2 5 5 2 10" xfId="24419"/>
    <cellStyle name="Data   - Style2 5 5 2 11" xfId="25418"/>
    <cellStyle name="Data   - Style2 5 5 2 12" xfId="28365"/>
    <cellStyle name="Data   - Style2 5 5 2 13" xfId="29332"/>
    <cellStyle name="Data   - Style2 5 5 2 14" xfId="30374"/>
    <cellStyle name="Data   - Style2 5 5 2 15" xfId="31365"/>
    <cellStyle name="Data   - Style2 5 5 2 16" xfId="32373"/>
    <cellStyle name="Data   - Style2 5 5 2 17" xfId="33376"/>
    <cellStyle name="Data   - Style2 5 5 2 18" xfId="34375"/>
    <cellStyle name="Data   - Style2 5 5 2 19" xfId="35996"/>
    <cellStyle name="Data   - Style2 5 5 2 2" xfId="16400"/>
    <cellStyle name="Data   - Style2 5 5 2 20" xfId="36935"/>
    <cellStyle name="Data   - Style2 5 5 2 3" xfId="17379"/>
    <cellStyle name="Data   - Style2 5 5 2 4" xfId="18405"/>
    <cellStyle name="Data   - Style2 5 5 2 5" xfId="19438"/>
    <cellStyle name="Data   - Style2 5 5 2 6" xfId="20460"/>
    <cellStyle name="Data   - Style2 5 5 2 7" xfId="21471"/>
    <cellStyle name="Data   - Style2 5 5 2 8" xfId="22442"/>
    <cellStyle name="Data   - Style2 5 5 2 9" xfId="23447"/>
    <cellStyle name="Data   - Style2 5 5 20" xfId="35995"/>
    <cellStyle name="Data   - Style2 5 5 21" xfId="36934"/>
    <cellStyle name="Data   - Style2 5 5 3" xfId="16399"/>
    <cellStyle name="Data   - Style2 5 5 4" xfId="17378"/>
    <cellStyle name="Data   - Style2 5 5 5" xfId="18404"/>
    <cellStyle name="Data   - Style2 5 5 6" xfId="19437"/>
    <cellStyle name="Data   - Style2 5 5 7" xfId="20459"/>
    <cellStyle name="Data   - Style2 5 5 8" xfId="21470"/>
    <cellStyle name="Data   - Style2 5 5 9" xfId="22441"/>
    <cellStyle name="Data   - Style2 5 6" xfId="4522"/>
    <cellStyle name="Data   - Style2 5 6 10" xfId="24420"/>
    <cellStyle name="Data   - Style2 5 6 11" xfId="25419"/>
    <cellStyle name="Data   - Style2 5 6 12" xfId="28366"/>
    <cellStyle name="Data   - Style2 5 6 13" xfId="29333"/>
    <cellStyle name="Data   - Style2 5 6 14" xfId="30375"/>
    <cellStyle name="Data   - Style2 5 6 15" xfId="31366"/>
    <cellStyle name="Data   - Style2 5 6 16" xfId="32374"/>
    <cellStyle name="Data   - Style2 5 6 17" xfId="33377"/>
    <cellStyle name="Data   - Style2 5 6 18" xfId="34376"/>
    <cellStyle name="Data   - Style2 5 6 19" xfId="35997"/>
    <cellStyle name="Data   - Style2 5 6 2" xfId="16401"/>
    <cellStyle name="Data   - Style2 5 6 20" xfId="36936"/>
    <cellStyle name="Data   - Style2 5 6 3" xfId="17380"/>
    <cellStyle name="Data   - Style2 5 6 4" xfId="18406"/>
    <cellStyle name="Data   - Style2 5 6 5" xfId="19439"/>
    <cellStyle name="Data   - Style2 5 6 6" xfId="20461"/>
    <cellStyle name="Data   - Style2 5 6 7" xfId="21472"/>
    <cellStyle name="Data   - Style2 5 6 8" xfId="22443"/>
    <cellStyle name="Data   - Style2 5 6 9" xfId="23448"/>
    <cellStyle name="Data   - Style2 5 7" xfId="15196"/>
    <cellStyle name="Data   - Style2 5 8" xfId="14501"/>
    <cellStyle name="Data   - Style2 5 9" xfId="13410"/>
    <cellStyle name="Data   - Style2 6" xfId="4523"/>
    <cellStyle name="Data   - Style2 6 10" xfId="23449"/>
    <cellStyle name="Data   - Style2 6 11" xfId="24421"/>
    <cellStyle name="Data   - Style2 6 12" xfId="25420"/>
    <cellStyle name="Data   - Style2 6 13" xfId="28367"/>
    <cellStyle name="Data   - Style2 6 14" xfId="29334"/>
    <cellStyle name="Data   - Style2 6 15" xfId="30376"/>
    <cellStyle name="Data   - Style2 6 16" xfId="31367"/>
    <cellStyle name="Data   - Style2 6 17" xfId="32375"/>
    <cellStyle name="Data   - Style2 6 18" xfId="33378"/>
    <cellStyle name="Data   - Style2 6 19" xfId="34377"/>
    <cellStyle name="Data   - Style2 6 2" xfId="4524"/>
    <cellStyle name="Data   - Style2 6 2 10" xfId="24422"/>
    <cellStyle name="Data   - Style2 6 2 11" xfId="25421"/>
    <cellStyle name="Data   - Style2 6 2 12" xfId="28368"/>
    <cellStyle name="Data   - Style2 6 2 13" xfId="29335"/>
    <cellStyle name="Data   - Style2 6 2 14" xfId="30377"/>
    <cellStyle name="Data   - Style2 6 2 15" xfId="31368"/>
    <cellStyle name="Data   - Style2 6 2 16" xfId="32376"/>
    <cellStyle name="Data   - Style2 6 2 17" xfId="33379"/>
    <cellStyle name="Data   - Style2 6 2 18" xfId="34378"/>
    <cellStyle name="Data   - Style2 6 2 19" xfId="35999"/>
    <cellStyle name="Data   - Style2 6 2 2" xfId="16403"/>
    <cellStyle name="Data   - Style2 6 2 20" xfId="36938"/>
    <cellStyle name="Data   - Style2 6 2 3" xfId="17382"/>
    <cellStyle name="Data   - Style2 6 2 4" xfId="18408"/>
    <cellStyle name="Data   - Style2 6 2 5" xfId="19441"/>
    <cellStyle name="Data   - Style2 6 2 6" xfId="20463"/>
    <cellStyle name="Data   - Style2 6 2 7" xfId="21474"/>
    <cellStyle name="Data   - Style2 6 2 8" xfId="22445"/>
    <cellStyle name="Data   - Style2 6 2 9" xfId="23450"/>
    <cellStyle name="Data   - Style2 6 20" xfId="35998"/>
    <cellStyle name="Data   - Style2 6 21" xfId="36937"/>
    <cellStyle name="Data   - Style2 6 3" xfId="16402"/>
    <cellStyle name="Data   - Style2 6 4" xfId="17381"/>
    <cellStyle name="Data   - Style2 6 5" xfId="18407"/>
    <cellStyle name="Data   - Style2 6 6" xfId="19440"/>
    <cellStyle name="Data   - Style2 6 7" xfId="20462"/>
    <cellStyle name="Data   - Style2 6 8" xfId="21473"/>
    <cellStyle name="Data   - Style2 6 9" xfId="22444"/>
    <cellStyle name="Data   - Style2 7" xfId="4525"/>
    <cellStyle name="Data   - Style2 7 10" xfId="23451"/>
    <cellStyle name="Data   - Style2 7 11" xfId="24423"/>
    <cellStyle name="Data   - Style2 7 12" xfId="25422"/>
    <cellStyle name="Data   - Style2 7 13" xfId="28369"/>
    <cellStyle name="Data   - Style2 7 14" xfId="29336"/>
    <cellStyle name="Data   - Style2 7 15" xfId="30378"/>
    <cellStyle name="Data   - Style2 7 16" xfId="31369"/>
    <cellStyle name="Data   - Style2 7 17" xfId="32377"/>
    <cellStyle name="Data   - Style2 7 18" xfId="33380"/>
    <cellStyle name="Data   - Style2 7 19" xfId="34379"/>
    <cellStyle name="Data   - Style2 7 2" xfId="4526"/>
    <cellStyle name="Data   - Style2 7 2 10" xfId="24424"/>
    <cellStyle name="Data   - Style2 7 2 11" xfId="25423"/>
    <cellStyle name="Data   - Style2 7 2 12" xfId="28370"/>
    <cellStyle name="Data   - Style2 7 2 13" xfId="29337"/>
    <cellStyle name="Data   - Style2 7 2 14" xfId="30379"/>
    <cellStyle name="Data   - Style2 7 2 15" xfId="31370"/>
    <cellStyle name="Data   - Style2 7 2 16" xfId="32378"/>
    <cellStyle name="Data   - Style2 7 2 17" xfId="33381"/>
    <cellStyle name="Data   - Style2 7 2 18" xfId="34380"/>
    <cellStyle name="Data   - Style2 7 2 19" xfId="36001"/>
    <cellStyle name="Data   - Style2 7 2 2" xfId="16405"/>
    <cellStyle name="Data   - Style2 7 2 20" xfId="36940"/>
    <cellStyle name="Data   - Style2 7 2 3" xfId="17384"/>
    <cellStyle name="Data   - Style2 7 2 4" xfId="18410"/>
    <cellStyle name="Data   - Style2 7 2 5" xfId="19443"/>
    <cellStyle name="Data   - Style2 7 2 6" xfId="20465"/>
    <cellStyle name="Data   - Style2 7 2 7" xfId="21476"/>
    <cellStyle name="Data   - Style2 7 2 8" xfId="22447"/>
    <cellStyle name="Data   - Style2 7 2 9" xfId="23452"/>
    <cellStyle name="Data   - Style2 7 20" xfId="36000"/>
    <cellStyle name="Data   - Style2 7 21" xfId="36939"/>
    <cellStyle name="Data   - Style2 7 3" xfId="16404"/>
    <cellStyle name="Data   - Style2 7 4" xfId="17383"/>
    <cellStyle name="Data   - Style2 7 5" xfId="18409"/>
    <cellStyle name="Data   - Style2 7 6" xfId="19442"/>
    <cellStyle name="Data   - Style2 7 7" xfId="20464"/>
    <cellStyle name="Data   - Style2 7 8" xfId="21475"/>
    <cellStyle name="Data   - Style2 7 9" xfId="22446"/>
    <cellStyle name="Data   - Style2 8" xfId="4527"/>
    <cellStyle name="Data   - Style2 8 10" xfId="23453"/>
    <cellStyle name="Data   - Style2 8 11" xfId="24425"/>
    <cellStyle name="Data   - Style2 8 12" xfId="25424"/>
    <cellStyle name="Data   - Style2 8 13" xfId="28371"/>
    <cellStyle name="Data   - Style2 8 14" xfId="29338"/>
    <cellStyle name="Data   - Style2 8 15" xfId="30380"/>
    <cellStyle name="Data   - Style2 8 16" xfId="31371"/>
    <cellStyle name="Data   - Style2 8 17" xfId="32379"/>
    <cellStyle name="Data   - Style2 8 18" xfId="33382"/>
    <cellStyle name="Data   - Style2 8 19" xfId="34381"/>
    <cellStyle name="Data   - Style2 8 2" xfId="4528"/>
    <cellStyle name="Data   - Style2 8 2 10" xfId="24426"/>
    <cellStyle name="Data   - Style2 8 2 11" xfId="25425"/>
    <cellStyle name="Data   - Style2 8 2 12" xfId="28372"/>
    <cellStyle name="Data   - Style2 8 2 13" xfId="29339"/>
    <cellStyle name="Data   - Style2 8 2 14" xfId="30381"/>
    <cellStyle name="Data   - Style2 8 2 15" xfId="31372"/>
    <cellStyle name="Data   - Style2 8 2 16" xfId="32380"/>
    <cellStyle name="Data   - Style2 8 2 17" xfId="33383"/>
    <cellStyle name="Data   - Style2 8 2 18" xfId="34382"/>
    <cellStyle name="Data   - Style2 8 2 19" xfId="36003"/>
    <cellStyle name="Data   - Style2 8 2 2" xfId="16407"/>
    <cellStyle name="Data   - Style2 8 2 20" xfId="36942"/>
    <cellStyle name="Data   - Style2 8 2 3" xfId="17386"/>
    <cellStyle name="Data   - Style2 8 2 4" xfId="18412"/>
    <cellStyle name="Data   - Style2 8 2 5" xfId="19445"/>
    <cellStyle name="Data   - Style2 8 2 6" xfId="20467"/>
    <cellStyle name="Data   - Style2 8 2 7" xfId="21478"/>
    <cellStyle name="Data   - Style2 8 2 8" xfId="22449"/>
    <cellStyle name="Data   - Style2 8 2 9" xfId="23454"/>
    <cellStyle name="Data   - Style2 8 20" xfId="36002"/>
    <cellStyle name="Data   - Style2 8 21" xfId="36941"/>
    <cellStyle name="Data   - Style2 8 3" xfId="16406"/>
    <cellStyle name="Data   - Style2 8 4" xfId="17385"/>
    <cellStyle name="Data   - Style2 8 5" xfId="18411"/>
    <cellStyle name="Data   - Style2 8 6" xfId="19444"/>
    <cellStyle name="Data   - Style2 8 7" xfId="20466"/>
    <cellStyle name="Data   - Style2 8 8" xfId="21477"/>
    <cellStyle name="Data   - Style2 8 9" xfId="22448"/>
    <cellStyle name="Data   - Style2 9" xfId="4529"/>
    <cellStyle name="Data   - Style2 9 10" xfId="23455"/>
    <cellStyle name="Data   - Style2 9 11" xfId="24427"/>
    <cellStyle name="Data   - Style2 9 12" xfId="25426"/>
    <cellStyle name="Data   - Style2 9 13" xfId="28373"/>
    <cellStyle name="Data   - Style2 9 14" xfId="29340"/>
    <cellStyle name="Data   - Style2 9 15" xfId="30382"/>
    <cellStyle name="Data   - Style2 9 16" xfId="31373"/>
    <cellStyle name="Data   - Style2 9 17" xfId="32381"/>
    <cellStyle name="Data   - Style2 9 18" xfId="33384"/>
    <cellStyle name="Data   - Style2 9 19" xfId="34383"/>
    <cellStyle name="Data   - Style2 9 2" xfId="4530"/>
    <cellStyle name="Data   - Style2 9 2 10" xfId="24428"/>
    <cellStyle name="Data   - Style2 9 2 11" xfId="25427"/>
    <cellStyle name="Data   - Style2 9 2 12" xfId="28374"/>
    <cellStyle name="Data   - Style2 9 2 13" xfId="29341"/>
    <cellStyle name="Data   - Style2 9 2 14" xfId="30383"/>
    <cellStyle name="Data   - Style2 9 2 15" xfId="31374"/>
    <cellStyle name="Data   - Style2 9 2 16" xfId="32382"/>
    <cellStyle name="Data   - Style2 9 2 17" xfId="33385"/>
    <cellStyle name="Data   - Style2 9 2 18" xfId="34384"/>
    <cellStyle name="Data   - Style2 9 2 19" xfId="36005"/>
    <cellStyle name="Data   - Style2 9 2 2" xfId="16409"/>
    <cellStyle name="Data   - Style2 9 2 20" xfId="36944"/>
    <cellStyle name="Data   - Style2 9 2 3" xfId="17388"/>
    <cellStyle name="Data   - Style2 9 2 4" xfId="18414"/>
    <cellStyle name="Data   - Style2 9 2 5" xfId="19447"/>
    <cellStyle name="Data   - Style2 9 2 6" xfId="20469"/>
    <cellStyle name="Data   - Style2 9 2 7" xfId="21480"/>
    <cellStyle name="Data   - Style2 9 2 8" xfId="22451"/>
    <cellStyle name="Data   - Style2 9 2 9" xfId="23456"/>
    <cellStyle name="Data   - Style2 9 20" xfId="36004"/>
    <cellStyle name="Data   - Style2 9 21" xfId="36943"/>
    <cellStyle name="Data   - Style2 9 3" xfId="16408"/>
    <cellStyle name="Data   - Style2 9 4" xfId="17387"/>
    <cellStyle name="Data   - Style2 9 5" xfId="18413"/>
    <cellStyle name="Data   - Style2 9 6" xfId="19446"/>
    <cellStyle name="Data   - Style2 9 7" xfId="20468"/>
    <cellStyle name="Data   - Style2 9 8" xfId="21479"/>
    <cellStyle name="Data   - Style2 9 9" xfId="22450"/>
    <cellStyle name="Data Enter" xfId="126"/>
    <cellStyle name="date" xfId="326"/>
    <cellStyle name="Euro" xfId="4531"/>
    <cellStyle name="Euro 2" xfId="4532"/>
    <cellStyle name="Explanatory Text" xfId="13362" builtinId="53" customBuiltin="1"/>
    <cellStyle name="Explanatory Text 2" xfId="128"/>
    <cellStyle name="Explanatory Text 3" xfId="127"/>
    <cellStyle name="Explanatory Text 4" xfId="4533"/>
    <cellStyle name="F9ReportControlStyle_ctpInquire" xfId="4534"/>
    <cellStyle name="FactSheet" xfId="129"/>
    <cellStyle name="fish" xfId="327"/>
    <cellStyle name="Good" xfId="13352" builtinId="26" customBuiltin="1"/>
    <cellStyle name="Good 2" xfId="131"/>
    <cellStyle name="Good 2 2" xfId="4535"/>
    <cellStyle name="Good 2 2 2" xfId="4536"/>
    <cellStyle name="Good 2 2 3" xfId="34863"/>
    <cellStyle name="Good 2 2 4" xfId="37403"/>
    <cellStyle name="Good 2 3" xfId="4537"/>
    <cellStyle name="Good 2 4" xfId="4538"/>
    <cellStyle name="Good 2 5" xfId="4539"/>
    <cellStyle name="Good 3" xfId="130"/>
    <cellStyle name="Good 3 2" xfId="4541"/>
    <cellStyle name="Good 3 3" xfId="4542"/>
    <cellStyle name="Good 3 4" xfId="4540"/>
    <cellStyle name="Good 4" xfId="4543"/>
    <cellStyle name="Good 5" xfId="4544"/>
    <cellStyle name="Heading 1" xfId="13348" builtinId="16" customBuiltin="1"/>
    <cellStyle name="Heading 1 2" xfId="133"/>
    <cellStyle name="Heading 1 2 2" xfId="328"/>
    <cellStyle name="Heading 1 2 2 2" xfId="4545"/>
    <cellStyle name="Heading 1 2 3" xfId="4546"/>
    <cellStyle name="Heading 1 2 4" xfId="4547"/>
    <cellStyle name="Heading 1 2_Rate Sheet" xfId="37422"/>
    <cellStyle name="Heading 1 3" xfId="132"/>
    <cellStyle name="Heading 1 3 2" xfId="329"/>
    <cellStyle name="Heading 1 3 3" xfId="4548"/>
    <cellStyle name="Heading 1 4" xfId="4549"/>
    <cellStyle name="Heading 1 4 2" xfId="4550"/>
    <cellStyle name="Heading 2" xfId="13349" builtinId="17" customBuiltin="1"/>
    <cellStyle name="Heading 2 2" xfId="135"/>
    <cellStyle name="Heading 2 2 2" xfId="330"/>
    <cellStyle name="Heading 2 2 3" xfId="4551"/>
    <cellStyle name="Heading 2 2 4" xfId="4552"/>
    <cellStyle name="Heading 2 2_Rate Sheet" xfId="37423"/>
    <cellStyle name="Heading 2 3" xfId="134"/>
    <cellStyle name="Heading 2 3 2" xfId="331"/>
    <cellStyle name="Heading 2 3 3" xfId="4553"/>
    <cellStyle name="Heading 2 4" xfId="4554"/>
    <cellStyle name="Heading 2 4 2" xfId="4555"/>
    <cellStyle name="Heading 3" xfId="13350" builtinId="18" customBuiltin="1"/>
    <cellStyle name="Heading 3 2" xfId="137"/>
    <cellStyle name="Heading 3 2 2" xfId="332"/>
    <cellStyle name="Heading 3 2 2 2" xfId="4556"/>
    <cellStyle name="Heading 3 2 3" xfId="4557"/>
    <cellStyle name="Heading 3 2 4" xfId="4558"/>
    <cellStyle name="Heading 3 2_Rate Sheet" xfId="37424"/>
    <cellStyle name="Heading 3 3" xfId="136"/>
    <cellStyle name="Heading 3 3 2" xfId="333"/>
    <cellStyle name="Heading 3 3 3" xfId="4559"/>
    <cellStyle name="Heading 3 4" xfId="4560"/>
    <cellStyle name="Heading 3 4 2" xfId="4561"/>
    <cellStyle name="Heading 4" xfId="13351" builtinId="19" customBuiltin="1"/>
    <cellStyle name="Heading 4 2" xfId="139"/>
    <cellStyle name="Heading 4 2 2" xfId="4562"/>
    <cellStyle name="Heading 4 2 2 2" xfId="4563"/>
    <cellStyle name="Heading 4 2 3" xfId="4564"/>
    <cellStyle name="Heading 4 3" xfId="138"/>
    <cellStyle name="Heading 4 3 2" xfId="4566"/>
    <cellStyle name="Heading 4 3 3" xfId="4565"/>
    <cellStyle name="Heading 4 4" xfId="4567"/>
    <cellStyle name="Hyperlink" xfId="37393" builtinId="8"/>
    <cellStyle name="Hyperlink 2" xfId="140"/>
    <cellStyle name="Hyperlink 2 2" xfId="4568"/>
    <cellStyle name="Hyperlink 2 2 2" xfId="4569"/>
    <cellStyle name="Hyperlink 2 2 3" xfId="4570"/>
    <cellStyle name="Hyperlink 2 2 4" xfId="4571"/>
    <cellStyle name="Hyperlink 2 2 5" xfId="4572"/>
    <cellStyle name="Hyperlink 2 2 6" xfId="4573"/>
    <cellStyle name="Hyperlink 2 3" xfId="4574"/>
    <cellStyle name="Hyperlink 2 3 2" xfId="4575"/>
    <cellStyle name="Hyperlink 2 4" xfId="4576"/>
    <cellStyle name="Hyperlink 3" xfId="141"/>
    <cellStyle name="Hyperlink 3 2" xfId="292"/>
    <cellStyle name="Hyperlink 3 2 2" xfId="4577"/>
    <cellStyle name="Hyperlink 3 3" xfId="4578"/>
    <cellStyle name="Hyperlink 4" xfId="4579"/>
    <cellStyle name="Hyperlink 4 2" xfId="4580"/>
    <cellStyle name="Hyperlink 5" xfId="4581"/>
    <cellStyle name="Input" xfId="13355" builtinId="20" customBuiltin="1"/>
    <cellStyle name="Input 2" xfId="143"/>
    <cellStyle name="Input 2 10" xfId="4582"/>
    <cellStyle name="Input 2 10 10" xfId="24863"/>
    <cellStyle name="Input 2 10 11" xfId="25862"/>
    <cellStyle name="Input 2 10 12" xfId="28768"/>
    <cellStyle name="Input 2 10 13" xfId="29785"/>
    <cellStyle name="Input 2 10 14" xfId="30818"/>
    <cellStyle name="Input 2 10 15" xfId="31813"/>
    <cellStyle name="Input 2 10 16" xfId="32817"/>
    <cellStyle name="Input 2 10 17" xfId="33820"/>
    <cellStyle name="Input 2 10 18" xfId="34819"/>
    <cellStyle name="Input 2 10 19" xfId="36380"/>
    <cellStyle name="Input 2 10 2" xfId="16852"/>
    <cellStyle name="Input 2 10 20" xfId="37379"/>
    <cellStyle name="Input 2 10 3" xfId="17832"/>
    <cellStyle name="Input 2 10 4" xfId="18857"/>
    <cellStyle name="Input 2 10 5" xfId="19891"/>
    <cellStyle name="Input 2 10 6" xfId="20916"/>
    <cellStyle name="Input 2 10 7" xfId="21876"/>
    <cellStyle name="Input 2 10 8" xfId="22888"/>
    <cellStyle name="Input 2 10 9" xfId="23891"/>
    <cellStyle name="Input 2 11" xfId="34902"/>
    <cellStyle name="Input 2 12" xfId="37425"/>
    <cellStyle name="Input 2 13" xfId="37555"/>
    <cellStyle name="Input 2 2" xfId="4583"/>
    <cellStyle name="Input 2 2 10" xfId="13676"/>
    <cellStyle name="Input 2 2 11" xfId="14313"/>
    <cellStyle name="Input 2 2 12" xfId="14095"/>
    <cellStyle name="Input 2 2 13" xfId="14986"/>
    <cellStyle name="Input 2 2 14" xfId="13648"/>
    <cellStyle name="Input 2 2 15" xfId="25987"/>
    <cellStyle name="Input 2 2 16" xfId="27806"/>
    <cellStyle name="Input 2 2 17" xfId="26421"/>
    <cellStyle name="Input 2 2 18" xfId="27458"/>
    <cellStyle name="Input 2 2 19" xfId="27568"/>
    <cellStyle name="Input 2 2 2" xfId="4584"/>
    <cellStyle name="Input 2 2 2 10" xfId="14238"/>
    <cellStyle name="Input 2 2 2 11" xfId="13782"/>
    <cellStyle name="Input 2 2 2 12" xfId="14169"/>
    <cellStyle name="Input 2 2 2 13" xfId="14523"/>
    <cellStyle name="Input 2 2 2 14" xfId="25988"/>
    <cellStyle name="Input 2 2 2 15" xfId="27291"/>
    <cellStyle name="Input 2 2 2 16" xfId="26430"/>
    <cellStyle name="Input 2 2 2 17" xfId="27744"/>
    <cellStyle name="Input 2 2 2 18" xfId="27620"/>
    <cellStyle name="Input 2 2 2 19" xfId="27203"/>
    <cellStyle name="Input 2 2 2 2" xfId="4585"/>
    <cellStyle name="Input 2 2 2 2 10" xfId="15375"/>
    <cellStyle name="Input 2 2 2 2 11" xfId="14328"/>
    <cellStyle name="Input 2 2 2 2 12" xfId="18918"/>
    <cellStyle name="Input 2 2 2 2 13" xfId="15340"/>
    <cellStyle name="Input 2 2 2 2 14" xfId="14162"/>
    <cellStyle name="Input 2 2 2 2 15" xfId="14165"/>
    <cellStyle name="Input 2 2 2 2 16" xfId="26093"/>
    <cellStyle name="Input 2 2 2 2 17" xfId="27258"/>
    <cellStyle name="Input 2 2 2 2 18" xfId="26111"/>
    <cellStyle name="Input 2 2 2 2 19" xfId="28789"/>
    <cellStyle name="Input 2 2 2 2 2" xfId="4586"/>
    <cellStyle name="Input 2 2 2 2 2 10" xfId="16841"/>
    <cellStyle name="Input 2 2 2 2 2 11" xfId="15519"/>
    <cellStyle name="Input 2 2 2 2 2 12" xfId="26314"/>
    <cellStyle name="Input 2 2 2 2 2 13" xfId="27170"/>
    <cellStyle name="Input 2 2 2 2 2 14" xfId="27517"/>
    <cellStyle name="Input 2 2 2 2 2 15" xfId="27478"/>
    <cellStyle name="Input 2 2 2 2 2 16" xfId="26682"/>
    <cellStyle name="Input 2 2 2 2 2 17" xfId="26958"/>
    <cellStyle name="Input 2 2 2 2 2 18" xfId="35010"/>
    <cellStyle name="Input 2 2 2 2 2 19" xfId="35324"/>
    <cellStyle name="Input 2 2 2 2 2 2" xfId="4587"/>
    <cellStyle name="Input 2 2 2 2 2 2 10" xfId="23457"/>
    <cellStyle name="Input 2 2 2 2 2 2 11" xfId="24429"/>
    <cellStyle name="Input 2 2 2 2 2 2 12" xfId="25428"/>
    <cellStyle name="Input 2 2 2 2 2 2 13" xfId="28375"/>
    <cellStyle name="Input 2 2 2 2 2 2 14" xfId="29342"/>
    <cellStyle name="Input 2 2 2 2 2 2 15" xfId="30384"/>
    <cellStyle name="Input 2 2 2 2 2 2 16" xfId="31375"/>
    <cellStyle name="Input 2 2 2 2 2 2 17" xfId="32383"/>
    <cellStyle name="Input 2 2 2 2 2 2 18" xfId="33386"/>
    <cellStyle name="Input 2 2 2 2 2 2 19" xfId="34385"/>
    <cellStyle name="Input 2 2 2 2 2 2 2" xfId="4588"/>
    <cellStyle name="Input 2 2 2 2 2 2 2 10" xfId="24430"/>
    <cellStyle name="Input 2 2 2 2 2 2 2 11" xfId="25429"/>
    <cellStyle name="Input 2 2 2 2 2 2 2 12" xfId="28376"/>
    <cellStyle name="Input 2 2 2 2 2 2 2 13" xfId="29343"/>
    <cellStyle name="Input 2 2 2 2 2 2 2 14" xfId="30385"/>
    <cellStyle name="Input 2 2 2 2 2 2 2 15" xfId="31376"/>
    <cellStyle name="Input 2 2 2 2 2 2 2 16" xfId="32384"/>
    <cellStyle name="Input 2 2 2 2 2 2 2 17" xfId="33387"/>
    <cellStyle name="Input 2 2 2 2 2 2 2 18" xfId="34386"/>
    <cellStyle name="Input 2 2 2 2 2 2 2 19" xfId="36007"/>
    <cellStyle name="Input 2 2 2 2 2 2 2 2" xfId="16411"/>
    <cellStyle name="Input 2 2 2 2 2 2 2 20" xfId="36946"/>
    <cellStyle name="Input 2 2 2 2 2 2 2 3" xfId="17390"/>
    <cellStyle name="Input 2 2 2 2 2 2 2 4" xfId="18417"/>
    <cellStyle name="Input 2 2 2 2 2 2 2 5" xfId="19449"/>
    <cellStyle name="Input 2 2 2 2 2 2 2 6" xfId="20471"/>
    <cellStyle name="Input 2 2 2 2 2 2 2 7" xfId="21482"/>
    <cellStyle name="Input 2 2 2 2 2 2 2 8" xfId="22453"/>
    <cellStyle name="Input 2 2 2 2 2 2 2 9" xfId="23458"/>
    <cellStyle name="Input 2 2 2 2 2 2 20" xfId="36006"/>
    <cellStyle name="Input 2 2 2 2 2 2 21" xfId="36945"/>
    <cellStyle name="Input 2 2 2 2 2 2 3" xfId="16410"/>
    <cellStyle name="Input 2 2 2 2 2 2 4" xfId="17389"/>
    <cellStyle name="Input 2 2 2 2 2 2 5" xfId="18416"/>
    <cellStyle name="Input 2 2 2 2 2 2 6" xfId="19448"/>
    <cellStyle name="Input 2 2 2 2 2 2 7" xfId="20470"/>
    <cellStyle name="Input 2 2 2 2 2 2 8" xfId="21481"/>
    <cellStyle name="Input 2 2 2 2 2 2 9" xfId="22452"/>
    <cellStyle name="Input 2 2 2 2 2 3" xfId="4589"/>
    <cellStyle name="Input 2 2 2 2 2 3 10" xfId="23459"/>
    <cellStyle name="Input 2 2 2 2 2 3 11" xfId="24431"/>
    <cellStyle name="Input 2 2 2 2 2 3 12" xfId="25430"/>
    <cellStyle name="Input 2 2 2 2 2 3 13" xfId="28377"/>
    <cellStyle name="Input 2 2 2 2 2 3 14" xfId="29344"/>
    <cellStyle name="Input 2 2 2 2 2 3 15" xfId="30386"/>
    <cellStyle name="Input 2 2 2 2 2 3 16" xfId="31377"/>
    <cellStyle name="Input 2 2 2 2 2 3 17" xfId="32385"/>
    <cellStyle name="Input 2 2 2 2 2 3 18" xfId="33388"/>
    <cellStyle name="Input 2 2 2 2 2 3 19" xfId="34387"/>
    <cellStyle name="Input 2 2 2 2 2 3 2" xfId="4590"/>
    <cellStyle name="Input 2 2 2 2 2 3 2 10" xfId="24432"/>
    <cellStyle name="Input 2 2 2 2 2 3 2 11" xfId="25431"/>
    <cellStyle name="Input 2 2 2 2 2 3 2 12" xfId="28378"/>
    <cellStyle name="Input 2 2 2 2 2 3 2 13" xfId="29345"/>
    <cellStyle name="Input 2 2 2 2 2 3 2 14" xfId="30387"/>
    <cellStyle name="Input 2 2 2 2 2 3 2 15" xfId="31378"/>
    <cellStyle name="Input 2 2 2 2 2 3 2 16" xfId="32386"/>
    <cellStyle name="Input 2 2 2 2 2 3 2 17" xfId="33389"/>
    <cellStyle name="Input 2 2 2 2 2 3 2 18" xfId="34388"/>
    <cellStyle name="Input 2 2 2 2 2 3 2 19" xfId="36009"/>
    <cellStyle name="Input 2 2 2 2 2 3 2 2" xfId="16413"/>
    <cellStyle name="Input 2 2 2 2 2 3 2 20" xfId="36948"/>
    <cellStyle name="Input 2 2 2 2 2 3 2 3" xfId="17392"/>
    <cellStyle name="Input 2 2 2 2 2 3 2 4" xfId="18419"/>
    <cellStyle name="Input 2 2 2 2 2 3 2 5" xfId="19451"/>
    <cellStyle name="Input 2 2 2 2 2 3 2 6" xfId="20473"/>
    <cellStyle name="Input 2 2 2 2 2 3 2 7" xfId="21484"/>
    <cellStyle name="Input 2 2 2 2 2 3 2 8" xfId="22455"/>
    <cellStyle name="Input 2 2 2 2 2 3 2 9" xfId="23460"/>
    <cellStyle name="Input 2 2 2 2 2 3 20" xfId="36008"/>
    <cellStyle name="Input 2 2 2 2 2 3 21" xfId="36947"/>
    <cellStyle name="Input 2 2 2 2 2 3 3" xfId="16412"/>
    <cellStyle name="Input 2 2 2 2 2 3 4" xfId="17391"/>
    <cellStyle name="Input 2 2 2 2 2 3 5" xfId="18418"/>
    <cellStyle name="Input 2 2 2 2 2 3 6" xfId="19450"/>
    <cellStyle name="Input 2 2 2 2 2 3 7" xfId="20472"/>
    <cellStyle name="Input 2 2 2 2 2 3 8" xfId="21483"/>
    <cellStyle name="Input 2 2 2 2 2 3 9" xfId="22454"/>
    <cellStyle name="Input 2 2 2 2 2 4" xfId="4591"/>
    <cellStyle name="Input 2 2 2 2 2 4 10" xfId="23461"/>
    <cellStyle name="Input 2 2 2 2 2 4 11" xfId="24433"/>
    <cellStyle name="Input 2 2 2 2 2 4 12" xfId="25432"/>
    <cellStyle name="Input 2 2 2 2 2 4 13" xfId="28379"/>
    <cellStyle name="Input 2 2 2 2 2 4 14" xfId="29346"/>
    <cellStyle name="Input 2 2 2 2 2 4 15" xfId="30388"/>
    <cellStyle name="Input 2 2 2 2 2 4 16" xfId="31379"/>
    <cellStyle name="Input 2 2 2 2 2 4 17" xfId="32387"/>
    <cellStyle name="Input 2 2 2 2 2 4 18" xfId="33390"/>
    <cellStyle name="Input 2 2 2 2 2 4 19" xfId="34389"/>
    <cellStyle name="Input 2 2 2 2 2 4 2" xfId="4592"/>
    <cellStyle name="Input 2 2 2 2 2 4 2 10" xfId="24434"/>
    <cellStyle name="Input 2 2 2 2 2 4 2 11" xfId="25433"/>
    <cellStyle name="Input 2 2 2 2 2 4 2 12" xfId="28380"/>
    <cellStyle name="Input 2 2 2 2 2 4 2 13" xfId="29347"/>
    <cellStyle name="Input 2 2 2 2 2 4 2 14" xfId="30389"/>
    <cellStyle name="Input 2 2 2 2 2 4 2 15" xfId="31380"/>
    <cellStyle name="Input 2 2 2 2 2 4 2 16" xfId="32388"/>
    <cellStyle name="Input 2 2 2 2 2 4 2 17" xfId="33391"/>
    <cellStyle name="Input 2 2 2 2 2 4 2 18" xfId="34390"/>
    <cellStyle name="Input 2 2 2 2 2 4 2 19" xfId="36011"/>
    <cellStyle name="Input 2 2 2 2 2 4 2 2" xfId="16415"/>
    <cellStyle name="Input 2 2 2 2 2 4 2 20" xfId="36950"/>
    <cellStyle name="Input 2 2 2 2 2 4 2 3" xfId="17394"/>
    <cellStyle name="Input 2 2 2 2 2 4 2 4" xfId="18421"/>
    <cellStyle name="Input 2 2 2 2 2 4 2 5" xfId="19453"/>
    <cellStyle name="Input 2 2 2 2 2 4 2 6" xfId="20475"/>
    <cellStyle name="Input 2 2 2 2 2 4 2 7" xfId="21486"/>
    <cellStyle name="Input 2 2 2 2 2 4 2 8" xfId="22457"/>
    <cellStyle name="Input 2 2 2 2 2 4 2 9" xfId="23462"/>
    <cellStyle name="Input 2 2 2 2 2 4 20" xfId="36010"/>
    <cellStyle name="Input 2 2 2 2 2 4 21" xfId="36949"/>
    <cellStyle name="Input 2 2 2 2 2 4 3" xfId="16414"/>
    <cellStyle name="Input 2 2 2 2 2 4 4" xfId="17393"/>
    <cellStyle name="Input 2 2 2 2 2 4 5" xfId="18420"/>
    <cellStyle name="Input 2 2 2 2 2 4 6" xfId="19452"/>
    <cellStyle name="Input 2 2 2 2 2 4 7" xfId="20474"/>
    <cellStyle name="Input 2 2 2 2 2 4 8" xfId="21485"/>
    <cellStyle name="Input 2 2 2 2 2 4 9" xfId="22456"/>
    <cellStyle name="Input 2 2 2 2 2 5" xfId="4593"/>
    <cellStyle name="Input 2 2 2 2 2 5 10" xfId="24435"/>
    <cellStyle name="Input 2 2 2 2 2 5 11" xfId="25434"/>
    <cellStyle name="Input 2 2 2 2 2 5 12" xfId="28381"/>
    <cellStyle name="Input 2 2 2 2 2 5 13" xfId="29348"/>
    <cellStyle name="Input 2 2 2 2 2 5 14" xfId="30390"/>
    <cellStyle name="Input 2 2 2 2 2 5 15" xfId="31381"/>
    <cellStyle name="Input 2 2 2 2 2 5 16" xfId="32389"/>
    <cellStyle name="Input 2 2 2 2 2 5 17" xfId="33392"/>
    <cellStyle name="Input 2 2 2 2 2 5 18" xfId="34391"/>
    <cellStyle name="Input 2 2 2 2 2 5 19" xfId="36012"/>
    <cellStyle name="Input 2 2 2 2 2 5 2" xfId="16416"/>
    <cellStyle name="Input 2 2 2 2 2 5 20" xfId="36951"/>
    <cellStyle name="Input 2 2 2 2 2 5 3" xfId="17395"/>
    <cellStyle name="Input 2 2 2 2 2 5 4" xfId="18422"/>
    <cellStyle name="Input 2 2 2 2 2 5 5" xfId="19454"/>
    <cellStyle name="Input 2 2 2 2 2 5 6" xfId="20476"/>
    <cellStyle name="Input 2 2 2 2 2 5 7" xfId="21487"/>
    <cellStyle name="Input 2 2 2 2 2 5 8" xfId="22458"/>
    <cellStyle name="Input 2 2 2 2 2 5 9" xfId="23463"/>
    <cellStyle name="Input 2 2 2 2 2 6" xfId="13726"/>
    <cellStyle name="Input 2 2 2 2 2 7" xfId="15064"/>
    <cellStyle name="Input 2 2 2 2 2 8" xfId="15454"/>
    <cellStyle name="Input 2 2 2 2 2 9" xfId="15086"/>
    <cellStyle name="Input 2 2 2 2 20" xfId="30847"/>
    <cellStyle name="Input 2 2 2 2 21" xfId="27428"/>
    <cellStyle name="Input 2 2 2 2 22" xfId="34953"/>
    <cellStyle name="Input 2 2 2 2 23" xfId="35364"/>
    <cellStyle name="Input 2 2 2 2 3" xfId="4594"/>
    <cellStyle name="Input 2 2 2 2 3 10" xfId="13929"/>
    <cellStyle name="Input 2 2 2 2 3 11" xfId="13483"/>
    <cellStyle name="Input 2 2 2 2 3 12" xfId="26394"/>
    <cellStyle name="Input 2 2 2 2 3 13" xfId="27118"/>
    <cellStyle name="Input 2 2 2 2 3 14" xfId="25938"/>
    <cellStyle name="Input 2 2 2 2 3 15" xfId="27367"/>
    <cellStyle name="Input 2 2 2 2 3 16" xfId="26845"/>
    <cellStyle name="Input 2 2 2 2 3 17" xfId="26260"/>
    <cellStyle name="Input 2 2 2 2 3 18" xfId="35085"/>
    <cellStyle name="Input 2 2 2 2 3 19" xfId="35424"/>
    <cellStyle name="Input 2 2 2 2 3 2" xfId="4595"/>
    <cellStyle name="Input 2 2 2 2 3 2 10" xfId="23464"/>
    <cellStyle name="Input 2 2 2 2 3 2 11" xfId="24436"/>
    <cellStyle name="Input 2 2 2 2 3 2 12" xfId="25435"/>
    <cellStyle name="Input 2 2 2 2 3 2 13" xfId="28382"/>
    <cellStyle name="Input 2 2 2 2 3 2 14" xfId="29349"/>
    <cellStyle name="Input 2 2 2 2 3 2 15" xfId="30391"/>
    <cellStyle name="Input 2 2 2 2 3 2 16" xfId="31382"/>
    <cellStyle name="Input 2 2 2 2 3 2 17" xfId="32390"/>
    <cellStyle name="Input 2 2 2 2 3 2 18" xfId="33393"/>
    <cellStyle name="Input 2 2 2 2 3 2 19" xfId="34392"/>
    <cellStyle name="Input 2 2 2 2 3 2 2" xfId="4596"/>
    <cellStyle name="Input 2 2 2 2 3 2 2 10" xfId="24437"/>
    <cellStyle name="Input 2 2 2 2 3 2 2 11" xfId="25436"/>
    <cellStyle name="Input 2 2 2 2 3 2 2 12" xfId="28383"/>
    <cellStyle name="Input 2 2 2 2 3 2 2 13" xfId="29350"/>
    <cellStyle name="Input 2 2 2 2 3 2 2 14" xfId="30392"/>
    <cellStyle name="Input 2 2 2 2 3 2 2 15" xfId="31383"/>
    <cellStyle name="Input 2 2 2 2 3 2 2 16" xfId="32391"/>
    <cellStyle name="Input 2 2 2 2 3 2 2 17" xfId="33394"/>
    <cellStyle name="Input 2 2 2 2 3 2 2 18" xfId="34393"/>
    <cellStyle name="Input 2 2 2 2 3 2 2 19" xfId="36014"/>
    <cellStyle name="Input 2 2 2 2 3 2 2 2" xfId="16418"/>
    <cellStyle name="Input 2 2 2 2 3 2 2 20" xfId="36953"/>
    <cellStyle name="Input 2 2 2 2 3 2 2 3" xfId="17397"/>
    <cellStyle name="Input 2 2 2 2 3 2 2 4" xfId="18424"/>
    <cellStyle name="Input 2 2 2 2 3 2 2 5" xfId="19456"/>
    <cellStyle name="Input 2 2 2 2 3 2 2 6" xfId="20478"/>
    <cellStyle name="Input 2 2 2 2 3 2 2 7" xfId="21489"/>
    <cellStyle name="Input 2 2 2 2 3 2 2 8" xfId="22460"/>
    <cellStyle name="Input 2 2 2 2 3 2 2 9" xfId="23465"/>
    <cellStyle name="Input 2 2 2 2 3 2 20" xfId="36013"/>
    <cellStyle name="Input 2 2 2 2 3 2 21" xfId="36952"/>
    <cellStyle name="Input 2 2 2 2 3 2 3" xfId="16417"/>
    <cellStyle name="Input 2 2 2 2 3 2 4" xfId="17396"/>
    <cellStyle name="Input 2 2 2 2 3 2 5" xfId="18423"/>
    <cellStyle name="Input 2 2 2 2 3 2 6" xfId="19455"/>
    <cellStyle name="Input 2 2 2 2 3 2 7" xfId="20477"/>
    <cellStyle name="Input 2 2 2 2 3 2 8" xfId="21488"/>
    <cellStyle name="Input 2 2 2 2 3 2 9" xfId="22459"/>
    <cellStyle name="Input 2 2 2 2 3 3" xfId="4597"/>
    <cellStyle name="Input 2 2 2 2 3 3 10" xfId="23466"/>
    <cellStyle name="Input 2 2 2 2 3 3 11" xfId="24438"/>
    <cellStyle name="Input 2 2 2 2 3 3 12" xfId="25437"/>
    <cellStyle name="Input 2 2 2 2 3 3 13" xfId="28384"/>
    <cellStyle name="Input 2 2 2 2 3 3 14" xfId="29351"/>
    <cellStyle name="Input 2 2 2 2 3 3 15" xfId="30393"/>
    <cellStyle name="Input 2 2 2 2 3 3 16" xfId="31384"/>
    <cellStyle name="Input 2 2 2 2 3 3 17" xfId="32392"/>
    <cellStyle name="Input 2 2 2 2 3 3 18" xfId="33395"/>
    <cellStyle name="Input 2 2 2 2 3 3 19" xfId="34394"/>
    <cellStyle name="Input 2 2 2 2 3 3 2" xfId="4598"/>
    <cellStyle name="Input 2 2 2 2 3 3 2 10" xfId="24439"/>
    <cellStyle name="Input 2 2 2 2 3 3 2 11" xfId="25438"/>
    <cellStyle name="Input 2 2 2 2 3 3 2 12" xfId="28385"/>
    <cellStyle name="Input 2 2 2 2 3 3 2 13" xfId="29352"/>
    <cellStyle name="Input 2 2 2 2 3 3 2 14" xfId="30394"/>
    <cellStyle name="Input 2 2 2 2 3 3 2 15" xfId="31385"/>
    <cellStyle name="Input 2 2 2 2 3 3 2 16" xfId="32393"/>
    <cellStyle name="Input 2 2 2 2 3 3 2 17" xfId="33396"/>
    <cellStyle name="Input 2 2 2 2 3 3 2 18" xfId="34395"/>
    <cellStyle name="Input 2 2 2 2 3 3 2 19" xfId="36016"/>
    <cellStyle name="Input 2 2 2 2 3 3 2 2" xfId="16420"/>
    <cellStyle name="Input 2 2 2 2 3 3 2 20" xfId="36955"/>
    <cellStyle name="Input 2 2 2 2 3 3 2 3" xfId="17399"/>
    <cellStyle name="Input 2 2 2 2 3 3 2 4" xfId="18426"/>
    <cellStyle name="Input 2 2 2 2 3 3 2 5" xfId="19458"/>
    <cellStyle name="Input 2 2 2 2 3 3 2 6" xfId="20480"/>
    <cellStyle name="Input 2 2 2 2 3 3 2 7" xfId="21491"/>
    <cellStyle name="Input 2 2 2 2 3 3 2 8" xfId="22462"/>
    <cellStyle name="Input 2 2 2 2 3 3 2 9" xfId="23467"/>
    <cellStyle name="Input 2 2 2 2 3 3 20" xfId="36015"/>
    <cellStyle name="Input 2 2 2 2 3 3 21" xfId="36954"/>
    <cellStyle name="Input 2 2 2 2 3 3 3" xfId="16419"/>
    <cellStyle name="Input 2 2 2 2 3 3 4" xfId="17398"/>
    <cellStyle name="Input 2 2 2 2 3 3 5" xfId="18425"/>
    <cellStyle name="Input 2 2 2 2 3 3 6" xfId="19457"/>
    <cellStyle name="Input 2 2 2 2 3 3 7" xfId="20479"/>
    <cellStyle name="Input 2 2 2 2 3 3 8" xfId="21490"/>
    <cellStyle name="Input 2 2 2 2 3 3 9" xfId="22461"/>
    <cellStyle name="Input 2 2 2 2 3 4" xfId="4599"/>
    <cellStyle name="Input 2 2 2 2 3 4 10" xfId="23468"/>
    <cellStyle name="Input 2 2 2 2 3 4 11" xfId="24440"/>
    <cellStyle name="Input 2 2 2 2 3 4 12" xfId="25439"/>
    <cellStyle name="Input 2 2 2 2 3 4 13" xfId="28386"/>
    <cellStyle name="Input 2 2 2 2 3 4 14" xfId="29353"/>
    <cellStyle name="Input 2 2 2 2 3 4 15" xfId="30395"/>
    <cellStyle name="Input 2 2 2 2 3 4 16" xfId="31386"/>
    <cellStyle name="Input 2 2 2 2 3 4 17" xfId="32394"/>
    <cellStyle name="Input 2 2 2 2 3 4 18" xfId="33397"/>
    <cellStyle name="Input 2 2 2 2 3 4 19" xfId="34396"/>
    <cellStyle name="Input 2 2 2 2 3 4 2" xfId="4600"/>
    <cellStyle name="Input 2 2 2 2 3 4 2 10" xfId="24441"/>
    <cellStyle name="Input 2 2 2 2 3 4 2 11" xfId="25440"/>
    <cellStyle name="Input 2 2 2 2 3 4 2 12" xfId="28387"/>
    <cellStyle name="Input 2 2 2 2 3 4 2 13" xfId="29354"/>
    <cellStyle name="Input 2 2 2 2 3 4 2 14" xfId="30396"/>
    <cellStyle name="Input 2 2 2 2 3 4 2 15" xfId="31387"/>
    <cellStyle name="Input 2 2 2 2 3 4 2 16" xfId="32395"/>
    <cellStyle name="Input 2 2 2 2 3 4 2 17" xfId="33398"/>
    <cellStyle name="Input 2 2 2 2 3 4 2 18" xfId="34397"/>
    <cellStyle name="Input 2 2 2 2 3 4 2 19" xfId="36018"/>
    <cellStyle name="Input 2 2 2 2 3 4 2 2" xfId="16422"/>
    <cellStyle name="Input 2 2 2 2 3 4 2 20" xfId="36957"/>
    <cellStyle name="Input 2 2 2 2 3 4 2 3" xfId="17401"/>
    <cellStyle name="Input 2 2 2 2 3 4 2 4" xfId="18428"/>
    <cellStyle name="Input 2 2 2 2 3 4 2 5" xfId="19460"/>
    <cellStyle name="Input 2 2 2 2 3 4 2 6" xfId="20482"/>
    <cellStyle name="Input 2 2 2 2 3 4 2 7" xfId="21493"/>
    <cellStyle name="Input 2 2 2 2 3 4 2 8" xfId="22464"/>
    <cellStyle name="Input 2 2 2 2 3 4 2 9" xfId="23469"/>
    <cellStyle name="Input 2 2 2 2 3 4 20" xfId="36017"/>
    <cellStyle name="Input 2 2 2 2 3 4 21" xfId="36956"/>
    <cellStyle name="Input 2 2 2 2 3 4 3" xfId="16421"/>
    <cellStyle name="Input 2 2 2 2 3 4 4" xfId="17400"/>
    <cellStyle name="Input 2 2 2 2 3 4 5" xfId="18427"/>
    <cellStyle name="Input 2 2 2 2 3 4 6" xfId="19459"/>
    <cellStyle name="Input 2 2 2 2 3 4 7" xfId="20481"/>
    <cellStyle name="Input 2 2 2 2 3 4 8" xfId="21492"/>
    <cellStyle name="Input 2 2 2 2 3 4 9" xfId="22463"/>
    <cellStyle name="Input 2 2 2 2 3 5" xfId="4601"/>
    <cellStyle name="Input 2 2 2 2 3 5 10" xfId="24442"/>
    <cellStyle name="Input 2 2 2 2 3 5 11" xfId="25441"/>
    <cellStyle name="Input 2 2 2 2 3 5 12" xfId="28388"/>
    <cellStyle name="Input 2 2 2 2 3 5 13" xfId="29355"/>
    <cellStyle name="Input 2 2 2 2 3 5 14" xfId="30397"/>
    <cellStyle name="Input 2 2 2 2 3 5 15" xfId="31388"/>
    <cellStyle name="Input 2 2 2 2 3 5 16" xfId="32396"/>
    <cellStyle name="Input 2 2 2 2 3 5 17" xfId="33399"/>
    <cellStyle name="Input 2 2 2 2 3 5 18" xfId="34398"/>
    <cellStyle name="Input 2 2 2 2 3 5 19" xfId="36019"/>
    <cellStyle name="Input 2 2 2 2 3 5 2" xfId="16423"/>
    <cellStyle name="Input 2 2 2 2 3 5 20" xfId="36958"/>
    <cellStyle name="Input 2 2 2 2 3 5 3" xfId="17402"/>
    <cellStyle name="Input 2 2 2 2 3 5 4" xfId="18429"/>
    <cellStyle name="Input 2 2 2 2 3 5 5" xfId="19461"/>
    <cellStyle name="Input 2 2 2 2 3 5 6" xfId="20483"/>
    <cellStyle name="Input 2 2 2 2 3 5 7" xfId="21494"/>
    <cellStyle name="Input 2 2 2 2 3 5 8" xfId="22465"/>
    <cellStyle name="Input 2 2 2 2 3 5 9" xfId="23470"/>
    <cellStyle name="Input 2 2 2 2 3 6" xfId="13771"/>
    <cellStyle name="Input 2 2 2 2 3 7" xfId="14554"/>
    <cellStyle name="Input 2 2 2 2 3 8" xfId="15573"/>
    <cellStyle name="Input 2 2 2 2 3 9" xfId="14753"/>
    <cellStyle name="Input 2 2 2 2 4" xfId="4602"/>
    <cellStyle name="Input 2 2 2 2 4 10" xfId="14744"/>
    <cellStyle name="Input 2 2 2 2 4 11" xfId="15319"/>
    <cellStyle name="Input 2 2 2 2 4 12" xfId="26410"/>
    <cellStyle name="Input 2 2 2 2 4 13" xfId="27694"/>
    <cellStyle name="Input 2 2 2 2 4 14" xfId="26149"/>
    <cellStyle name="Input 2 2 2 2 4 15" xfId="26776"/>
    <cellStyle name="Input 2 2 2 2 4 16" xfId="27319"/>
    <cellStyle name="Input 2 2 2 2 4 17" xfId="26679"/>
    <cellStyle name="Input 2 2 2 2 4 18" xfId="35100"/>
    <cellStyle name="Input 2 2 2 2 4 19" xfId="35261"/>
    <cellStyle name="Input 2 2 2 2 4 2" xfId="4603"/>
    <cellStyle name="Input 2 2 2 2 4 2 10" xfId="23471"/>
    <cellStyle name="Input 2 2 2 2 4 2 11" xfId="24443"/>
    <cellStyle name="Input 2 2 2 2 4 2 12" xfId="25442"/>
    <cellStyle name="Input 2 2 2 2 4 2 13" xfId="28389"/>
    <cellStyle name="Input 2 2 2 2 4 2 14" xfId="29356"/>
    <cellStyle name="Input 2 2 2 2 4 2 15" xfId="30398"/>
    <cellStyle name="Input 2 2 2 2 4 2 16" xfId="31389"/>
    <cellStyle name="Input 2 2 2 2 4 2 17" xfId="32397"/>
    <cellStyle name="Input 2 2 2 2 4 2 18" xfId="33400"/>
    <cellStyle name="Input 2 2 2 2 4 2 19" xfId="34399"/>
    <cellStyle name="Input 2 2 2 2 4 2 2" xfId="4604"/>
    <cellStyle name="Input 2 2 2 2 4 2 2 10" xfId="24444"/>
    <cellStyle name="Input 2 2 2 2 4 2 2 11" xfId="25443"/>
    <cellStyle name="Input 2 2 2 2 4 2 2 12" xfId="28390"/>
    <cellStyle name="Input 2 2 2 2 4 2 2 13" xfId="29357"/>
    <cellStyle name="Input 2 2 2 2 4 2 2 14" xfId="30399"/>
    <cellStyle name="Input 2 2 2 2 4 2 2 15" xfId="31390"/>
    <cellStyle name="Input 2 2 2 2 4 2 2 16" xfId="32398"/>
    <cellStyle name="Input 2 2 2 2 4 2 2 17" xfId="33401"/>
    <cellStyle name="Input 2 2 2 2 4 2 2 18" xfId="34400"/>
    <cellStyle name="Input 2 2 2 2 4 2 2 19" xfId="36021"/>
    <cellStyle name="Input 2 2 2 2 4 2 2 2" xfId="16425"/>
    <cellStyle name="Input 2 2 2 2 4 2 2 20" xfId="36960"/>
    <cellStyle name="Input 2 2 2 2 4 2 2 3" xfId="17404"/>
    <cellStyle name="Input 2 2 2 2 4 2 2 4" xfId="18431"/>
    <cellStyle name="Input 2 2 2 2 4 2 2 5" xfId="19463"/>
    <cellStyle name="Input 2 2 2 2 4 2 2 6" xfId="20485"/>
    <cellStyle name="Input 2 2 2 2 4 2 2 7" xfId="21496"/>
    <cellStyle name="Input 2 2 2 2 4 2 2 8" xfId="22467"/>
    <cellStyle name="Input 2 2 2 2 4 2 2 9" xfId="23472"/>
    <cellStyle name="Input 2 2 2 2 4 2 20" xfId="36020"/>
    <cellStyle name="Input 2 2 2 2 4 2 21" xfId="36959"/>
    <cellStyle name="Input 2 2 2 2 4 2 3" xfId="16424"/>
    <cellStyle name="Input 2 2 2 2 4 2 4" xfId="17403"/>
    <cellStyle name="Input 2 2 2 2 4 2 5" xfId="18430"/>
    <cellStyle name="Input 2 2 2 2 4 2 6" xfId="19462"/>
    <cellStyle name="Input 2 2 2 2 4 2 7" xfId="20484"/>
    <cellStyle name="Input 2 2 2 2 4 2 8" xfId="21495"/>
    <cellStyle name="Input 2 2 2 2 4 2 9" xfId="22466"/>
    <cellStyle name="Input 2 2 2 2 4 3" xfId="4605"/>
    <cellStyle name="Input 2 2 2 2 4 3 10" xfId="23473"/>
    <cellStyle name="Input 2 2 2 2 4 3 11" xfId="24445"/>
    <cellStyle name="Input 2 2 2 2 4 3 12" xfId="25444"/>
    <cellStyle name="Input 2 2 2 2 4 3 13" xfId="28391"/>
    <cellStyle name="Input 2 2 2 2 4 3 14" xfId="29358"/>
    <cellStyle name="Input 2 2 2 2 4 3 15" xfId="30400"/>
    <cellStyle name="Input 2 2 2 2 4 3 16" xfId="31391"/>
    <cellStyle name="Input 2 2 2 2 4 3 17" xfId="32399"/>
    <cellStyle name="Input 2 2 2 2 4 3 18" xfId="33402"/>
    <cellStyle name="Input 2 2 2 2 4 3 19" xfId="34401"/>
    <cellStyle name="Input 2 2 2 2 4 3 2" xfId="4606"/>
    <cellStyle name="Input 2 2 2 2 4 3 2 10" xfId="24446"/>
    <cellStyle name="Input 2 2 2 2 4 3 2 11" xfId="25445"/>
    <cellStyle name="Input 2 2 2 2 4 3 2 12" xfId="28392"/>
    <cellStyle name="Input 2 2 2 2 4 3 2 13" xfId="29359"/>
    <cellStyle name="Input 2 2 2 2 4 3 2 14" xfId="30401"/>
    <cellStyle name="Input 2 2 2 2 4 3 2 15" xfId="31392"/>
    <cellStyle name="Input 2 2 2 2 4 3 2 16" xfId="32400"/>
    <cellStyle name="Input 2 2 2 2 4 3 2 17" xfId="33403"/>
    <cellStyle name="Input 2 2 2 2 4 3 2 18" xfId="34402"/>
    <cellStyle name="Input 2 2 2 2 4 3 2 19" xfId="36023"/>
    <cellStyle name="Input 2 2 2 2 4 3 2 2" xfId="16427"/>
    <cellStyle name="Input 2 2 2 2 4 3 2 20" xfId="36962"/>
    <cellStyle name="Input 2 2 2 2 4 3 2 3" xfId="17406"/>
    <cellStyle name="Input 2 2 2 2 4 3 2 4" xfId="18433"/>
    <cellStyle name="Input 2 2 2 2 4 3 2 5" xfId="19465"/>
    <cellStyle name="Input 2 2 2 2 4 3 2 6" xfId="20487"/>
    <cellStyle name="Input 2 2 2 2 4 3 2 7" xfId="21498"/>
    <cellStyle name="Input 2 2 2 2 4 3 2 8" xfId="22469"/>
    <cellStyle name="Input 2 2 2 2 4 3 2 9" xfId="23474"/>
    <cellStyle name="Input 2 2 2 2 4 3 20" xfId="36022"/>
    <cellStyle name="Input 2 2 2 2 4 3 21" xfId="36961"/>
    <cellStyle name="Input 2 2 2 2 4 3 3" xfId="16426"/>
    <cellStyle name="Input 2 2 2 2 4 3 4" xfId="17405"/>
    <cellStyle name="Input 2 2 2 2 4 3 5" xfId="18432"/>
    <cellStyle name="Input 2 2 2 2 4 3 6" xfId="19464"/>
    <cellStyle name="Input 2 2 2 2 4 3 7" xfId="20486"/>
    <cellStyle name="Input 2 2 2 2 4 3 8" xfId="21497"/>
    <cellStyle name="Input 2 2 2 2 4 3 9" xfId="22468"/>
    <cellStyle name="Input 2 2 2 2 4 4" xfId="4607"/>
    <cellStyle name="Input 2 2 2 2 4 4 10" xfId="23475"/>
    <cellStyle name="Input 2 2 2 2 4 4 11" xfId="24447"/>
    <cellStyle name="Input 2 2 2 2 4 4 12" xfId="25446"/>
    <cellStyle name="Input 2 2 2 2 4 4 13" xfId="28393"/>
    <cellStyle name="Input 2 2 2 2 4 4 14" xfId="29360"/>
    <cellStyle name="Input 2 2 2 2 4 4 15" xfId="30402"/>
    <cellStyle name="Input 2 2 2 2 4 4 16" xfId="31393"/>
    <cellStyle name="Input 2 2 2 2 4 4 17" xfId="32401"/>
    <cellStyle name="Input 2 2 2 2 4 4 18" xfId="33404"/>
    <cellStyle name="Input 2 2 2 2 4 4 19" xfId="34403"/>
    <cellStyle name="Input 2 2 2 2 4 4 2" xfId="4608"/>
    <cellStyle name="Input 2 2 2 2 4 4 2 10" xfId="24448"/>
    <cellStyle name="Input 2 2 2 2 4 4 2 11" xfId="25447"/>
    <cellStyle name="Input 2 2 2 2 4 4 2 12" xfId="28394"/>
    <cellStyle name="Input 2 2 2 2 4 4 2 13" xfId="29361"/>
    <cellStyle name="Input 2 2 2 2 4 4 2 14" xfId="30403"/>
    <cellStyle name="Input 2 2 2 2 4 4 2 15" xfId="31394"/>
    <cellStyle name="Input 2 2 2 2 4 4 2 16" xfId="32402"/>
    <cellStyle name="Input 2 2 2 2 4 4 2 17" xfId="33405"/>
    <cellStyle name="Input 2 2 2 2 4 4 2 18" xfId="34404"/>
    <cellStyle name="Input 2 2 2 2 4 4 2 19" xfId="36025"/>
    <cellStyle name="Input 2 2 2 2 4 4 2 2" xfId="16429"/>
    <cellStyle name="Input 2 2 2 2 4 4 2 20" xfId="36964"/>
    <cellStyle name="Input 2 2 2 2 4 4 2 3" xfId="17408"/>
    <cellStyle name="Input 2 2 2 2 4 4 2 4" xfId="18435"/>
    <cellStyle name="Input 2 2 2 2 4 4 2 5" xfId="19467"/>
    <cellStyle name="Input 2 2 2 2 4 4 2 6" xfId="20489"/>
    <cellStyle name="Input 2 2 2 2 4 4 2 7" xfId="21500"/>
    <cellStyle name="Input 2 2 2 2 4 4 2 8" xfId="22471"/>
    <cellStyle name="Input 2 2 2 2 4 4 2 9" xfId="23476"/>
    <cellStyle name="Input 2 2 2 2 4 4 20" xfId="36024"/>
    <cellStyle name="Input 2 2 2 2 4 4 21" xfId="36963"/>
    <cellStyle name="Input 2 2 2 2 4 4 3" xfId="16428"/>
    <cellStyle name="Input 2 2 2 2 4 4 4" xfId="17407"/>
    <cellStyle name="Input 2 2 2 2 4 4 5" xfId="18434"/>
    <cellStyle name="Input 2 2 2 2 4 4 6" xfId="19466"/>
    <cellStyle name="Input 2 2 2 2 4 4 7" xfId="20488"/>
    <cellStyle name="Input 2 2 2 2 4 4 8" xfId="21499"/>
    <cellStyle name="Input 2 2 2 2 4 4 9" xfId="22470"/>
    <cellStyle name="Input 2 2 2 2 4 5" xfId="4609"/>
    <cellStyle name="Input 2 2 2 2 4 5 10" xfId="24449"/>
    <cellStyle name="Input 2 2 2 2 4 5 11" xfId="25448"/>
    <cellStyle name="Input 2 2 2 2 4 5 12" xfId="28395"/>
    <cellStyle name="Input 2 2 2 2 4 5 13" xfId="29362"/>
    <cellStyle name="Input 2 2 2 2 4 5 14" xfId="30404"/>
    <cellStyle name="Input 2 2 2 2 4 5 15" xfId="31395"/>
    <cellStyle name="Input 2 2 2 2 4 5 16" xfId="32403"/>
    <cellStyle name="Input 2 2 2 2 4 5 17" xfId="33406"/>
    <cellStyle name="Input 2 2 2 2 4 5 18" xfId="34405"/>
    <cellStyle name="Input 2 2 2 2 4 5 19" xfId="36026"/>
    <cellStyle name="Input 2 2 2 2 4 5 2" xfId="16430"/>
    <cellStyle name="Input 2 2 2 2 4 5 20" xfId="36965"/>
    <cellStyle name="Input 2 2 2 2 4 5 3" xfId="17409"/>
    <cellStyle name="Input 2 2 2 2 4 5 4" xfId="18436"/>
    <cellStyle name="Input 2 2 2 2 4 5 5" xfId="19468"/>
    <cellStyle name="Input 2 2 2 2 4 5 6" xfId="20490"/>
    <cellStyle name="Input 2 2 2 2 4 5 7" xfId="21501"/>
    <cellStyle name="Input 2 2 2 2 4 5 8" xfId="22472"/>
    <cellStyle name="Input 2 2 2 2 4 5 9" xfId="23477"/>
    <cellStyle name="Input 2 2 2 2 4 6" xfId="13776"/>
    <cellStyle name="Input 2 2 2 2 4 7" xfId="14556"/>
    <cellStyle name="Input 2 2 2 2 4 8" xfId="14662"/>
    <cellStyle name="Input 2 2 2 2 4 9" xfId="15123"/>
    <cellStyle name="Input 2 2 2 2 5" xfId="4610"/>
    <cellStyle name="Input 2 2 2 2 5 10" xfId="14092"/>
    <cellStyle name="Input 2 2 2 2 5 11" xfId="14455"/>
    <cellStyle name="Input 2 2 2 2 5 12" xfId="26437"/>
    <cellStyle name="Input 2 2 2 2 5 13" xfId="27091"/>
    <cellStyle name="Input 2 2 2 2 5 14" xfId="26158"/>
    <cellStyle name="Input 2 2 2 2 5 15" xfId="27832"/>
    <cellStyle name="Input 2 2 2 2 5 16" xfId="27597"/>
    <cellStyle name="Input 2 2 2 2 5 17" xfId="27802"/>
    <cellStyle name="Input 2 2 2 2 5 18" xfId="35121"/>
    <cellStyle name="Input 2 2 2 2 5 19" xfId="35246"/>
    <cellStyle name="Input 2 2 2 2 5 2" xfId="4611"/>
    <cellStyle name="Input 2 2 2 2 5 2 10" xfId="23478"/>
    <cellStyle name="Input 2 2 2 2 5 2 11" xfId="24450"/>
    <cellStyle name="Input 2 2 2 2 5 2 12" xfId="25449"/>
    <cellStyle name="Input 2 2 2 2 5 2 13" xfId="28396"/>
    <cellStyle name="Input 2 2 2 2 5 2 14" xfId="29363"/>
    <cellStyle name="Input 2 2 2 2 5 2 15" xfId="30405"/>
    <cellStyle name="Input 2 2 2 2 5 2 16" xfId="31396"/>
    <cellStyle name="Input 2 2 2 2 5 2 17" xfId="32404"/>
    <cellStyle name="Input 2 2 2 2 5 2 18" xfId="33407"/>
    <cellStyle name="Input 2 2 2 2 5 2 19" xfId="34406"/>
    <cellStyle name="Input 2 2 2 2 5 2 2" xfId="4612"/>
    <cellStyle name="Input 2 2 2 2 5 2 2 10" xfId="24451"/>
    <cellStyle name="Input 2 2 2 2 5 2 2 11" xfId="25450"/>
    <cellStyle name="Input 2 2 2 2 5 2 2 12" xfId="28397"/>
    <cellStyle name="Input 2 2 2 2 5 2 2 13" xfId="29364"/>
    <cellStyle name="Input 2 2 2 2 5 2 2 14" xfId="30406"/>
    <cellStyle name="Input 2 2 2 2 5 2 2 15" xfId="31397"/>
    <cellStyle name="Input 2 2 2 2 5 2 2 16" xfId="32405"/>
    <cellStyle name="Input 2 2 2 2 5 2 2 17" xfId="33408"/>
    <cellStyle name="Input 2 2 2 2 5 2 2 18" xfId="34407"/>
    <cellStyle name="Input 2 2 2 2 5 2 2 19" xfId="36028"/>
    <cellStyle name="Input 2 2 2 2 5 2 2 2" xfId="16432"/>
    <cellStyle name="Input 2 2 2 2 5 2 2 20" xfId="36967"/>
    <cellStyle name="Input 2 2 2 2 5 2 2 3" xfId="17411"/>
    <cellStyle name="Input 2 2 2 2 5 2 2 4" xfId="18438"/>
    <cellStyle name="Input 2 2 2 2 5 2 2 5" xfId="19470"/>
    <cellStyle name="Input 2 2 2 2 5 2 2 6" xfId="20492"/>
    <cellStyle name="Input 2 2 2 2 5 2 2 7" xfId="21503"/>
    <cellStyle name="Input 2 2 2 2 5 2 2 8" xfId="22474"/>
    <cellStyle name="Input 2 2 2 2 5 2 2 9" xfId="23479"/>
    <cellStyle name="Input 2 2 2 2 5 2 20" xfId="36027"/>
    <cellStyle name="Input 2 2 2 2 5 2 21" xfId="36966"/>
    <cellStyle name="Input 2 2 2 2 5 2 3" xfId="16431"/>
    <cellStyle name="Input 2 2 2 2 5 2 4" xfId="17410"/>
    <cellStyle name="Input 2 2 2 2 5 2 5" xfId="18437"/>
    <cellStyle name="Input 2 2 2 2 5 2 6" xfId="19469"/>
    <cellStyle name="Input 2 2 2 2 5 2 7" xfId="20491"/>
    <cellStyle name="Input 2 2 2 2 5 2 8" xfId="21502"/>
    <cellStyle name="Input 2 2 2 2 5 2 9" xfId="22473"/>
    <cellStyle name="Input 2 2 2 2 5 3" xfId="4613"/>
    <cellStyle name="Input 2 2 2 2 5 3 10" xfId="23480"/>
    <cellStyle name="Input 2 2 2 2 5 3 11" xfId="24452"/>
    <cellStyle name="Input 2 2 2 2 5 3 12" xfId="25451"/>
    <cellStyle name="Input 2 2 2 2 5 3 13" xfId="28398"/>
    <cellStyle name="Input 2 2 2 2 5 3 14" xfId="29365"/>
    <cellStyle name="Input 2 2 2 2 5 3 15" xfId="30407"/>
    <cellStyle name="Input 2 2 2 2 5 3 16" xfId="31398"/>
    <cellStyle name="Input 2 2 2 2 5 3 17" xfId="32406"/>
    <cellStyle name="Input 2 2 2 2 5 3 18" xfId="33409"/>
    <cellStyle name="Input 2 2 2 2 5 3 19" xfId="34408"/>
    <cellStyle name="Input 2 2 2 2 5 3 2" xfId="4614"/>
    <cellStyle name="Input 2 2 2 2 5 3 2 10" xfId="24453"/>
    <cellStyle name="Input 2 2 2 2 5 3 2 11" xfId="25452"/>
    <cellStyle name="Input 2 2 2 2 5 3 2 12" xfId="28399"/>
    <cellStyle name="Input 2 2 2 2 5 3 2 13" xfId="29366"/>
    <cellStyle name="Input 2 2 2 2 5 3 2 14" xfId="30408"/>
    <cellStyle name="Input 2 2 2 2 5 3 2 15" xfId="31399"/>
    <cellStyle name="Input 2 2 2 2 5 3 2 16" xfId="32407"/>
    <cellStyle name="Input 2 2 2 2 5 3 2 17" xfId="33410"/>
    <cellStyle name="Input 2 2 2 2 5 3 2 18" xfId="34409"/>
    <cellStyle name="Input 2 2 2 2 5 3 2 19" xfId="36030"/>
    <cellStyle name="Input 2 2 2 2 5 3 2 2" xfId="16434"/>
    <cellStyle name="Input 2 2 2 2 5 3 2 20" xfId="36969"/>
    <cellStyle name="Input 2 2 2 2 5 3 2 3" xfId="17413"/>
    <cellStyle name="Input 2 2 2 2 5 3 2 4" xfId="18440"/>
    <cellStyle name="Input 2 2 2 2 5 3 2 5" xfId="19472"/>
    <cellStyle name="Input 2 2 2 2 5 3 2 6" xfId="20494"/>
    <cellStyle name="Input 2 2 2 2 5 3 2 7" xfId="21505"/>
    <cellStyle name="Input 2 2 2 2 5 3 2 8" xfId="22476"/>
    <cellStyle name="Input 2 2 2 2 5 3 2 9" xfId="23481"/>
    <cellStyle name="Input 2 2 2 2 5 3 20" xfId="36029"/>
    <cellStyle name="Input 2 2 2 2 5 3 21" xfId="36968"/>
    <cellStyle name="Input 2 2 2 2 5 3 3" xfId="16433"/>
    <cellStyle name="Input 2 2 2 2 5 3 4" xfId="17412"/>
    <cellStyle name="Input 2 2 2 2 5 3 5" xfId="18439"/>
    <cellStyle name="Input 2 2 2 2 5 3 6" xfId="19471"/>
    <cellStyle name="Input 2 2 2 2 5 3 7" xfId="20493"/>
    <cellStyle name="Input 2 2 2 2 5 3 8" xfId="21504"/>
    <cellStyle name="Input 2 2 2 2 5 3 9" xfId="22475"/>
    <cellStyle name="Input 2 2 2 2 5 4" xfId="4615"/>
    <cellStyle name="Input 2 2 2 2 5 4 10" xfId="23482"/>
    <cellStyle name="Input 2 2 2 2 5 4 11" xfId="24454"/>
    <cellStyle name="Input 2 2 2 2 5 4 12" xfId="25453"/>
    <cellStyle name="Input 2 2 2 2 5 4 13" xfId="28400"/>
    <cellStyle name="Input 2 2 2 2 5 4 14" xfId="29367"/>
    <cellStyle name="Input 2 2 2 2 5 4 15" xfId="30409"/>
    <cellStyle name="Input 2 2 2 2 5 4 16" xfId="31400"/>
    <cellStyle name="Input 2 2 2 2 5 4 17" xfId="32408"/>
    <cellStyle name="Input 2 2 2 2 5 4 18" xfId="33411"/>
    <cellStyle name="Input 2 2 2 2 5 4 19" xfId="34410"/>
    <cellStyle name="Input 2 2 2 2 5 4 2" xfId="4616"/>
    <cellStyle name="Input 2 2 2 2 5 4 2 10" xfId="24455"/>
    <cellStyle name="Input 2 2 2 2 5 4 2 11" xfId="25454"/>
    <cellStyle name="Input 2 2 2 2 5 4 2 12" xfId="28401"/>
    <cellStyle name="Input 2 2 2 2 5 4 2 13" xfId="29368"/>
    <cellStyle name="Input 2 2 2 2 5 4 2 14" xfId="30410"/>
    <cellStyle name="Input 2 2 2 2 5 4 2 15" xfId="31401"/>
    <cellStyle name="Input 2 2 2 2 5 4 2 16" xfId="32409"/>
    <cellStyle name="Input 2 2 2 2 5 4 2 17" xfId="33412"/>
    <cellStyle name="Input 2 2 2 2 5 4 2 18" xfId="34411"/>
    <cellStyle name="Input 2 2 2 2 5 4 2 19" xfId="36032"/>
    <cellStyle name="Input 2 2 2 2 5 4 2 2" xfId="16436"/>
    <cellStyle name="Input 2 2 2 2 5 4 2 20" xfId="36971"/>
    <cellStyle name="Input 2 2 2 2 5 4 2 3" xfId="17415"/>
    <cellStyle name="Input 2 2 2 2 5 4 2 4" xfId="18442"/>
    <cellStyle name="Input 2 2 2 2 5 4 2 5" xfId="19474"/>
    <cellStyle name="Input 2 2 2 2 5 4 2 6" xfId="20496"/>
    <cellStyle name="Input 2 2 2 2 5 4 2 7" xfId="21507"/>
    <cellStyle name="Input 2 2 2 2 5 4 2 8" xfId="22478"/>
    <cellStyle name="Input 2 2 2 2 5 4 2 9" xfId="23483"/>
    <cellStyle name="Input 2 2 2 2 5 4 20" xfId="36031"/>
    <cellStyle name="Input 2 2 2 2 5 4 21" xfId="36970"/>
    <cellStyle name="Input 2 2 2 2 5 4 3" xfId="16435"/>
    <cellStyle name="Input 2 2 2 2 5 4 4" xfId="17414"/>
    <cellStyle name="Input 2 2 2 2 5 4 5" xfId="18441"/>
    <cellStyle name="Input 2 2 2 2 5 4 6" xfId="19473"/>
    <cellStyle name="Input 2 2 2 2 5 4 7" xfId="20495"/>
    <cellStyle name="Input 2 2 2 2 5 4 8" xfId="21506"/>
    <cellStyle name="Input 2 2 2 2 5 4 9" xfId="22477"/>
    <cellStyle name="Input 2 2 2 2 5 5" xfId="4617"/>
    <cellStyle name="Input 2 2 2 2 5 5 10" xfId="24456"/>
    <cellStyle name="Input 2 2 2 2 5 5 11" xfId="25455"/>
    <cellStyle name="Input 2 2 2 2 5 5 12" xfId="28402"/>
    <cellStyle name="Input 2 2 2 2 5 5 13" xfId="29369"/>
    <cellStyle name="Input 2 2 2 2 5 5 14" xfId="30411"/>
    <cellStyle name="Input 2 2 2 2 5 5 15" xfId="31402"/>
    <cellStyle name="Input 2 2 2 2 5 5 16" xfId="32410"/>
    <cellStyle name="Input 2 2 2 2 5 5 17" xfId="33413"/>
    <cellStyle name="Input 2 2 2 2 5 5 18" xfId="34412"/>
    <cellStyle name="Input 2 2 2 2 5 5 19" xfId="36033"/>
    <cellStyle name="Input 2 2 2 2 5 5 2" xfId="16437"/>
    <cellStyle name="Input 2 2 2 2 5 5 20" xfId="36972"/>
    <cellStyle name="Input 2 2 2 2 5 5 3" xfId="17416"/>
    <cellStyle name="Input 2 2 2 2 5 5 4" xfId="18443"/>
    <cellStyle name="Input 2 2 2 2 5 5 5" xfId="19475"/>
    <cellStyle name="Input 2 2 2 2 5 5 6" xfId="20497"/>
    <cellStyle name="Input 2 2 2 2 5 5 7" xfId="21508"/>
    <cellStyle name="Input 2 2 2 2 5 5 8" xfId="22479"/>
    <cellStyle name="Input 2 2 2 2 5 5 9" xfId="23484"/>
    <cellStyle name="Input 2 2 2 2 5 6" xfId="13487"/>
    <cellStyle name="Input 2 2 2 2 5 7" xfId="13816"/>
    <cellStyle name="Input 2 2 2 2 5 8" xfId="15398"/>
    <cellStyle name="Input 2 2 2 2 5 9" xfId="14603"/>
    <cellStyle name="Input 2 2 2 2 6" xfId="4618"/>
    <cellStyle name="Input 2 2 2 2 6 10" xfId="23485"/>
    <cellStyle name="Input 2 2 2 2 6 11" xfId="24457"/>
    <cellStyle name="Input 2 2 2 2 6 12" xfId="25456"/>
    <cellStyle name="Input 2 2 2 2 6 13" xfId="28403"/>
    <cellStyle name="Input 2 2 2 2 6 14" xfId="29370"/>
    <cellStyle name="Input 2 2 2 2 6 15" xfId="30412"/>
    <cellStyle name="Input 2 2 2 2 6 16" xfId="31403"/>
    <cellStyle name="Input 2 2 2 2 6 17" xfId="32411"/>
    <cellStyle name="Input 2 2 2 2 6 18" xfId="33414"/>
    <cellStyle name="Input 2 2 2 2 6 19" xfId="34413"/>
    <cellStyle name="Input 2 2 2 2 6 2" xfId="4619"/>
    <cellStyle name="Input 2 2 2 2 6 2 10" xfId="24458"/>
    <cellStyle name="Input 2 2 2 2 6 2 11" xfId="25457"/>
    <cellStyle name="Input 2 2 2 2 6 2 12" xfId="28404"/>
    <cellStyle name="Input 2 2 2 2 6 2 13" xfId="29371"/>
    <cellStyle name="Input 2 2 2 2 6 2 14" xfId="30413"/>
    <cellStyle name="Input 2 2 2 2 6 2 15" xfId="31404"/>
    <cellStyle name="Input 2 2 2 2 6 2 16" xfId="32412"/>
    <cellStyle name="Input 2 2 2 2 6 2 17" xfId="33415"/>
    <cellStyle name="Input 2 2 2 2 6 2 18" xfId="34414"/>
    <cellStyle name="Input 2 2 2 2 6 2 19" xfId="36035"/>
    <cellStyle name="Input 2 2 2 2 6 2 2" xfId="16439"/>
    <cellStyle name="Input 2 2 2 2 6 2 20" xfId="36974"/>
    <cellStyle name="Input 2 2 2 2 6 2 3" xfId="17418"/>
    <cellStyle name="Input 2 2 2 2 6 2 4" xfId="18445"/>
    <cellStyle name="Input 2 2 2 2 6 2 5" xfId="19477"/>
    <cellStyle name="Input 2 2 2 2 6 2 6" xfId="20499"/>
    <cellStyle name="Input 2 2 2 2 6 2 7" xfId="21510"/>
    <cellStyle name="Input 2 2 2 2 6 2 8" xfId="22481"/>
    <cellStyle name="Input 2 2 2 2 6 2 9" xfId="23486"/>
    <cellStyle name="Input 2 2 2 2 6 20" xfId="36034"/>
    <cellStyle name="Input 2 2 2 2 6 21" xfId="36973"/>
    <cellStyle name="Input 2 2 2 2 6 3" xfId="16438"/>
    <cellStyle name="Input 2 2 2 2 6 4" xfId="17417"/>
    <cellStyle name="Input 2 2 2 2 6 5" xfId="18444"/>
    <cellStyle name="Input 2 2 2 2 6 6" xfId="19476"/>
    <cellStyle name="Input 2 2 2 2 6 7" xfId="20498"/>
    <cellStyle name="Input 2 2 2 2 6 8" xfId="21509"/>
    <cellStyle name="Input 2 2 2 2 6 9" xfId="22480"/>
    <cellStyle name="Input 2 2 2 2 7" xfId="4620"/>
    <cellStyle name="Input 2 2 2 2 7 10" xfId="23487"/>
    <cellStyle name="Input 2 2 2 2 7 11" xfId="24459"/>
    <cellStyle name="Input 2 2 2 2 7 12" xfId="25458"/>
    <cellStyle name="Input 2 2 2 2 7 13" xfId="28405"/>
    <cellStyle name="Input 2 2 2 2 7 14" xfId="29372"/>
    <cellStyle name="Input 2 2 2 2 7 15" xfId="30414"/>
    <cellStyle name="Input 2 2 2 2 7 16" xfId="31405"/>
    <cellStyle name="Input 2 2 2 2 7 17" xfId="32413"/>
    <cellStyle name="Input 2 2 2 2 7 18" xfId="33416"/>
    <cellStyle name="Input 2 2 2 2 7 19" xfId="34415"/>
    <cellStyle name="Input 2 2 2 2 7 2" xfId="4621"/>
    <cellStyle name="Input 2 2 2 2 7 2 10" xfId="24460"/>
    <cellStyle name="Input 2 2 2 2 7 2 11" xfId="25459"/>
    <cellStyle name="Input 2 2 2 2 7 2 12" xfId="28406"/>
    <cellStyle name="Input 2 2 2 2 7 2 13" xfId="29373"/>
    <cellStyle name="Input 2 2 2 2 7 2 14" xfId="30415"/>
    <cellStyle name="Input 2 2 2 2 7 2 15" xfId="31406"/>
    <cellStyle name="Input 2 2 2 2 7 2 16" xfId="32414"/>
    <cellStyle name="Input 2 2 2 2 7 2 17" xfId="33417"/>
    <cellStyle name="Input 2 2 2 2 7 2 18" xfId="34416"/>
    <cellStyle name="Input 2 2 2 2 7 2 19" xfId="36037"/>
    <cellStyle name="Input 2 2 2 2 7 2 2" xfId="16441"/>
    <cellStyle name="Input 2 2 2 2 7 2 20" xfId="36976"/>
    <cellStyle name="Input 2 2 2 2 7 2 3" xfId="17420"/>
    <cellStyle name="Input 2 2 2 2 7 2 4" xfId="18447"/>
    <cellStyle name="Input 2 2 2 2 7 2 5" xfId="19479"/>
    <cellStyle name="Input 2 2 2 2 7 2 6" xfId="20501"/>
    <cellStyle name="Input 2 2 2 2 7 2 7" xfId="21512"/>
    <cellStyle name="Input 2 2 2 2 7 2 8" xfId="22483"/>
    <cellStyle name="Input 2 2 2 2 7 2 9" xfId="23488"/>
    <cellStyle name="Input 2 2 2 2 7 20" xfId="36036"/>
    <cellStyle name="Input 2 2 2 2 7 21" xfId="36975"/>
    <cellStyle name="Input 2 2 2 2 7 3" xfId="16440"/>
    <cellStyle name="Input 2 2 2 2 7 4" xfId="17419"/>
    <cellStyle name="Input 2 2 2 2 7 5" xfId="18446"/>
    <cellStyle name="Input 2 2 2 2 7 6" xfId="19478"/>
    <cellStyle name="Input 2 2 2 2 7 7" xfId="20500"/>
    <cellStyle name="Input 2 2 2 2 7 8" xfId="21511"/>
    <cellStyle name="Input 2 2 2 2 7 9" xfId="22482"/>
    <cellStyle name="Input 2 2 2 2 8" xfId="4622"/>
    <cellStyle name="Input 2 2 2 2 8 10" xfId="23489"/>
    <cellStyle name="Input 2 2 2 2 8 11" xfId="24461"/>
    <cellStyle name="Input 2 2 2 2 8 12" xfId="25460"/>
    <cellStyle name="Input 2 2 2 2 8 13" xfId="28407"/>
    <cellStyle name="Input 2 2 2 2 8 14" xfId="29374"/>
    <cellStyle name="Input 2 2 2 2 8 15" xfId="30416"/>
    <cellStyle name="Input 2 2 2 2 8 16" xfId="31407"/>
    <cellStyle name="Input 2 2 2 2 8 17" xfId="32415"/>
    <cellStyle name="Input 2 2 2 2 8 18" xfId="33418"/>
    <cellStyle name="Input 2 2 2 2 8 19" xfId="34417"/>
    <cellStyle name="Input 2 2 2 2 8 2" xfId="4623"/>
    <cellStyle name="Input 2 2 2 2 8 2 10" xfId="24462"/>
    <cellStyle name="Input 2 2 2 2 8 2 11" xfId="25461"/>
    <cellStyle name="Input 2 2 2 2 8 2 12" xfId="28408"/>
    <cellStyle name="Input 2 2 2 2 8 2 13" xfId="29375"/>
    <cellStyle name="Input 2 2 2 2 8 2 14" xfId="30417"/>
    <cellStyle name="Input 2 2 2 2 8 2 15" xfId="31408"/>
    <cellStyle name="Input 2 2 2 2 8 2 16" xfId="32416"/>
    <cellStyle name="Input 2 2 2 2 8 2 17" xfId="33419"/>
    <cellStyle name="Input 2 2 2 2 8 2 18" xfId="34418"/>
    <cellStyle name="Input 2 2 2 2 8 2 19" xfId="36039"/>
    <cellStyle name="Input 2 2 2 2 8 2 2" xfId="16443"/>
    <cellStyle name="Input 2 2 2 2 8 2 20" xfId="36978"/>
    <cellStyle name="Input 2 2 2 2 8 2 3" xfId="17422"/>
    <cellStyle name="Input 2 2 2 2 8 2 4" xfId="18449"/>
    <cellStyle name="Input 2 2 2 2 8 2 5" xfId="19481"/>
    <cellStyle name="Input 2 2 2 2 8 2 6" xfId="20503"/>
    <cellStyle name="Input 2 2 2 2 8 2 7" xfId="21514"/>
    <cellStyle name="Input 2 2 2 2 8 2 8" xfId="22485"/>
    <cellStyle name="Input 2 2 2 2 8 2 9" xfId="23490"/>
    <cellStyle name="Input 2 2 2 2 8 20" xfId="36038"/>
    <cellStyle name="Input 2 2 2 2 8 21" xfId="36977"/>
    <cellStyle name="Input 2 2 2 2 8 3" xfId="16442"/>
    <cellStyle name="Input 2 2 2 2 8 4" xfId="17421"/>
    <cellStyle name="Input 2 2 2 2 8 5" xfId="18448"/>
    <cellStyle name="Input 2 2 2 2 8 6" xfId="19480"/>
    <cellStyle name="Input 2 2 2 2 8 7" xfId="20502"/>
    <cellStyle name="Input 2 2 2 2 8 8" xfId="21513"/>
    <cellStyle name="Input 2 2 2 2 8 9" xfId="22484"/>
    <cellStyle name="Input 2 2 2 2 9" xfId="4624"/>
    <cellStyle name="Input 2 2 2 2 9 10" xfId="24463"/>
    <cellStyle name="Input 2 2 2 2 9 11" xfId="25462"/>
    <cellStyle name="Input 2 2 2 2 9 12" xfId="28409"/>
    <cellStyle name="Input 2 2 2 2 9 13" xfId="29376"/>
    <cellStyle name="Input 2 2 2 2 9 14" xfId="30418"/>
    <cellStyle name="Input 2 2 2 2 9 15" xfId="31409"/>
    <cellStyle name="Input 2 2 2 2 9 16" xfId="32417"/>
    <cellStyle name="Input 2 2 2 2 9 17" xfId="33420"/>
    <cellStyle name="Input 2 2 2 2 9 18" xfId="34419"/>
    <cellStyle name="Input 2 2 2 2 9 19" xfId="36040"/>
    <cellStyle name="Input 2 2 2 2 9 2" xfId="16444"/>
    <cellStyle name="Input 2 2 2 2 9 20" xfId="36979"/>
    <cellStyle name="Input 2 2 2 2 9 3" xfId="17423"/>
    <cellStyle name="Input 2 2 2 2 9 4" xfId="18450"/>
    <cellStyle name="Input 2 2 2 2 9 5" xfId="19482"/>
    <cellStyle name="Input 2 2 2 2 9 6" xfId="20504"/>
    <cellStyle name="Input 2 2 2 2 9 7" xfId="21515"/>
    <cellStyle name="Input 2 2 2 2 9 8" xfId="22486"/>
    <cellStyle name="Input 2 2 2 2 9 9" xfId="23491"/>
    <cellStyle name="Input 2 2 2 20" xfId="34865"/>
    <cellStyle name="Input 2 2 2 21" xfId="34861"/>
    <cellStyle name="Input 2 2 2 22" xfId="35377"/>
    <cellStyle name="Input 2 2 2 23" xfId="37479"/>
    <cellStyle name="Input 2 2 2 3" xfId="4625"/>
    <cellStyle name="Input 2 2 2 3 10" xfId="14014"/>
    <cellStyle name="Input 2 2 2 3 11" xfId="14348"/>
    <cellStyle name="Input 2 2 2 3 12" xfId="13567"/>
    <cellStyle name="Input 2 2 2 3 13" xfId="14697"/>
    <cellStyle name="Input 2 2 2 3 14" xfId="15465"/>
    <cellStyle name="Input 2 2 2 3 15" xfId="15356"/>
    <cellStyle name="Input 2 2 2 3 16" xfId="26514"/>
    <cellStyle name="Input 2 2 2 3 17" xfId="27047"/>
    <cellStyle name="Input 2 2 2 3 18" xfId="26582"/>
    <cellStyle name="Input 2 2 2 3 19" xfId="27750"/>
    <cellStyle name="Input 2 2 2 3 2" xfId="4626"/>
    <cellStyle name="Input 2 2 2 3 2 10" xfId="23492"/>
    <cellStyle name="Input 2 2 2 3 2 11" xfId="24464"/>
    <cellStyle name="Input 2 2 2 3 2 12" xfId="25463"/>
    <cellStyle name="Input 2 2 2 3 2 13" xfId="28410"/>
    <cellStyle name="Input 2 2 2 3 2 14" xfId="29377"/>
    <cellStyle name="Input 2 2 2 3 2 15" xfId="30419"/>
    <cellStyle name="Input 2 2 2 3 2 16" xfId="31410"/>
    <cellStyle name="Input 2 2 2 3 2 17" xfId="32418"/>
    <cellStyle name="Input 2 2 2 3 2 18" xfId="33421"/>
    <cellStyle name="Input 2 2 2 3 2 19" xfId="34420"/>
    <cellStyle name="Input 2 2 2 3 2 2" xfId="4627"/>
    <cellStyle name="Input 2 2 2 3 2 2 10" xfId="24465"/>
    <cellStyle name="Input 2 2 2 3 2 2 11" xfId="25464"/>
    <cellStyle name="Input 2 2 2 3 2 2 12" xfId="28411"/>
    <cellStyle name="Input 2 2 2 3 2 2 13" xfId="29378"/>
    <cellStyle name="Input 2 2 2 3 2 2 14" xfId="30420"/>
    <cellStyle name="Input 2 2 2 3 2 2 15" xfId="31411"/>
    <cellStyle name="Input 2 2 2 3 2 2 16" xfId="32419"/>
    <cellStyle name="Input 2 2 2 3 2 2 17" xfId="33422"/>
    <cellStyle name="Input 2 2 2 3 2 2 18" xfId="34421"/>
    <cellStyle name="Input 2 2 2 3 2 2 19" xfId="36042"/>
    <cellStyle name="Input 2 2 2 3 2 2 2" xfId="16446"/>
    <cellStyle name="Input 2 2 2 3 2 2 20" xfId="36981"/>
    <cellStyle name="Input 2 2 2 3 2 2 3" xfId="17425"/>
    <cellStyle name="Input 2 2 2 3 2 2 4" xfId="18452"/>
    <cellStyle name="Input 2 2 2 3 2 2 5" xfId="19484"/>
    <cellStyle name="Input 2 2 2 3 2 2 6" xfId="20506"/>
    <cellStyle name="Input 2 2 2 3 2 2 7" xfId="21517"/>
    <cellStyle name="Input 2 2 2 3 2 2 8" xfId="22488"/>
    <cellStyle name="Input 2 2 2 3 2 2 9" xfId="23493"/>
    <cellStyle name="Input 2 2 2 3 2 20" xfId="36041"/>
    <cellStyle name="Input 2 2 2 3 2 21" xfId="36980"/>
    <cellStyle name="Input 2 2 2 3 2 3" xfId="16445"/>
    <cellStyle name="Input 2 2 2 3 2 4" xfId="17424"/>
    <cellStyle name="Input 2 2 2 3 2 5" xfId="18451"/>
    <cellStyle name="Input 2 2 2 3 2 6" xfId="19483"/>
    <cellStyle name="Input 2 2 2 3 2 7" xfId="20505"/>
    <cellStyle name="Input 2 2 2 3 2 8" xfId="21516"/>
    <cellStyle name="Input 2 2 2 3 2 9" xfId="22487"/>
    <cellStyle name="Input 2 2 2 3 20" xfId="25949"/>
    <cellStyle name="Input 2 2 2 3 21" xfId="26950"/>
    <cellStyle name="Input 2 2 2 3 22" xfId="26866"/>
    <cellStyle name="Input 2 2 2 3 23" xfId="35182"/>
    <cellStyle name="Input 2 2 2 3 24" xfId="34850"/>
    <cellStyle name="Input 2 2 2 3 3" xfId="4628"/>
    <cellStyle name="Input 2 2 2 3 3 10" xfId="23494"/>
    <cellStyle name="Input 2 2 2 3 3 11" xfId="24466"/>
    <cellStyle name="Input 2 2 2 3 3 12" xfId="25465"/>
    <cellStyle name="Input 2 2 2 3 3 13" xfId="28412"/>
    <cellStyle name="Input 2 2 2 3 3 14" xfId="29379"/>
    <cellStyle name="Input 2 2 2 3 3 15" xfId="30421"/>
    <cellStyle name="Input 2 2 2 3 3 16" xfId="31412"/>
    <cellStyle name="Input 2 2 2 3 3 17" xfId="32420"/>
    <cellStyle name="Input 2 2 2 3 3 18" xfId="33423"/>
    <cellStyle name="Input 2 2 2 3 3 19" xfId="34422"/>
    <cellStyle name="Input 2 2 2 3 3 2" xfId="4629"/>
    <cellStyle name="Input 2 2 2 3 3 2 10" xfId="24467"/>
    <cellStyle name="Input 2 2 2 3 3 2 11" xfId="25466"/>
    <cellStyle name="Input 2 2 2 3 3 2 12" xfId="28413"/>
    <cellStyle name="Input 2 2 2 3 3 2 13" xfId="29380"/>
    <cellStyle name="Input 2 2 2 3 3 2 14" xfId="30422"/>
    <cellStyle name="Input 2 2 2 3 3 2 15" xfId="31413"/>
    <cellStyle name="Input 2 2 2 3 3 2 16" xfId="32421"/>
    <cellStyle name="Input 2 2 2 3 3 2 17" xfId="33424"/>
    <cellStyle name="Input 2 2 2 3 3 2 18" xfId="34423"/>
    <cellStyle name="Input 2 2 2 3 3 2 19" xfId="36044"/>
    <cellStyle name="Input 2 2 2 3 3 2 2" xfId="16448"/>
    <cellStyle name="Input 2 2 2 3 3 2 20" xfId="36983"/>
    <cellStyle name="Input 2 2 2 3 3 2 3" xfId="17427"/>
    <cellStyle name="Input 2 2 2 3 3 2 4" xfId="18454"/>
    <cellStyle name="Input 2 2 2 3 3 2 5" xfId="19486"/>
    <cellStyle name="Input 2 2 2 3 3 2 6" xfId="20508"/>
    <cellStyle name="Input 2 2 2 3 3 2 7" xfId="21519"/>
    <cellStyle name="Input 2 2 2 3 3 2 8" xfId="22490"/>
    <cellStyle name="Input 2 2 2 3 3 2 9" xfId="23495"/>
    <cellStyle name="Input 2 2 2 3 3 20" xfId="36043"/>
    <cellStyle name="Input 2 2 2 3 3 21" xfId="36982"/>
    <cellStyle name="Input 2 2 2 3 3 3" xfId="16447"/>
    <cellStyle name="Input 2 2 2 3 3 4" xfId="17426"/>
    <cellStyle name="Input 2 2 2 3 3 5" xfId="18453"/>
    <cellStyle name="Input 2 2 2 3 3 6" xfId="19485"/>
    <cellStyle name="Input 2 2 2 3 3 7" xfId="20507"/>
    <cellStyle name="Input 2 2 2 3 3 8" xfId="21518"/>
    <cellStyle name="Input 2 2 2 3 3 9" xfId="22489"/>
    <cellStyle name="Input 2 2 2 3 4" xfId="4630"/>
    <cellStyle name="Input 2 2 2 3 4 10" xfId="23496"/>
    <cellStyle name="Input 2 2 2 3 4 11" xfId="24468"/>
    <cellStyle name="Input 2 2 2 3 4 12" xfId="25467"/>
    <cellStyle name="Input 2 2 2 3 4 13" xfId="28414"/>
    <cellStyle name="Input 2 2 2 3 4 14" xfId="29381"/>
    <cellStyle name="Input 2 2 2 3 4 15" xfId="30423"/>
    <cellStyle name="Input 2 2 2 3 4 16" xfId="31414"/>
    <cellStyle name="Input 2 2 2 3 4 17" xfId="32422"/>
    <cellStyle name="Input 2 2 2 3 4 18" xfId="33425"/>
    <cellStyle name="Input 2 2 2 3 4 19" xfId="34424"/>
    <cellStyle name="Input 2 2 2 3 4 2" xfId="4631"/>
    <cellStyle name="Input 2 2 2 3 4 2 10" xfId="24469"/>
    <cellStyle name="Input 2 2 2 3 4 2 11" xfId="25468"/>
    <cellStyle name="Input 2 2 2 3 4 2 12" xfId="28415"/>
    <cellStyle name="Input 2 2 2 3 4 2 13" xfId="29382"/>
    <cellStyle name="Input 2 2 2 3 4 2 14" xfId="30424"/>
    <cellStyle name="Input 2 2 2 3 4 2 15" xfId="31415"/>
    <cellStyle name="Input 2 2 2 3 4 2 16" xfId="32423"/>
    <cellStyle name="Input 2 2 2 3 4 2 17" xfId="33426"/>
    <cellStyle name="Input 2 2 2 3 4 2 18" xfId="34425"/>
    <cellStyle name="Input 2 2 2 3 4 2 19" xfId="36046"/>
    <cellStyle name="Input 2 2 2 3 4 2 2" xfId="16450"/>
    <cellStyle name="Input 2 2 2 3 4 2 20" xfId="36985"/>
    <cellStyle name="Input 2 2 2 3 4 2 3" xfId="17429"/>
    <cellStyle name="Input 2 2 2 3 4 2 4" xfId="18456"/>
    <cellStyle name="Input 2 2 2 3 4 2 5" xfId="19488"/>
    <cellStyle name="Input 2 2 2 3 4 2 6" xfId="20510"/>
    <cellStyle name="Input 2 2 2 3 4 2 7" xfId="21521"/>
    <cellStyle name="Input 2 2 2 3 4 2 8" xfId="22492"/>
    <cellStyle name="Input 2 2 2 3 4 2 9" xfId="23497"/>
    <cellStyle name="Input 2 2 2 3 4 20" xfId="36045"/>
    <cellStyle name="Input 2 2 2 3 4 21" xfId="36984"/>
    <cellStyle name="Input 2 2 2 3 4 3" xfId="16449"/>
    <cellStyle name="Input 2 2 2 3 4 4" xfId="17428"/>
    <cellStyle name="Input 2 2 2 3 4 5" xfId="18455"/>
    <cellStyle name="Input 2 2 2 3 4 6" xfId="19487"/>
    <cellStyle name="Input 2 2 2 3 4 7" xfId="20509"/>
    <cellStyle name="Input 2 2 2 3 4 8" xfId="21520"/>
    <cellStyle name="Input 2 2 2 3 4 9" xfId="22491"/>
    <cellStyle name="Input 2 2 2 3 5" xfId="4632"/>
    <cellStyle name="Input 2 2 2 3 5 10" xfId="24470"/>
    <cellStyle name="Input 2 2 2 3 5 11" xfId="25469"/>
    <cellStyle name="Input 2 2 2 3 5 12" xfId="28416"/>
    <cellStyle name="Input 2 2 2 3 5 13" xfId="29383"/>
    <cellStyle name="Input 2 2 2 3 5 14" xfId="30425"/>
    <cellStyle name="Input 2 2 2 3 5 15" xfId="31416"/>
    <cellStyle name="Input 2 2 2 3 5 16" xfId="32424"/>
    <cellStyle name="Input 2 2 2 3 5 17" xfId="33427"/>
    <cellStyle name="Input 2 2 2 3 5 18" xfId="34426"/>
    <cellStyle name="Input 2 2 2 3 5 19" xfId="36047"/>
    <cellStyle name="Input 2 2 2 3 5 2" xfId="16451"/>
    <cellStyle name="Input 2 2 2 3 5 20" xfId="36986"/>
    <cellStyle name="Input 2 2 2 3 5 3" xfId="17430"/>
    <cellStyle name="Input 2 2 2 3 5 4" xfId="18457"/>
    <cellStyle name="Input 2 2 2 3 5 5" xfId="19489"/>
    <cellStyle name="Input 2 2 2 3 5 6" xfId="20511"/>
    <cellStyle name="Input 2 2 2 3 5 7" xfId="21522"/>
    <cellStyle name="Input 2 2 2 3 5 8" xfId="22493"/>
    <cellStyle name="Input 2 2 2 3 5 9" xfId="23498"/>
    <cellStyle name="Input 2 2 2 3 6" xfId="13954"/>
    <cellStyle name="Input 2 2 2 3 7" xfId="15640"/>
    <cellStyle name="Input 2 2 2 3 8" xfId="14446"/>
    <cellStyle name="Input 2 2 2 3 9" xfId="15751"/>
    <cellStyle name="Input 2 2 2 4" xfId="4633"/>
    <cellStyle name="Input 2 2 2 4 10" xfId="23499"/>
    <cellStyle name="Input 2 2 2 4 11" xfId="24471"/>
    <cellStyle name="Input 2 2 2 4 12" xfId="25470"/>
    <cellStyle name="Input 2 2 2 4 13" xfId="28417"/>
    <cellStyle name="Input 2 2 2 4 14" xfId="29384"/>
    <cellStyle name="Input 2 2 2 4 15" xfId="30426"/>
    <cellStyle name="Input 2 2 2 4 16" xfId="31417"/>
    <cellStyle name="Input 2 2 2 4 17" xfId="32425"/>
    <cellStyle name="Input 2 2 2 4 18" xfId="33428"/>
    <cellStyle name="Input 2 2 2 4 19" xfId="34427"/>
    <cellStyle name="Input 2 2 2 4 2" xfId="4634"/>
    <cellStyle name="Input 2 2 2 4 2 10" xfId="24472"/>
    <cellStyle name="Input 2 2 2 4 2 11" xfId="25471"/>
    <cellStyle name="Input 2 2 2 4 2 12" xfId="28418"/>
    <cellStyle name="Input 2 2 2 4 2 13" xfId="29385"/>
    <cellStyle name="Input 2 2 2 4 2 14" xfId="30427"/>
    <cellStyle name="Input 2 2 2 4 2 15" xfId="31418"/>
    <cellStyle name="Input 2 2 2 4 2 16" xfId="32426"/>
    <cellStyle name="Input 2 2 2 4 2 17" xfId="33429"/>
    <cellStyle name="Input 2 2 2 4 2 18" xfId="34428"/>
    <cellStyle name="Input 2 2 2 4 2 19" xfId="36049"/>
    <cellStyle name="Input 2 2 2 4 2 2" xfId="16453"/>
    <cellStyle name="Input 2 2 2 4 2 20" xfId="36988"/>
    <cellStyle name="Input 2 2 2 4 2 3" xfId="17432"/>
    <cellStyle name="Input 2 2 2 4 2 4" xfId="18459"/>
    <cellStyle name="Input 2 2 2 4 2 5" xfId="19491"/>
    <cellStyle name="Input 2 2 2 4 2 6" xfId="20513"/>
    <cellStyle name="Input 2 2 2 4 2 7" xfId="21524"/>
    <cellStyle name="Input 2 2 2 4 2 8" xfId="22495"/>
    <cellStyle name="Input 2 2 2 4 2 9" xfId="23500"/>
    <cellStyle name="Input 2 2 2 4 20" xfId="36048"/>
    <cellStyle name="Input 2 2 2 4 21" xfId="36987"/>
    <cellStyle name="Input 2 2 2 4 3" xfId="16452"/>
    <cellStyle name="Input 2 2 2 4 4" xfId="17431"/>
    <cellStyle name="Input 2 2 2 4 5" xfId="18458"/>
    <cellStyle name="Input 2 2 2 4 6" xfId="19490"/>
    <cellStyle name="Input 2 2 2 4 7" xfId="20512"/>
    <cellStyle name="Input 2 2 2 4 8" xfId="21523"/>
    <cellStyle name="Input 2 2 2 4 9" xfId="22494"/>
    <cellStyle name="Input 2 2 2 5" xfId="4635"/>
    <cellStyle name="Input 2 2 2 5 10" xfId="23501"/>
    <cellStyle name="Input 2 2 2 5 11" xfId="24473"/>
    <cellStyle name="Input 2 2 2 5 12" xfId="25472"/>
    <cellStyle name="Input 2 2 2 5 13" xfId="28419"/>
    <cellStyle name="Input 2 2 2 5 14" xfId="29386"/>
    <cellStyle name="Input 2 2 2 5 15" xfId="30428"/>
    <cellStyle name="Input 2 2 2 5 16" xfId="31419"/>
    <cellStyle name="Input 2 2 2 5 17" xfId="32427"/>
    <cellStyle name="Input 2 2 2 5 18" xfId="33430"/>
    <cellStyle name="Input 2 2 2 5 19" xfId="34429"/>
    <cellStyle name="Input 2 2 2 5 2" xfId="4636"/>
    <cellStyle name="Input 2 2 2 5 2 10" xfId="24474"/>
    <cellStyle name="Input 2 2 2 5 2 11" xfId="25473"/>
    <cellStyle name="Input 2 2 2 5 2 12" xfId="28420"/>
    <cellStyle name="Input 2 2 2 5 2 13" xfId="29387"/>
    <cellStyle name="Input 2 2 2 5 2 14" xfId="30429"/>
    <cellStyle name="Input 2 2 2 5 2 15" xfId="31420"/>
    <cellStyle name="Input 2 2 2 5 2 16" xfId="32428"/>
    <cellStyle name="Input 2 2 2 5 2 17" xfId="33431"/>
    <cellStyle name="Input 2 2 2 5 2 18" xfId="34430"/>
    <cellStyle name="Input 2 2 2 5 2 19" xfId="36051"/>
    <cellStyle name="Input 2 2 2 5 2 2" xfId="16455"/>
    <cellStyle name="Input 2 2 2 5 2 20" xfId="36990"/>
    <cellStyle name="Input 2 2 2 5 2 3" xfId="17434"/>
    <cellStyle name="Input 2 2 2 5 2 4" xfId="18461"/>
    <cellStyle name="Input 2 2 2 5 2 5" xfId="19493"/>
    <cellStyle name="Input 2 2 2 5 2 6" xfId="20515"/>
    <cellStyle name="Input 2 2 2 5 2 7" xfId="21526"/>
    <cellStyle name="Input 2 2 2 5 2 8" xfId="22497"/>
    <cellStyle name="Input 2 2 2 5 2 9" xfId="23502"/>
    <cellStyle name="Input 2 2 2 5 20" xfId="36050"/>
    <cellStyle name="Input 2 2 2 5 21" xfId="36989"/>
    <cellStyle name="Input 2 2 2 5 3" xfId="16454"/>
    <cellStyle name="Input 2 2 2 5 4" xfId="17433"/>
    <cellStyle name="Input 2 2 2 5 5" xfId="18460"/>
    <cellStyle name="Input 2 2 2 5 6" xfId="19492"/>
    <cellStyle name="Input 2 2 2 5 7" xfId="20514"/>
    <cellStyle name="Input 2 2 2 5 8" xfId="21525"/>
    <cellStyle name="Input 2 2 2 5 9" xfId="22496"/>
    <cellStyle name="Input 2 2 2 6" xfId="4637"/>
    <cellStyle name="Input 2 2 2 6 10" xfId="23503"/>
    <cellStyle name="Input 2 2 2 6 11" xfId="24475"/>
    <cellStyle name="Input 2 2 2 6 12" xfId="25474"/>
    <cellStyle name="Input 2 2 2 6 13" xfId="28421"/>
    <cellStyle name="Input 2 2 2 6 14" xfId="29388"/>
    <cellStyle name="Input 2 2 2 6 15" xfId="30430"/>
    <cellStyle name="Input 2 2 2 6 16" xfId="31421"/>
    <cellStyle name="Input 2 2 2 6 17" xfId="32429"/>
    <cellStyle name="Input 2 2 2 6 18" xfId="33432"/>
    <cellStyle name="Input 2 2 2 6 19" xfId="34431"/>
    <cellStyle name="Input 2 2 2 6 2" xfId="4638"/>
    <cellStyle name="Input 2 2 2 6 2 10" xfId="24476"/>
    <cellStyle name="Input 2 2 2 6 2 11" xfId="25475"/>
    <cellStyle name="Input 2 2 2 6 2 12" xfId="28422"/>
    <cellStyle name="Input 2 2 2 6 2 13" xfId="29389"/>
    <cellStyle name="Input 2 2 2 6 2 14" xfId="30431"/>
    <cellStyle name="Input 2 2 2 6 2 15" xfId="31422"/>
    <cellStyle name="Input 2 2 2 6 2 16" xfId="32430"/>
    <cellStyle name="Input 2 2 2 6 2 17" xfId="33433"/>
    <cellStyle name="Input 2 2 2 6 2 18" xfId="34432"/>
    <cellStyle name="Input 2 2 2 6 2 19" xfId="36053"/>
    <cellStyle name="Input 2 2 2 6 2 2" xfId="16457"/>
    <cellStyle name="Input 2 2 2 6 2 20" xfId="36992"/>
    <cellStyle name="Input 2 2 2 6 2 3" xfId="17436"/>
    <cellStyle name="Input 2 2 2 6 2 4" xfId="18463"/>
    <cellStyle name="Input 2 2 2 6 2 5" xfId="19495"/>
    <cellStyle name="Input 2 2 2 6 2 6" xfId="20517"/>
    <cellStyle name="Input 2 2 2 6 2 7" xfId="21528"/>
    <cellStyle name="Input 2 2 2 6 2 8" xfId="22499"/>
    <cellStyle name="Input 2 2 2 6 2 9" xfId="23504"/>
    <cellStyle name="Input 2 2 2 6 20" xfId="36052"/>
    <cellStyle name="Input 2 2 2 6 21" xfId="36991"/>
    <cellStyle name="Input 2 2 2 6 3" xfId="16456"/>
    <cellStyle name="Input 2 2 2 6 4" xfId="17435"/>
    <cellStyle name="Input 2 2 2 6 5" xfId="18462"/>
    <cellStyle name="Input 2 2 2 6 6" xfId="19494"/>
    <cellStyle name="Input 2 2 2 6 7" xfId="20516"/>
    <cellStyle name="Input 2 2 2 6 8" xfId="21527"/>
    <cellStyle name="Input 2 2 2 6 9" xfId="22498"/>
    <cellStyle name="Input 2 2 2 7" xfId="4639"/>
    <cellStyle name="Input 2 2 2 7 10" xfId="24477"/>
    <cellStyle name="Input 2 2 2 7 11" xfId="25476"/>
    <cellStyle name="Input 2 2 2 7 12" xfId="28423"/>
    <cellStyle name="Input 2 2 2 7 13" xfId="29390"/>
    <cellStyle name="Input 2 2 2 7 14" xfId="30432"/>
    <cellStyle name="Input 2 2 2 7 15" xfId="31423"/>
    <cellStyle name="Input 2 2 2 7 16" xfId="32431"/>
    <cellStyle name="Input 2 2 2 7 17" xfId="33434"/>
    <cellStyle name="Input 2 2 2 7 18" xfId="34433"/>
    <cellStyle name="Input 2 2 2 7 19" xfId="36054"/>
    <cellStyle name="Input 2 2 2 7 2" xfId="16458"/>
    <cellStyle name="Input 2 2 2 7 20" xfId="36993"/>
    <cellStyle name="Input 2 2 2 7 3" xfId="17437"/>
    <cellStyle name="Input 2 2 2 7 4" xfId="18464"/>
    <cellStyle name="Input 2 2 2 7 5" xfId="19496"/>
    <cellStyle name="Input 2 2 2 7 6" xfId="20518"/>
    <cellStyle name="Input 2 2 2 7 7" xfId="21529"/>
    <cellStyle name="Input 2 2 2 7 8" xfId="22500"/>
    <cellStyle name="Input 2 2 2 7 9" xfId="23505"/>
    <cellStyle name="Input 2 2 2 8" xfId="13910"/>
    <cellStyle name="Input 2 2 2 9" xfId="14524"/>
    <cellStyle name="Input 2 2 20" xfId="26600"/>
    <cellStyle name="Input 2 2 21" xfId="34864"/>
    <cellStyle name="Input 2 2 22" xfId="34862"/>
    <cellStyle name="Input 2 2 23" xfId="35482"/>
    <cellStyle name="Input 2 2 24" xfId="37426"/>
    <cellStyle name="Input 2 2 25" xfId="37478"/>
    <cellStyle name="Input 2 2 26" xfId="37556"/>
    <cellStyle name="Input 2 2 3" xfId="4640"/>
    <cellStyle name="Input 2 2 3 10" xfId="13990"/>
    <cellStyle name="Input 2 2 3 11" xfId="14362"/>
    <cellStyle name="Input 2 2 3 12" xfId="14718"/>
    <cellStyle name="Input 2 2 3 13" xfId="15227"/>
    <cellStyle name="Input 2 2 3 14" xfId="15466"/>
    <cellStyle name="Input 2 2 3 15" xfId="15606"/>
    <cellStyle name="Input 2 2 3 16" xfId="26092"/>
    <cellStyle name="Input 2 2 3 17" xfId="27776"/>
    <cellStyle name="Input 2 2 3 18" xfId="27754"/>
    <cellStyle name="Input 2 2 3 19" xfId="29775"/>
    <cellStyle name="Input 2 2 3 2" xfId="4641"/>
    <cellStyle name="Input 2 2 3 2 10" xfId="14595"/>
    <cellStyle name="Input 2 2 3 2 11" xfId="14980"/>
    <cellStyle name="Input 2 2 3 2 12" xfId="26313"/>
    <cellStyle name="Input 2 2 3 2 13" xfId="27171"/>
    <cellStyle name="Input 2 2 3 2 14" xfId="26114"/>
    <cellStyle name="Input 2 2 3 2 15" xfId="27361"/>
    <cellStyle name="Input 2 2 3 2 16" xfId="27435"/>
    <cellStyle name="Input 2 2 3 2 17" xfId="27508"/>
    <cellStyle name="Input 2 2 3 2 18" xfId="35009"/>
    <cellStyle name="Input 2 2 3 2 19" xfId="35325"/>
    <cellStyle name="Input 2 2 3 2 2" xfId="4642"/>
    <cellStyle name="Input 2 2 3 2 2 10" xfId="23506"/>
    <cellStyle name="Input 2 2 3 2 2 11" xfId="24478"/>
    <cellStyle name="Input 2 2 3 2 2 12" xfId="25477"/>
    <cellStyle name="Input 2 2 3 2 2 13" xfId="28424"/>
    <cellStyle name="Input 2 2 3 2 2 14" xfId="29391"/>
    <cellStyle name="Input 2 2 3 2 2 15" xfId="30433"/>
    <cellStyle name="Input 2 2 3 2 2 16" xfId="31424"/>
    <cellStyle name="Input 2 2 3 2 2 17" xfId="32432"/>
    <cellStyle name="Input 2 2 3 2 2 18" xfId="33435"/>
    <cellStyle name="Input 2 2 3 2 2 19" xfId="34434"/>
    <cellStyle name="Input 2 2 3 2 2 2" xfId="4643"/>
    <cellStyle name="Input 2 2 3 2 2 2 10" xfId="24479"/>
    <cellStyle name="Input 2 2 3 2 2 2 11" xfId="25478"/>
    <cellStyle name="Input 2 2 3 2 2 2 12" xfId="28425"/>
    <cellStyle name="Input 2 2 3 2 2 2 13" xfId="29392"/>
    <cellStyle name="Input 2 2 3 2 2 2 14" xfId="30434"/>
    <cellStyle name="Input 2 2 3 2 2 2 15" xfId="31425"/>
    <cellStyle name="Input 2 2 3 2 2 2 16" xfId="32433"/>
    <cellStyle name="Input 2 2 3 2 2 2 17" xfId="33436"/>
    <cellStyle name="Input 2 2 3 2 2 2 18" xfId="34435"/>
    <cellStyle name="Input 2 2 3 2 2 2 19" xfId="36056"/>
    <cellStyle name="Input 2 2 3 2 2 2 2" xfId="16460"/>
    <cellStyle name="Input 2 2 3 2 2 2 20" xfId="36995"/>
    <cellStyle name="Input 2 2 3 2 2 2 3" xfId="17439"/>
    <cellStyle name="Input 2 2 3 2 2 2 4" xfId="18466"/>
    <cellStyle name="Input 2 2 3 2 2 2 5" xfId="19498"/>
    <cellStyle name="Input 2 2 3 2 2 2 6" xfId="20520"/>
    <cellStyle name="Input 2 2 3 2 2 2 7" xfId="21531"/>
    <cellStyle name="Input 2 2 3 2 2 2 8" xfId="22502"/>
    <cellStyle name="Input 2 2 3 2 2 2 9" xfId="23507"/>
    <cellStyle name="Input 2 2 3 2 2 20" xfId="36055"/>
    <cellStyle name="Input 2 2 3 2 2 21" xfId="36994"/>
    <cellStyle name="Input 2 2 3 2 2 3" xfId="16459"/>
    <cellStyle name="Input 2 2 3 2 2 4" xfId="17438"/>
    <cellStyle name="Input 2 2 3 2 2 5" xfId="18465"/>
    <cellStyle name="Input 2 2 3 2 2 6" xfId="19497"/>
    <cellStyle name="Input 2 2 3 2 2 7" xfId="20519"/>
    <cellStyle name="Input 2 2 3 2 2 8" xfId="21530"/>
    <cellStyle name="Input 2 2 3 2 2 9" xfId="22501"/>
    <cellStyle name="Input 2 2 3 2 3" xfId="4644"/>
    <cellStyle name="Input 2 2 3 2 3 10" xfId="23508"/>
    <cellStyle name="Input 2 2 3 2 3 11" xfId="24480"/>
    <cellStyle name="Input 2 2 3 2 3 12" xfId="25479"/>
    <cellStyle name="Input 2 2 3 2 3 13" xfId="28426"/>
    <cellStyle name="Input 2 2 3 2 3 14" xfId="29393"/>
    <cellStyle name="Input 2 2 3 2 3 15" xfId="30435"/>
    <cellStyle name="Input 2 2 3 2 3 16" xfId="31426"/>
    <cellStyle name="Input 2 2 3 2 3 17" xfId="32434"/>
    <cellStyle name="Input 2 2 3 2 3 18" xfId="33437"/>
    <cellStyle name="Input 2 2 3 2 3 19" xfId="34436"/>
    <cellStyle name="Input 2 2 3 2 3 2" xfId="4645"/>
    <cellStyle name="Input 2 2 3 2 3 2 10" xfId="24481"/>
    <cellStyle name="Input 2 2 3 2 3 2 11" xfId="25480"/>
    <cellStyle name="Input 2 2 3 2 3 2 12" xfId="28427"/>
    <cellStyle name="Input 2 2 3 2 3 2 13" xfId="29394"/>
    <cellStyle name="Input 2 2 3 2 3 2 14" xfId="30436"/>
    <cellStyle name="Input 2 2 3 2 3 2 15" xfId="31427"/>
    <cellStyle name="Input 2 2 3 2 3 2 16" xfId="32435"/>
    <cellStyle name="Input 2 2 3 2 3 2 17" xfId="33438"/>
    <cellStyle name="Input 2 2 3 2 3 2 18" xfId="34437"/>
    <cellStyle name="Input 2 2 3 2 3 2 19" xfId="36058"/>
    <cellStyle name="Input 2 2 3 2 3 2 2" xfId="16462"/>
    <cellStyle name="Input 2 2 3 2 3 2 20" xfId="36997"/>
    <cellStyle name="Input 2 2 3 2 3 2 3" xfId="17441"/>
    <cellStyle name="Input 2 2 3 2 3 2 4" xfId="18468"/>
    <cellStyle name="Input 2 2 3 2 3 2 5" xfId="19500"/>
    <cellStyle name="Input 2 2 3 2 3 2 6" xfId="20522"/>
    <cellStyle name="Input 2 2 3 2 3 2 7" xfId="21533"/>
    <cellStyle name="Input 2 2 3 2 3 2 8" xfId="22504"/>
    <cellStyle name="Input 2 2 3 2 3 2 9" xfId="23509"/>
    <cellStyle name="Input 2 2 3 2 3 20" xfId="36057"/>
    <cellStyle name="Input 2 2 3 2 3 21" xfId="36996"/>
    <cellStyle name="Input 2 2 3 2 3 3" xfId="16461"/>
    <cellStyle name="Input 2 2 3 2 3 4" xfId="17440"/>
    <cellStyle name="Input 2 2 3 2 3 5" xfId="18467"/>
    <cellStyle name="Input 2 2 3 2 3 6" xfId="19499"/>
    <cellStyle name="Input 2 2 3 2 3 7" xfId="20521"/>
    <cellStyle name="Input 2 2 3 2 3 8" xfId="21532"/>
    <cellStyle name="Input 2 2 3 2 3 9" xfId="22503"/>
    <cellStyle name="Input 2 2 3 2 4" xfId="4646"/>
    <cellStyle name="Input 2 2 3 2 4 10" xfId="23510"/>
    <cellStyle name="Input 2 2 3 2 4 11" xfId="24482"/>
    <cellStyle name="Input 2 2 3 2 4 12" xfId="25481"/>
    <cellStyle name="Input 2 2 3 2 4 13" xfId="28428"/>
    <cellStyle name="Input 2 2 3 2 4 14" xfId="29395"/>
    <cellStyle name="Input 2 2 3 2 4 15" xfId="30437"/>
    <cellStyle name="Input 2 2 3 2 4 16" xfId="31428"/>
    <cellStyle name="Input 2 2 3 2 4 17" xfId="32436"/>
    <cellStyle name="Input 2 2 3 2 4 18" xfId="33439"/>
    <cellStyle name="Input 2 2 3 2 4 19" xfId="34438"/>
    <cellStyle name="Input 2 2 3 2 4 2" xfId="4647"/>
    <cellStyle name="Input 2 2 3 2 4 2 10" xfId="24483"/>
    <cellStyle name="Input 2 2 3 2 4 2 11" xfId="25482"/>
    <cellStyle name="Input 2 2 3 2 4 2 12" xfId="28429"/>
    <cellStyle name="Input 2 2 3 2 4 2 13" xfId="29396"/>
    <cellStyle name="Input 2 2 3 2 4 2 14" xfId="30438"/>
    <cellStyle name="Input 2 2 3 2 4 2 15" xfId="31429"/>
    <cellStyle name="Input 2 2 3 2 4 2 16" xfId="32437"/>
    <cellStyle name="Input 2 2 3 2 4 2 17" xfId="33440"/>
    <cellStyle name="Input 2 2 3 2 4 2 18" xfId="34439"/>
    <cellStyle name="Input 2 2 3 2 4 2 19" xfId="36060"/>
    <cellStyle name="Input 2 2 3 2 4 2 2" xfId="16464"/>
    <cellStyle name="Input 2 2 3 2 4 2 20" xfId="36999"/>
    <cellStyle name="Input 2 2 3 2 4 2 3" xfId="17443"/>
    <cellStyle name="Input 2 2 3 2 4 2 4" xfId="18470"/>
    <cellStyle name="Input 2 2 3 2 4 2 5" xfId="19502"/>
    <cellStyle name="Input 2 2 3 2 4 2 6" xfId="20524"/>
    <cellStyle name="Input 2 2 3 2 4 2 7" xfId="21535"/>
    <cellStyle name="Input 2 2 3 2 4 2 8" xfId="22506"/>
    <cellStyle name="Input 2 2 3 2 4 2 9" xfId="23511"/>
    <cellStyle name="Input 2 2 3 2 4 20" xfId="36059"/>
    <cellStyle name="Input 2 2 3 2 4 21" xfId="36998"/>
    <cellStyle name="Input 2 2 3 2 4 3" xfId="16463"/>
    <cellStyle name="Input 2 2 3 2 4 4" xfId="17442"/>
    <cellStyle name="Input 2 2 3 2 4 5" xfId="18469"/>
    <cellStyle name="Input 2 2 3 2 4 6" xfId="19501"/>
    <cellStyle name="Input 2 2 3 2 4 7" xfId="20523"/>
    <cellStyle name="Input 2 2 3 2 4 8" xfId="21534"/>
    <cellStyle name="Input 2 2 3 2 4 9" xfId="22505"/>
    <cellStyle name="Input 2 2 3 2 5" xfId="4648"/>
    <cellStyle name="Input 2 2 3 2 5 10" xfId="24484"/>
    <cellStyle name="Input 2 2 3 2 5 11" xfId="25483"/>
    <cellStyle name="Input 2 2 3 2 5 12" xfId="28430"/>
    <cellStyle name="Input 2 2 3 2 5 13" xfId="29397"/>
    <cellStyle name="Input 2 2 3 2 5 14" xfId="30439"/>
    <cellStyle name="Input 2 2 3 2 5 15" xfId="31430"/>
    <cellStyle name="Input 2 2 3 2 5 16" xfId="32438"/>
    <cellStyle name="Input 2 2 3 2 5 17" xfId="33441"/>
    <cellStyle name="Input 2 2 3 2 5 18" xfId="34440"/>
    <cellStyle name="Input 2 2 3 2 5 19" xfId="36061"/>
    <cellStyle name="Input 2 2 3 2 5 2" xfId="16465"/>
    <cellStyle name="Input 2 2 3 2 5 20" xfId="37000"/>
    <cellStyle name="Input 2 2 3 2 5 3" xfId="17444"/>
    <cellStyle name="Input 2 2 3 2 5 4" xfId="18471"/>
    <cellStyle name="Input 2 2 3 2 5 5" xfId="19503"/>
    <cellStyle name="Input 2 2 3 2 5 6" xfId="20525"/>
    <cellStyle name="Input 2 2 3 2 5 7" xfId="21536"/>
    <cellStyle name="Input 2 2 3 2 5 8" xfId="22507"/>
    <cellStyle name="Input 2 2 3 2 5 9" xfId="23512"/>
    <cellStyle name="Input 2 2 3 2 6" xfId="13725"/>
    <cellStyle name="Input 2 2 3 2 7" xfId="14728"/>
    <cellStyle name="Input 2 2 3 2 8" xfId="15232"/>
    <cellStyle name="Input 2 2 3 2 9" xfId="15460"/>
    <cellStyle name="Input 2 2 3 20" xfId="26610"/>
    <cellStyle name="Input 2 2 3 21" xfId="27416"/>
    <cellStyle name="Input 2 2 3 22" xfId="34952"/>
    <cellStyle name="Input 2 2 3 23" xfId="35473"/>
    <cellStyle name="Input 2 2 3 3" xfId="4649"/>
    <cellStyle name="Input 2 2 3 3 10" xfId="14492"/>
    <cellStyle name="Input 2 2 3 3 11" xfId="18876"/>
    <cellStyle name="Input 2 2 3 3 12" xfId="26393"/>
    <cellStyle name="Input 2 2 3 3 13" xfId="27119"/>
    <cellStyle name="Input 2 2 3 3 14" xfId="27529"/>
    <cellStyle name="Input 2 2 3 3 15" xfId="26727"/>
    <cellStyle name="Input 2 2 3 3 16" xfId="26882"/>
    <cellStyle name="Input 2 2 3 3 17" xfId="27800"/>
    <cellStyle name="Input 2 2 3 3 18" xfId="35084"/>
    <cellStyle name="Input 2 2 3 3 19" xfId="35274"/>
    <cellStyle name="Input 2 2 3 3 2" xfId="4650"/>
    <cellStyle name="Input 2 2 3 3 2 10" xfId="23513"/>
    <cellStyle name="Input 2 2 3 3 2 11" xfId="24485"/>
    <cellStyle name="Input 2 2 3 3 2 12" xfId="25484"/>
    <cellStyle name="Input 2 2 3 3 2 13" xfId="28431"/>
    <cellStyle name="Input 2 2 3 3 2 14" xfId="29398"/>
    <cellStyle name="Input 2 2 3 3 2 15" xfId="30440"/>
    <cellStyle name="Input 2 2 3 3 2 16" xfId="31431"/>
    <cellStyle name="Input 2 2 3 3 2 17" xfId="32439"/>
    <cellStyle name="Input 2 2 3 3 2 18" xfId="33442"/>
    <cellStyle name="Input 2 2 3 3 2 19" xfId="34441"/>
    <cellStyle name="Input 2 2 3 3 2 2" xfId="4651"/>
    <cellStyle name="Input 2 2 3 3 2 2 10" xfId="24486"/>
    <cellStyle name="Input 2 2 3 3 2 2 11" xfId="25485"/>
    <cellStyle name="Input 2 2 3 3 2 2 12" xfId="28432"/>
    <cellStyle name="Input 2 2 3 3 2 2 13" xfId="29399"/>
    <cellStyle name="Input 2 2 3 3 2 2 14" xfId="30441"/>
    <cellStyle name="Input 2 2 3 3 2 2 15" xfId="31432"/>
    <cellStyle name="Input 2 2 3 3 2 2 16" xfId="32440"/>
    <cellStyle name="Input 2 2 3 3 2 2 17" xfId="33443"/>
    <cellStyle name="Input 2 2 3 3 2 2 18" xfId="34442"/>
    <cellStyle name="Input 2 2 3 3 2 2 19" xfId="36063"/>
    <cellStyle name="Input 2 2 3 3 2 2 2" xfId="16467"/>
    <cellStyle name="Input 2 2 3 3 2 2 20" xfId="37002"/>
    <cellStyle name="Input 2 2 3 3 2 2 3" xfId="17446"/>
    <cellStyle name="Input 2 2 3 3 2 2 4" xfId="18473"/>
    <cellStyle name="Input 2 2 3 3 2 2 5" xfId="19505"/>
    <cellStyle name="Input 2 2 3 3 2 2 6" xfId="20527"/>
    <cellStyle name="Input 2 2 3 3 2 2 7" xfId="21538"/>
    <cellStyle name="Input 2 2 3 3 2 2 8" xfId="22509"/>
    <cellStyle name="Input 2 2 3 3 2 2 9" xfId="23514"/>
    <cellStyle name="Input 2 2 3 3 2 20" xfId="36062"/>
    <cellStyle name="Input 2 2 3 3 2 21" xfId="37001"/>
    <cellStyle name="Input 2 2 3 3 2 3" xfId="16466"/>
    <cellStyle name="Input 2 2 3 3 2 4" xfId="17445"/>
    <cellStyle name="Input 2 2 3 3 2 5" xfId="18472"/>
    <cellStyle name="Input 2 2 3 3 2 6" xfId="19504"/>
    <cellStyle name="Input 2 2 3 3 2 7" xfId="20526"/>
    <cellStyle name="Input 2 2 3 3 2 8" xfId="21537"/>
    <cellStyle name="Input 2 2 3 3 2 9" xfId="22508"/>
    <cellStyle name="Input 2 2 3 3 3" xfId="4652"/>
    <cellStyle name="Input 2 2 3 3 3 10" xfId="23515"/>
    <cellStyle name="Input 2 2 3 3 3 11" xfId="24487"/>
    <cellStyle name="Input 2 2 3 3 3 12" xfId="25486"/>
    <cellStyle name="Input 2 2 3 3 3 13" xfId="28433"/>
    <cellStyle name="Input 2 2 3 3 3 14" xfId="29400"/>
    <cellStyle name="Input 2 2 3 3 3 15" xfId="30442"/>
    <cellStyle name="Input 2 2 3 3 3 16" xfId="31433"/>
    <cellStyle name="Input 2 2 3 3 3 17" xfId="32441"/>
    <cellStyle name="Input 2 2 3 3 3 18" xfId="33444"/>
    <cellStyle name="Input 2 2 3 3 3 19" xfId="34443"/>
    <cellStyle name="Input 2 2 3 3 3 2" xfId="4653"/>
    <cellStyle name="Input 2 2 3 3 3 2 10" xfId="24488"/>
    <cellStyle name="Input 2 2 3 3 3 2 11" xfId="25487"/>
    <cellStyle name="Input 2 2 3 3 3 2 12" xfId="28434"/>
    <cellStyle name="Input 2 2 3 3 3 2 13" xfId="29401"/>
    <cellStyle name="Input 2 2 3 3 3 2 14" xfId="30443"/>
    <cellStyle name="Input 2 2 3 3 3 2 15" xfId="31434"/>
    <cellStyle name="Input 2 2 3 3 3 2 16" xfId="32442"/>
    <cellStyle name="Input 2 2 3 3 3 2 17" xfId="33445"/>
    <cellStyle name="Input 2 2 3 3 3 2 18" xfId="34444"/>
    <cellStyle name="Input 2 2 3 3 3 2 19" xfId="36065"/>
    <cellStyle name="Input 2 2 3 3 3 2 2" xfId="16469"/>
    <cellStyle name="Input 2 2 3 3 3 2 20" xfId="37004"/>
    <cellStyle name="Input 2 2 3 3 3 2 3" xfId="17448"/>
    <cellStyle name="Input 2 2 3 3 3 2 4" xfId="18475"/>
    <cellStyle name="Input 2 2 3 3 3 2 5" xfId="19507"/>
    <cellStyle name="Input 2 2 3 3 3 2 6" xfId="20529"/>
    <cellStyle name="Input 2 2 3 3 3 2 7" xfId="21540"/>
    <cellStyle name="Input 2 2 3 3 3 2 8" xfId="22511"/>
    <cellStyle name="Input 2 2 3 3 3 2 9" xfId="23516"/>
    <cellStyle name="Input 2 2 3 3 3 20" xfId="36064"/>
    <cellStyle name="Input 2 2 3 3 3 21" xfId="37003"/>
    <cellStyle name="Input 2 2 3 3 3 3" xfId="16468"/>
    <cellStyle name="Input 2 2 3 3 3 4" xfId="17447"/>
    <cellStyle name="Input 2 2 3 3 3 5" xfId="18474"/>
    <cellStyle name="Input 2 2 3 3 3 6" xfId="19506"/>
    <cellStyle name="Input 2 2 3 3 3 7" xfId="20528"/>
    <cellStyle name="Input 2 2 3 3 3 8" xfId="21539"/>
    <cellStyle name="Input 2 2 3 3 3 9" xfId="22510"/>
    <cellStyle name="Input 2 2 3 3 4" xfId="4654"/>
    <cellStyle name="Input 2 2 3 3 4 10" xfId="23517"/>
    <cellStyle name="Input 2 2 3 3 4 11" xfId="24489"/>
    <cellStyle name="Input 2 2 3 3 4 12" xfId="25488"/>
    <cellStyle name="Input 2 2 3 3 4 13" xfId="28435"/>
    <cellStyle name="Input 2 2 3 3 4 14" xfId="29402"/>
    <cellStyle name="Input 2 2 3 3 4 15" xfId="30444"/>
    <cellStyle name="Input 2 2 3 3 4 16" xfId="31435"/>
    <cellStyle name="Input 2 2 3 3 4 17" xfId="32443"/>
    <cellStyle name="Input 2 2 3 3 4 18" xfId="33446"/>
    <cellStyle name="Input 2 2 3 3 4 19" xfId="34445"/>
    <cellStyle name="Input 2 2 3 3 4 2" xfId="4655"/>
    <cellStyle name="Input 2 2 3 3 4 2 10" xfId="24490"/>
    <cellStyle name="Input 2 2 3 3 4 2 11" xfId="25489"/>
    <cellStyle name="Input 2 2 3 3 4 2 12" xfId="28436"/>
    <cellStyle name="Input 2 2 3 3 4 2 13" xfId="29403"/>
    <cellStyle name="Input 2 2 3 3 4 2 14" xfId="30445"/>
    <cellStyle name="Input 2 2 3 3 4 2 15" xfId="31436"/>
    <cellStyle name="Input 2 2 3 3 4 2 16" xfId="32444"/>
    <cellStyle name="Input 2 2 3 3 4 2 17" xfId="33447"/>
    <cellStyle name="Input 2 2 3 3 4 2 18" xfId="34446"/>
    <cellStyle name="Input 2 2 3 3 4 2 19" xfId="36067"/>
    <cellStyle name="Input 2 2 3 3 4 2 2" xfId="16471"/>
    <cellStyle name="Input 2 2 3 3 4 2 20" xfId="37006"/>
    <cellStyle name="Input 2 2 3 3 4 2 3" xfId="17450"/>
    <cellStyle name="Input 2 2 3 3 4 2 4" xfId="18477"/>
    <cellStyle name="Input 2 2 3 3 4 2 5" xfId="19509"/>
    <cellStyle name="Input 2 2 3 3 4 2 6" xfId="20531"/>
    <cellStyle name="Input 2 2 3 3 4 2 7" xfId="21542"/>
    <cellStyle name="Input 2 2 3 3 4 2 8" xfId="22513"/>
    <cellStyle name="Input 2 2 3 3 4 2 9" xfId="23518"/>
    <cellStyle name="Input 2 2 3 3 4 20" xfId="36066"/>
    <cellStyle name="Input 2 2 3 3 4 21" xfId="37005"/>
    <cellStyle name="Input 2 2 3 3 4 3" xfId="16470"/>
    <cellStyle name="Input 2 2 3 3 4 4" xfId="17449"/>
    <cellStyle name="Input 2 2 3 3 4 5" xfId="18476"/>
    <cellStyle name="Input 2 2 3 3 4 6" xfId="19508"/>
    <cellStyle name="Input 2 2 3 3 4 7" xfId="20530"/>
    <cellStyle name="Input 2 2 3 3 4 8" xfId="21541"/>
    <cellStyle name="Input 2 2 3 3 4 9" xfId="22512"/>
    <cellStyle name="Input 2 2 3 3 5" xfId="4656"/>
    <cellStyle name="Input 2 2 3 3 5 10" xfId="24491"/>
    <cellStyle name="Input 2 2 3 3 5 11" xfId="25490"/>
    <cellStyle name="Input 2 2 3 3 5 12" xfId="28437"/>
    <cellStyle name="Input 2 2 3 3 5 13" xfId="29404"/>
    <cellStyle name="Input 2 2 3 3 5 14" xfId="30446"/>
    <cellStyle name="Input 2 2 3 3 5 15" xfId="31437"/>
    <cellStyle name="Input 2 2 3 3 5 16" xfId="32445"/>
    <cellStyle name="Input 2 2 3 3 5 17" xfId="33448"/>
    <cellStyle name="Input 2 2 3 3 5 18" xfId="34447"/>
    <cellStyle name="Input 2 2 3 3 5 19" xfId="36068"/>
    <cellStyle name="Input 2 2 3 3 5 2" xfId="16472"/>
    <cellStyle name="Input 2 2 3 3 5 20" xfId="37007"/>
    <cellStyle name="Input 2 2 3 3 5 3" xfId="17451"/>
    <cellStyle name="Input 2 2 3 3 5 4" xfId="18478"/>
    <cellStyle name="Input 2 2 3 3 5 5" xfId="19510"/>
    <cellStyle name="Input 2 2 3 3 5 6" xfId="20532"/>
    <cellStyle name="Input 2 2 3 3 5 7" xfId="21543"/>
    <cellStyle name="Input 2 2 3 3 5 8" xfId="22514"/>
    <cellStyle name="Input 2 2 3 3 5 9" xfId="23519"/>
    <cellStyle name="Input 2 2 3 3 6" xfId="14051"/>
    <cellStyle name="Input 2 2 3 3 7" xfId="15770"/>
    <cellStyle name="Input 2 2 3 3 8" xfId="15504"/>
    <cellStyle name="Input 2 2 3 3 9" xfId="13528"/>
    <cellStyle name="Input 2 2 3 4" xfId="4657"/>
    <cellStyle name="Input 2 2 3 4 10" xfId="15298"/>
    <cellStyle name="Input 2 2 3 4 11" xfId="14486"/>
    <cellStyle name="Input 2 2 3 4 12" xfId="26353"/>
    <cellStyle name="Input 2 2 3 4 13" xfId="26039"/>
    <cellStyle name="Input 2 2 3 4 14" xfId="27843"/>
    <cellStyle name="Input 2 2 3 4 15" xfId="30337"/>
    <cellStyle name="Input 2 2 3 4 16" xfId="27608"/>
    <cellStyle name="Input 2 2 3 4 17" xfId="27384"/>
    <cellStyle name="Input 2 2 3 4 18" xfId="35045"/>
    <cellStyle name="Input 2 2 3 4 19" xfId="35437"/>
    <cellStyle name="Input 2 2 3 4 2" xfId="4658"/>
    <cellStyle name="Input 2 2 3 4 2 10" xfId="23520"/>
    <cellStyle name="Input 2 2 3 4 2 11" xfId="24492"/>
    <cellStyle name="Input 2 2 3 4 2 12" xfId="25491"/>
    <cellStyle name="Input 2 2 3 4 2 13" xfId="28438"/>
    <cellStyle name="Input 2 2 3 4 2 14" xfId="29405"/>
    <cellStyle name="Input 2 2 3 4 2 15" xfId="30447"/>
    <cellStyle name="Input 2 2 3 4 2 16" xfId="31438"/>
    <cellStyle name="Input 2 2 3 4 2 17" xfId="32446"/>
    <cellStyle name="Input 2 2 3 4 2 18" xfId="33449"/>
    <cellStyle name="Input 2 2 3 4 2 19" xfId="34448"/>
    <cellStyle name="Input 2 2 3 4 2 2" xfId="4659"/>
    <cellStyle name="Input 2 2 3 4 2 2 10" xfId="24493"/>
    <cellStyle name="Input 2 2 3 4 2 2 11" xfId="25492"/>
    <cellStyle name="Input 2 2 3 4 2 2 12" xfId="28439"/>
    <cellStyle name="Input 2 2 3 4 2 2 13" xfId="29406"/>
    <cellStyle name="Input 2 2 3 4 2 2 14" xfId="30448"/>
    <cellStyle name="Input 2 2 3 4 2 2 15" xfId="31439"/>
    <cellStyle name="Input 2 2 3 4 2 2 16" xfId="32447"/>
    <cellStyle name="Input 2 2 3 4 2 2 17" xfId="33450"/>
    <cellStyle name="Input 2 2 3 4 2 2 18" xfId="34449"/>
    <cellStyle name="Input 2 2 3 4 2 2 19" xfId="36070"/>
    <cellStyle name="Input 2 2 3 4 2 2 2" xfId="16474"/>
    <cellStyle name="Input 2 2 3 4 2 2 20" xfId="37009"/>
    <cellStyle name="Input 2 2 3 4 2 2 3" xfId="17453"/>
    <cellStyle name="Input 2 2 3 4 2 2 4" xfId="18480"/>
    <cellStyle name="Input 2 2 3 4 2 2 5" xfId="19512"/>
    <cellStyle name="Input 2 2 3 4 2 2 6" xfId="20534"/>
    <cellStyle name="Input 2 2 3 4 2 2 7" xfId="21545"/>
    <cellStyle name="Input 2 2 3 4 2 2 8" xfId="22516"/>
    <cellStyle name="Input 2 2 3 4 2 2 9" xfId="23521"/>
    <cellStyle name="Input 2 2 3 4 2 20" xfId="36069"/>
    <cellStyle name="Input 2 2 3 4 2 21" xfId="37008"/>
    <cellStyle name="Input 2 2 3 4 2 3" xfId="16473"/>
    <cellStyle name="Input 2 2 3 4 2 4" xfId="17452"/>
    <cellStyle name="Input 2 2 3 4 2 5" xfId="18479"/>
    <cellStyle name="Input 2 2 3 4 2 6" xfId="19511"/>
    <cellStyle name="Input 2 2 3 4 2 7" xfId="20533"/>
    <cellStyle name="Input 2 2 3 4 2 8" xfId="21544"/>
    <cellStyle name="Input 2 2 3 4 2 9" xfId="22515"/>
    <cellStyle name="Input 2 2 3 4 3" xfId="4660"/>
    <cellStyle name="Input 2 2 3 4 3 10" xfId="23522"/>
    <cellStyle name="Input 2 2 3 4 3 11" xfId="24494"/>
    <cellStyle name="Input 2 2 3 4 3 12" xfId="25493"/>
    <cellStyle name="Input 2 2 3 4 3 13" xfId="28440"/>
    <cellStyle name="Input 2 2 3 4 3 14" xfId="29407"/>
    <cellStyle name="Input 2 2 3 4 3 15" xfId="30449"/>
    <cellStyle name="Input 2 2 3 4 3 16" xfId="31440"/>
    <cellStyle name="Input 2 2 3 4 3 17" xfId="32448"/>
    <cellStyle name="Input 2 2 3 4 3 18" xfId="33451"/>
    <cellStyle name="Input 2 2 3 4 3 19" xfId="34450"/>
    <cellStyle name="Input 2 2 3 4 3 2" xfId="4661"/>
    <cellStyle name="Input 2 2 3 4 3 2 10" xfId="24495"/>
    <cellStyle name="Input 2 2 3 4 3 2 11" xfId="25494"/>
    <cellStyle name="Input 2 2 3 4 3 2 12" xfId="28441"/>
    <cellStyle name="Input 2 2 3 4 3 2 13" xfId="29408"/>
    <cellStyle name="Input 2 2 3 4 3 2 14" xfId="30450"/>
    <cellStyle name="Input 2 2 3 4 3 2 15" xfId="31441"/>
    <cellStyle name="Input 2 2 3 4 3 2 16" xfId="32449"/>
    <cellStyle name="Input 2 2 3 4 3 2 17" xfId="33452"/>
    <cellStyle name="Input 2 2 3 4 3 2 18" xfId="34451"/>
    <cellStyle name="Input 2 2 3 4 3 2 19" xfId="36072"/>
    <cellStyle name="Input 2 2 3 4 3 2 2" xfId="16476"/>
    <cellStyle name="Input 2 2 3 4 3 2 20" xfId="37011"/>
    <cellStyle name="Input 2 2 3 4 3 2 3" xfId="17455"/>
    <cellStyle name="Input 2 2 3 4 3 2 4" xfId="18482"/>
    <cellStyle name="Input 2 2 3 4 3 2 5" xfId="19514"/>
    <cellStyle name="Input 2 2 3 4 3 2 6" xfId="20536"/>
    <cellStyle name="Input 2 2 3 4 3 2 7" xfId="21547"/>
    <cellStyle name="Input 2 2 3 4 3 2 8" xfId="22518"/>
    <cellStyle name="Input 2 2 3 4 3 2 9" xfId="23523"/>
    <cellStyle name="Input 2 2 3 4 3 20" xfId="36071"/>
    <cellStyle name="Input 2 2 3 4 3 21" xfId="37010"/>
    <cellStyle name="Input 2 2 3 4 3 3" xfId="16475"/>
    <cellStyle name="Input 2 2 3 4 3 4" xfId="17454"/>
    <cellStyle name="Input 2 2 3 4 3 5" xfId="18481"/>
    <cellStyle name="Input 2 2 3 4 3 6" xfId="19513"/>
    <cellStyle name="Input 2 2 3 4 3 7" xfId="20535"/>
    <cellStyle name="Input 2 2 3 4 3 8" xfId="21546"/>
    <cellStyle name="Input 2 2 3 4 3 9" xfId="22517"/>
    <cellStyle name="Input 2 2 3 4 4" xfId="4662"/>
    <cellStyle name="Input 2 2 3 4 4 10" xfId="23524"/>
    <cellStyle name="Input 2 2 3 4 4 11" xfId="24496"/>
    <cellStyle name="Input 2 2 3 4 4 12" xfId="25495"/>
    <cellStyle name="Input 2 2 3 4 4 13" xfId="28442"/>
    <cellStyle name="Input 2 2 3 4 4 14" xfId="29409"/>
    <cellStyle name="Input 2 2 3 4 4 15" xfId="30451"/>
    <cellStyle name="Input 2 2 3 4 4 16" xfId="31442"/>
    <cellStyle name="Input 2 2 3 4 4 17" xfId="32450"/>
    <cellStyle name="Input 2 2 3 4 4 18" xfId="33453"/>
    <cellStyle name="Input 2 2 3 4 4 19" xfId="34452"/>
    <cellStyle name="Input 2 2 3 4 4 2" xfId="4663"/>
    <cellStyle name="Input 2 2 3 4 4 2 10" xfId="24497"/>
    <cellStyle name="Input 2 2 3 4 4 2 11" xfId="25496"/>
    <cellStyle name="Input 2 2 3 4 4 2 12" xfId="28443"/>
    <cellStyle name="Input 2 2 3 4 4 2 13" xfId="29410"/>
    <cellStyle name="Input 2 2 3 4 4 2 14" xfId="30452"/>
    <cellStyle name="Input 2 2 3 4 4 2 15" xfId="31443"/>
    <cellStyle name="Input 2 2 3 4 4 2 16" xfId="32451"/>
    <cellStyle name="Input 2 2 3 4 4 2 17" xfId="33454"/>
    <cellStyle name="Input 2 2 3 4 4 2 18" xfId="34453"/>
    <cellStyle name="Input 2 2 3 4 4 2 19" xfId="36074"/>
    <cellStyle name="Input 2 2 3 4 4 2 2" xfId="16478"/>
    <cellStyle name="Input 2 2 3 4 4 2 20" xfId="37013"/>
    <cellStyle name="Input 2 2 3 4 4 2 3" xfId="17457"/>
    <cellStyle name="Input 2 2 3 4 4 2 4" xfId="18484"/>
    <cellStyle name="Input 2 2 3 4 4 2 5" xfId="19516"/>
    <cellStyle name="Input 2 2 3 4 4 2 6" xfId="20538"/>
    <cellStyle name="Input 2 2 3 4 4 2 7" xfId="21549"/>
    <cellStyle name="Input 2 2 3 4 4 2 8" xfId="22520"/>
    <cellStyle name="Input 2 2 3 4 4 2 9" xfId="23525"/>
    <cellStyle name="Input 2 2 3 4 4 20" xfId="36073"/>
    <cellStyle name="Input 2 2 3 4 4 21" xfId="37012"/>
    <cellStyle name="Input 2 2 3 4 4 3" xfId="16477"/>
    <cellStyle name="Input 2 2 3 4 4 4" xfId="17456"/>
    <cellStyle name="Input 2 2 3 4 4 5" xfId="18483"/>
    <cellStyle name="Input 2 2 3 4 4 6" xfId="19515"/>
    <cellStyle name="Input 2 2 3 4 4 7" xfId="20537"/>
    <cellStyle name="Input 2 2 3 4 4 8" xfId="21548"/>
    <cellStyle name="Input 2 2 3 4 4 9" xfId="22519"/>
    <cellStyle name="Input 2 2 3 4 5" xfId="4664"/>
    <cellStyle name="Input 2 2 3 4 5 10" xfId="24498"/>
    <cellStyle name="Input 2 2 3 4 5 11" xfId="25497"/>
    <cellStyle name="Input 2 2 3 4 5 12" xfId="28444"/>
    <cellStyle name="Input 2 2 3 4 5 13" xfId="29411"/>
    <cellStyle name="Input 2 2 3 4 5 14" xfId="30453"/>
    <cellStyle name="Input 2 2 3 4 5 15" xfId="31444"/>
    <cellStyle name="Input 2 2 3 4 5 16" xfId="32452"/>
    <cellStyle name="Input 2 2 3 4 5 17" xfId="33455"/>
    <cellStyle name="Input 2 2 3 4 5 18" xfId="34454"/>
    <cellStyle name="Input 2 2 3 4 5 19" xfId="36075"/>
    <cellStyle name="Input 2 2 3 4 5 2" xfId="16479"/>
    <cellStyle name="Input 2 2 3 4 5 20" xfId="37014"/>
    <cellStyle name="Input 2 2 3 4 5 3" xfId="17458"/>
    <cellStyle name="Input 2 2 3 4 5 4" xfId="18485"/>
    <cellStyle name="Input 2 2 3 4 5 5" xfId="19517"/>
    <cellStyle name="Input 2 2 3 4 5 6" xfId="20539"/>
    <cellStyle name="Input 2 2 3 4 5 7" xfId="21550"/>
    <cellStyle name="Input 2 2 3 4 5 8" xfId="22521"/>
    <cellStyle name="Input 2 2 3 4 5 9" xfId="23526"/>
    <cellStyle name="Input 2 2 3 4 6" xfId="13486"/>
    <cellStyle name="Input 2 2 3 4 7" xfId="13507"/>
    <cellStyle name="Input 2 2 3 4 8" xfId="15779"/>
    <cellStyle name="Input 2 2 3 4 9" xfId="15182"/>
    <cellStyle name="Input 2 2 3 5" xfId="4665"/>
    <cellStyle name="Input 2 2 3 5 10" xfId="18913"/>
    <cellStyle name="Input 2 2 3 5 11" xfId="15036"/>
    <cellStyle name="Input 2 2 3 5 12" xfId="26438"/>
    <cellStyle name="Input 2 2 3 5 13" xfId="27684"/>
    <cellStyle name="Input 2 2 3 5 14" xfId="26159"/>
    <cellStyle name="Input 2 2 3 5 15" xfId="27041"/>
    <cellStyle name="Input 2 2 3 5 16" xfId="26937"/>
    <cellStyle name="Input 2 2 3 5 17" xfId="27343"/>
    <cellStyle name="Input 2 2 3 5 18" xfId="35122"/>
    <cellStyle name="Input 2 2 3 5 19" xfId="35408"/>
    <cellStyle name="Input 2 2 3 5 2" xfId="4666"/>
    <cellStyle name="Input 2 2 3 5 2 10" xfId="23527"/>
    <cellStyle name="Input 2 2 3 5 2 11" xfId="24499"/>
    <cellStyle name="Input 2 2 3 5 2 12" xfId="25498"/>
    <cellStyle name="Input 2 2 3 5 2 13" xfId="28445"/>
    <cellStyle name="Input 2 2 3 5 2 14" xfId="29412"/>
    <cellStyle name="Input 2 2 3 5 2 15" xfId="30454"/>
    <cellStyle name="Input 2 2 3 5 2 16" xfId="31445"/>
    <cellStyle name="Input 2 2 3 5 2 17" xfId="32453"/>
    <cellStyle name="Input 2 2 3 5 2 18" xfId="33456"/>
    <cellStyle name="Input 2 2 3 5 2 19" xfId="34455"/>
    <cellStyle name="Input 2 2 3 5 2 2" xfId="4667"/>
    <cellStyle name="Input 2 2 3 5 2 2 10" xfId="24500"/>
    <cellStyle name="Input 2 2 3 5 2 2 11" xfId="25499"/>
    <cellStyle name="Input 2 2 3 5 2 2 12" xfId="28446"/>
    <cellStyle name="Input 2 2 3 5 2 2 13" xfId="29413"/>
    <cellStyle name="Input 2 2 3 5 2 2 14" xfId="30455"/>
    <cellStyle name="Input 2 2 3 5 2 2 15" xfId="31446"/>
    <cellStyle name="Input 2 2 3 5 2 2 16" xfId="32454"/>
    <cellStyle name="Input 2 2 3 5 2 2 17" xfId="33457"/>
    <cellStyle name="Input 2 2 3 5 2 2 18" xfId="34456"/>
    <cellStyle name="Input 2 2 3 5 2 2 19" xfId="36077"/>
    <cellStyle name="Input 2 2 3 5 2 2 2" xfId="16481"/>
    <cellStyle name="Input 2 2 3 5 2 2 20" xfId="37016"/>
    <cellStyle name="Input 2 2 3 5 2 2 3" xfId="17460"/>
    <cellStyle name="Input 2 2 3 5 2 2 4" xfId="18487"/>
    <cellStyle name="Input 2 2 3 5 2 2 5" xfId="19519"/>
    <cellStyle name="Input 2 2 3 5 2 2 6" xfId="20541"/>
    <cellStyle name="Input 2 2 3 5 2 2 7" xfId="21552"/>
    <cellStyle name="Input 2 2 3 5 2 2 8" xfId="22523"/>
    <cellStyle name="Input 2 2 3 5 2 2 9" xfId="23528"/>
    <cellStyle name="Input 2 2 3 5 2 20" xfId="36076"/>
    <cellStyle name="Input 2 2 3 5 2 21" xfId="37015"/>
    <cellStyle name="Input 2 2 3 5 2 3" xfId="16480"/>
    <cellStyle name="Input 2 2 3 5 2 4" xfId="17459"/>
    <cellStyle name="Input 2 2 3 5 2 5" xfId="18486"/>
    <cellStyle name="Input 2 2 3 5 2 6" xfId="19518"/>
    <cellStyle name="Input 2 2 3 5 2 7" xfId="20540"/>
    <cellStyle name="Input 2 2 3 5 2 8" xfId="21551"/>
    <cellStyle name="Input 2 2 3 5 2 9" xfId="22522"/>
    <cellStyle name="Input 2 2 3 5 3" xfId="4668"/>
    <cellStyle name="Input 2 2 3 5 3 10" xfId="23529"/>
    <cellStyle name="Input 2 2 3 5 3 11" xfId="24501"/>
    <cellStyle name="Input 2 2 3 5 3 12" xfId="25500"/>
    <cellStyle name="Input 2 2 3 5 3 13" xfId="28447"/>
    <cellStyle name="Input 2 2 3 5 3 14" xfId="29414"/>
    <cellStyle name="Input 2 2 3 5 3 15" xfId="30456"/>
    <cellStyle name="Input 2 2 3 5 3 16" xfId="31447"/>
    <cellStyle name="Input 2 2 3 5 3 17" xfId="32455"/>
    <cellStyle name="Input 2 2 3 5 3 18" xfId="33458"/>
    <cellStyle name="Input 2 2 3 5 3 19" xfId="34457"/>
    <cellStyle name="Input 2 2 3 5 3 2" xfId="4669"/>
    <cellStyle name="Input 2 2 3 5 3 2 10" xfId="24502"/>
    <cellStyle name="Input 2 2 3 5 3 2 11" xfId="25501"/>
    <cellStyle name="Input 2 2 3 5 3 2 12" xfId="28448"/>
    <cellStyle name="Input 2 2 3 5 3 2 13" xfId="29415"/>
    <cellStyle name="Input 2 2 3 5 3 2 14" xfId="30457"/>
    <cellStyle name="Input 2 2 3 5 3 2 15" xfId="31448"/>
    <cellStyle name="Input 2 2 3 5 3 2 16" xfId="32456"/>
    <cellStyle name="Input 2 2 3 5 3 2 17" xfId="33459"/>
    <cellStyle name="Input 2 2 3 5 3 2 18" xfId="34458"/>
    <cellStyle name="Input 2 2 3 5 3 2 19" xfId="36079"/>
    <cellStyle name="Input 2 2 3 5 3 2 2" xfId="16483"/>
    <cellStyle name="Input 2 2 3 5 3 2 20" xfId="37018"/>
    <cellStyle name="Input 2 2 3 5 3 2 3" xfId="17462"/>
    <cellStyle name="Input 2 2 3 5 3 2 4" xfId="18489"/>
    <cellStyle name="Input 2 2 3 5 3 2 5" xfId="19521"/>
    <cellStyle name="Input 2 2 3 5 3 2 6" xfId="20543"/>
    <cellStyle name="Input 2 2 3 5 3 2 7" xfId="21554"/>
    <cellStyle name="Input 2 2 3 5 3 2 8" xfId="22525"/>
    <cellStyle name="Input 2 2 3 5 3 2 9" xfId="23530"/>
    <cellStyle name="Input 2 2 3 5 3 20" xfId="36078"/>
    <cellStyle name="Input 2 2 3 5 3 21" xfId="37017"/>
    <cellStyle name="Input 2 2 3 5 3 3" xfId="16482"/>
    <cellStyle name="Input 2 2 3 5 3 4" xfId="17461"/>
    <cellStyle name="Input 2 2 3 5 3 5" xfId="18488"/>
    <cellStyle name="Input 2 2 3 5 3 6" xfId="19520"/>
    <cellStyle name="Input 2 2 3 5 3 7" xfId="20542"/>
    <cellStyle name="Input 2 2 3 5 3 8" xfId="21553"/>
    <cellStyle name="Input 2 2 3 5 3 9" xfId="22524"/>
    <cellStyle name="Input 2 2 3 5 4" xfId="4670"/>
    <cellStyle name="Input 2 2 3 5 4 10" xfId="23531"/>
    <cellStyle name="Input 2 2 3 5 4 11" xfId="24503"/>
    <cellStyle name="Input 2 2 3 5 4 12" xfId="25502"/>
    <cellStyle name="Input 2 2 3 5 4 13" xfId="28449"/>
    <cellStyle name="Input 2 2 3 5 4 14" xfId="29416"/>
    <cellStyle name="Input 2 2 3 5 4 15" xfId="30458"/>
    <cellStyle name="Input 2 2 3 5 4 16" xfId="31449"/>
    <cellStyle name="Input 2 2 3 5 4 17" xfId="32457"/>
    <cellStyle name="Input 2 2 3 5 4 18" xfId="33460"/>
    <cellStyle name="Input 2 2 3 5 4 19" xfId="34459"/>
    <cellStyle name="Input 2 2 3 5 4 2" xfId="4671"/>
    <cellStyle name="Input 2 2 3 5 4 2 10" xfId="24504"/>
    <cellStyle name="Input 2 2 3 5 4 2 11" xfId="25503"/>
    <cellStyle name="Input 2 2 3 5 4 2 12" xfId="28450"/>
    <cellStyle name="Input 2 2 3 5 4 2 13" xfId="29417"/>
    <cellStyle name="Input 2 2 3 5 4 2 14" xfId="30459"/>
    <cellStyle name="Input 2 2 3 5 4 2 15" xfId="31450"/>
    <cellStyle name="Input 2 2 3 5 4 2 16" xfId="32458"/>
    <cellStyle name="Input 2 2 3 5 4 2 17" xfId="33461"/>
    <cellStyle name="Input 2 2 3 5 4 2 18" xfId="34460"/>
    <cellStyle name="Input 2 2 3 5 4 2 19" xfId="36081"/>
    <cellStyle name="Input 2 2 3 5 4 2 2" xfId="16485"/>
    <cellStyle name="Input 2 2 3 5 4 2 20" xfId="37020"/>
    <cellStyle name="Input 2 2 3 5 4 2 3" xfId="17464"/>
    <cellStyle name="Input 2 2 3 5 4 2 4" xfId="18491"/>
    <cellStyle name="Input 2 2 3 5 4 2 5" xfId="19523"/>
    <cellStyle name="Input 2 2 3 5 4 2 6" xfId="20545"/>
    <cellStyle name="Input 2 2 3 5 4 2 7" xfId="21556"/>
    <cellStyle name="Input 2 2 3 5 4 2 8" xfId="22527"/>
    <cellStyle name="Input 2 2 3 5 4 2 9" xfId="23532"/>
    <cellStyle name="Input 2 2 3 5 4 20" xfId="36080"/>
    <cellStyle name="Input 2 2 3 5 4 21" xfId="37019"/>
    <cellStyle name="Input 2 2 3 5 4 3" xfId="16484"/>
    <cellStyle name="Input 2 2 3 5 4 4" xfId="17463"/>
    <cellStyle name="Input 2 2 3 5 4 5" xfId="18490"/>
    <cellStyle name="Input 2 2 3 5 4 6" xfId="19522"/>
    <cellStyle name="Input 2 2 3 5 4 7" xfId="20544"/>
    <cellStyle name="Input 2 2 3 5 4 8" xfId="21555"/>
    <cellStyle name="Input 2 2 3 5 4 9" xfId="22526"/>
    <cellStyle name="Input 2 2 3 5 5" xfId="4672"/>
    <cellStyle name="Input 2 2 3 5 5 10" xfId="24505"/>
    <cellStyle name="Input 2 2 3 5 5 11" xfId="25504"/>
    <cellStyle name="Input 2 2 3 5 5 12" xfId="28451"/>
    <cellStyle name="Input 2 2 3 5 5 13" xfId="29418"/>
    <cellStyle name="Input 2 2 3 5 5 14" xfId="30460"/>
    <cellStyle name="Input 2 2 3 5 5 15" xfId="31451"/>
    <cellStyle name="Input 2 2 3 5 5 16" xfId="32459"/>
    <cellStyle name="Input 2 2 3 5 5 17" xfId="33462"/>
    <cellStyle name="Input 2 2 3 5 5 18" xfId="34461"/>
    <cellStyle name="Input 2 2 3 5 5 19" xfId="36082"/>
    <cellStyle name="Input 2 2 3 5 5 2" xfId="16486"/>
    <cellStyle name="Input 2 2 3 5 5 20" xfId="37021"/>
    <cellStyle name="Input 2 2 3 5 5 3" xfId="17465"/>
    <cellStyle name="Input 2 2 3 5 5 4" xfId="18492"/>
    <cellStyle name="Input 2 2 3 5 5 5" xfId="19524"/>
    <cellStyle name="Input 2 2 3 5 5 6" xfId="20546"/>
    <cellStyle name="Input 2 2 3 5 5 7" xfId="21557"/>
    <cellStyle name="Input 2 2 3 5 5 8" xfId="22528"/>
    <cellStyle name="Input 2 2 3 5 5 9" xfId="23533"/>
    <cellStyle name="Input 2 2 3 5 6" xfId="13551"/>
    <cellStyle name="Input 2 2 3 5 7" xfId="17822"/>
    <cellStyle name="Input 2 2 3 5 8" xfId="15651"/>
    <cellStyle name="Input 2 2 3 5 9" xfId="15723"/>
    <cellStyle name="Input 2 2 3 6" xfId="4673"/>
    <cellStyle name="Input 2 2 3 6 10" xfId="23534"/>
    <cellStyle name="Input 2 2 3 6 11" xfId="24506"/>
    <cellStyle name="Input 2 2 3 6 12" xfId="25505"/>
    <cellStyle name="Input 2 2 3 6 13" xfId="28452"/>
    <cellStyle name="Input 2 2 3 6 14" xfId="29419"/>
    <cellStyle name="Input 2 2 3 6 15" xfId="30461"/>
    <cellStyle name="Input 2 2 3 6 16" xfId="31452"/>
    <cellStyle name="Input 2 2 3 6 17" xfId="32460"/>
    <cellStyle name="Input 2 2 3 6 18" xfId="33463"/>
    <cellStyle name="Input 2 2 3 6 19" xfId="34462"/>
    <cellStyle name="Input 2 2 3 6 2" xfId="4674"/>
    <cellStyle name="Input 2 2 3 6 2 10" xfId="24507"/>
    <cellStyle name="Input 2 2 3 6 2 11" xfId="25506"/>
    <cellStyle name="Input 2 2 3 6 2 12" xfId="28453"/>
    <cellStyle name="Input 2 2 3 6 2 13" xfId="29420"/>
    <cellStyle name="Input 2 2 3 6 2 14" xfId="30462"/>
    <cellStyle name="Input 2 2 3 6 2 15" xfId="31453"/>
    <cellStyle name="Input 2 2 3 6 2 16" xfId="32461"/>
    <cellStyle name="Input 2 2 3 6 2 17" xfId="33464"/>
    <cellStyle name="Input 2 2 3 6 2 18" xfId="34463"/>
    <cellStyle name="Input 2 2 3 6 2 19" xfId="36084"/>
    <cellStyle name="Input 2 2 3 6 2 2" xfId="16488"/>
    <cellStyle name="Input 2 2 3 6 2 20" xfId="37023"/>
    <cellStyle name="Input 2 2 3 6 2 3" xfId="17467"/>
    <cellStyle name="Input 2 2 3 6 2 4" xfId="18494"/>
    <cellStyle name="Input 2 2 3 6 2 5" xfId="19526"/>
    <cellStyle name="Input 2 2 3 6 2 6" xfId="20548"/>
    <cellStyle name="Input 2 2 3 6 2 7" xfId="21559"/>
    <cellStyle name="Input 2 2 3 6 2 8" xfId="22530"/>
    <cellStyle name="Input 2 2 3 6 2 9" xfId="23535"/>
    <cellStyle name="Input 2 2 3 6 20" xfId="36083"/>
    <cellStyle name="Input 2 2 3 6 21" xfId="37022"/>
    <cellStyle name="Input 2 2 3 6 3" xfId="16487"/>
    <cellStyle name="Input 2 2 3 6 4" xfId="17466"/>
    <cellStyle name="Input 2 2 3 6 5" xfId="18493"/>
    <cellStyle name="Input 2 2 3 6 6" xfId="19525"/>
    <cellStyle name="Input 2 2 3 6 7" xfId="20547"/>
    <cellStyle name="Input 2 2 3 6 8" xfId="21558"/>
    <cellStyle name="Input 2 2 3 6 9" xfId="22529"/>
    <cellStyle name="Input 2 2 3 7" xfId="4675"/>
    <cellStyle name="Input 2 2 3 7 10" xfId="23536"/>
    <cellStyle name="Input 2 2 3 7 11" xfId="24508"/>
    <cellStyle name="Input 2 2 3 7 12" xfId="25507"/>
    <cellStyle name="Input 2 2 3 7 13" xfId="28454"/>
    <cellStyle name="Input 2 2 3 7 14" xfId="29421"/>
    <cellStyle name="Input 2 2 3 7 15" xfId="30463"/>
    <cellStyle name="Input 2 2 3 7 16" xfId="31454"/>
    <cellStyle name="Input 2 2 3 7 17" xfId="32462"/>
    <cellStyle name="Input 2 2 3 7 18" xfId="33465"/>
    <cellStyle name="Input 2 2 3 7 19" xfId="34464"/>
    <cellStyle name="Input 2 2 3 7 2" xfId="4676"/>
    <cellStyle name="Input 2 2 3 7 2 10" xfId="24509"/>
    <cellStyle name="Input 2 2 3 7 2 11" xfId="25508"/>
    <cellStyle name="Input 2 2 3 7 2 12" xfId="28455"/>
    <cellStyle name="Input 2 2 3 7 2 13" xfId="29422"/>
    <cellStyle name="Input 2 2 3 7 2 14" xfId="30464"/>
    <cellStyle name="Input 2 2 3 7 2 15" xfId="31455"/>
    <cellStyle name="Input 2 2 3 7 2 16" xfId="32463"/>
    <cellStyle name="Input 2 2 3 7 2 17" xfId="33466"/>
    <cellStyle name="Input 2 2 3 7 2 18" xfId="34465"/>
    <cellStyle name="Input 2 2 3 7 2 19" xfId="36086"/>
    <cellStyle name="Input 2 2 3 7 2 2" xfId="16490"/>
    <cellStyle name="Input 2 2 3 7 2 20" xfId="37025"/>
    <cellStyle name="Input 2 2 3 7 2 3" xfId="17469"/>
    <cellStyle name="Input 2 2 3 7 2 4" xfId="18496"/>
    <cellStyle name="Input 2 2 3 7 2 5" xfId="19528"/>
    <cellStyle name="Input 2 2 3 7 2 6" xfId="20550"/>
    <cellStyle name="Input 2 2 3 7 2 7" xfId="21561"/>
    <cellStyle name="Input 2 2 3 7 2 8" xfId="22532"/>
    <cellStyle name="Input 2 2 3 7 2 9" xfId="23537"/>
    <cellStyle name="Input 2 2 3 7 20" xfId="36085"/>
    <cellStyle name="Input 2 2 3 7 21" xfId="37024"/>
    <cellStyle name="Input 2 2 3 7 3" xfId="16489"/>
    <cellStyle name="Input 2 2 3 7 4" xfId="17468"/>
    <cellStyle name="Input 2 2 3 7 5" xfId="18495"/>
    <cellStyle name="Input 2 2 3 7 6" xfId="19527"/>
    <cellStyle name="Input 2 2 3 7 7" xfId="20549"/>
    <cellStyle name="Input 2 2 3 7 8" xfId="21560"/>
    <cellStyle name="Input 2 2 3 7 9" xfId="22531"/>
    <cellStyle name="Input 2 2 3 8" xfId="4677"/>
    <cellStyle name="Input 2 2 3 8 10" xfId="23538"/>
    <cellStyle name="Input 2 2 3 8 11" xfId="24510"/>
    <cellStyle name="Input 2 2 3 8 12" xfId="25509"/>
    <cellStyle name="Input 2 2 3 8 13" xfId="28456"/>
    <cellStyle name="Input 2 2 3 8 14" xfId="29423"/>
    <cellStyle name="Input 2 2 3 8 15" xfId="30465"/>
    <cellStyle name="Input 2 2 3 8 16" xfId="31456"/>
    <cellStyle name="Input 2 2 3 8 17" xfId="32464"/>
    <cellStyle name="Input 2 2 3 8 18" xfId="33467"/>
    <cellStyle name="Input 2 2 3 8 19" xfId="34466"/>
    <cellStyle name="Input 2 2 3 8 2" xfId="4678"/>
    <cellStyle name="Input 2 2 3 8 2 10" xfId="24511"/>
    <cellStyle name="Input 2 2 3 8 2 11" xfId="25510"/>
    <cellStyle name="Input 2 2 3 8 2 12" xfId="28457"/>
    <cellStyle name="Input 2 2 3 8 2 13" xfId="29424"/>
    <cellStyle name="Input 2 2 3 8 2 14" xfId="30466"/>
    <cellStyle name="Input 2 2 3 8 2 15" xfId="31457"/>
    <cellStyle name="Input 2 2 3 8 2 16" xfId="32465"/>
    <cellStyle name="Input 2 2 3 8 2 17" xfId="33468"/>
    <cellStyle name="Input 2 2 3 8 2 18" xfId="34467"/>
    <cellStyle name="Input 2 2 3 8 2 19" xfId="36088"/>
    <cellStyle name="Input 2 2 3 8 2 2" xfId="16492"/>
    <cellStyle name="Input 2 2 3 8 2 20" xfId="37027"/>
    <cellStyle name="Input 2 2 3 8 2 3" xfId="17471"/>
    <cellStyle name="Input 2 2 3 8 2 4" xfId="18498"/>
    <cellStyle name="Input 2 2 3 8 2 5" xfId="19530"/>
    <cellStyle name="Input 2 2 3 8 2 6" xfId="20552"/>
    <cellStyle name="Input 2 2 3 8 2 7" xfId="21563"/>
    <cellStyle name="Input 2 2 3 8 2 8" xfId="22534"/>
    <cellStyle name="Input 2 2 3 8 2 9" xfId="23539"/>
    <cellStyle name="Input 2 2 3 8 20" xfId="36087"/>
    <cellStyle name="Input 2 2 3 8 21" xfId="37026"/>
    <cellStyle name="Input 2 2 3 8 3" xfId="16491"/>
    <cellStyle name="Input 2 2 3 8 4" xfId="17470"/>
    <cellStyle name="Input 2 2 3 8 5" xfId="18497"/>
    <cellStyle name="Input 2 2 3 8 6" xfId="19529"/>
    <cellStyle name="Input 2 2 3 8 7" xfId="20551"/>
    <cellStyle name="Input 2 2 3 8 8" xfId="21562"/>
    <cellStyle name="Input 2 2 3 8 9" xfId="22533"/>
    <cellStyle name="Input 2 2 3 9" xfId="4679"/>
    <cellStyle name="Input 2 2 3 9 10" xfId="24512"/>
    <cellStyle name="Input 2 2 3 9 11" xfId="25511"/>
    <cellStyle name="Input 2 2 3 9 12" xfId="28458"/>
    <cellStyle name="Input 2 2 3 9 13" xfId="29425"/>
    <cellStyle name="Input 2 2 3 9 14" xfId="30467"/>
    <cellStyle name="Input 2 2 3 9 15" xfId="31458"/>
    <cellStyle name="Input 2 2 3 9 16" xfId="32466"/>
    <cellStyle name="Input 2 2 3 9 17" xfId="33469"/>
    <cellStyle name="Input 2 2 3 9 18" xfId="34468"/>
    <cellStyle name="Input 2 2 3 9 19" xfId="36089"/>
    <cellStyle name="Input 2 2 3 9 2" xfId="16493"/>
    <cellStyle name="Input 2 2 3 9 20" xfId="37028"/>
    <cellStyle name="Input 2 2 3 9 3" xfId="17472"/>
    <cellStyle name="Input 2 2 3 9 4" xfId="18499"/>
    <cellStyle name="Input 2 2 3 9 5" xfId="19531"/>
    <cellStyle name="Input 2 2 3 9 6" xfId="20553"/>
    <cellStyle name="Input 2 2 3 9 7" xfId="21564"/>
    <cellStyle name="Input 2 2 3 9 8" xfId="22535"/>
    <cellStyle name="Input 2 2 3 9 9" xfId="23540"/>
    <cellStyle name="Input 2 2 4" xfId="4680"/>
    <cellStyle name="Input 2 2 4 10" xfId="13429"/>
    <cellStyle name="Input 2 2 4 11" xfId="15551"/>
    <cellStyle name="Input 2 2 4 12" xfId="13960"/>
    <cellStyle name="Input 2 2 4 13" xfId="15366"/>
    <cellStyle name="Input 2 2 4 14" xfId="18881"/>
    <cellStyle name="Input 2 2 4 15" xfId="16839"/>
    <cellStyle name="Input 2 2 4 16" xfId="26515"/>
    <cellStyle name="Input 2 2 4 17" xfId="27046"/>
    <cellStyle name="Input 2 2 4 18" xfId="26197"/>
    <cellStyle name="Input 2 2 4 19" xfId="26719"/>
    <cellStyle name="Input 2 2 4 2" xfId="4681"/>
    <cellStyle name="Input 2 2 4 2 10" xfId="23541"/>
    <cellStyle name="Input 2 2 4 2 11" xfId="24513"/>
    <cellStyle name="Input 2 2 4 2 12" xfId="25512"/>
    <cellStyle name="Input 2 2 4 2 13" xfId="28459"/>
    <cellStyle name="Input 2 2 4 2 14" xfId="29426"/>
    <cellStyle name="Input 2 2 4 2 15" xfId="30468"/>
    <cellStyle name="Input 2 2 4 2 16" xfId="31459"/>
    <cellStyle name="Input 2 2 4 2 17" xfId="32467"/>
    <cellStyle name="Input 2 2 4 2 18" xfId="33470"/>
    <cellStyle name="Input 2 2 4 2 19" xfId="34469"/>
    <cellStyle name="Input 2 2 4 2 2" xfId="4682"/>
    <cellStyle name="Input 2 2 4 2 2 10" xfId="24514"/>
    <cellStyle name="Input 2 2 4 2 2 11" xfId="25513"/>
    <cellStyle name="Input 2 2 4 2 2 12" xfId="28460"/>
    <cellStyle name="Input 2 2 4 2 2 13" xfId="29427"/>
    <cellStyle name="Input 2 2 4 2 2 14" xfId="30469"/>
    <cellStyle name="Input 2 2 4 2 2 15" xfId="31460"/>
    <cellStyle name="Input 2 2 4 2 2 16" xfId="32468"/>
    <cellStyle name="Input 2 2 4 2 2 17" xfId="33471"/>
    <cellStyle name="Input 2 2 4 2 2 18" xfId="34470"/>
    <cellStyle name="Input 2 2 4 2 2 19" xfId="36091"/>
    <cellStyle name="Input 2 2 4 2 2 2" xfId="16495"/>
    <cellStyle name="Input 2 2 4 2 2 20" xfId="37030"/>
    <cellStyle name="Input 2 2 4 2 2 3" xfId="17474"/>
    <cellStyle name="Input 2 2 4 2 2 4" xfId="18501"/>
    <cellStyle name="Input 2 2 4 2 2 5" xfId="19533"/>
    <cellStyle name="Input 2 2 4 2 2 6" xfId="20555"/>
    <cellStyle name="Input 2 2 4 2 2 7" xfId="21566"/>
    <cellStyle name="Input 2 2 4 2 2 8" xfId="22537"/>
    <cellStyle name="Input 2 2 4 2 2 9" xfId="23542"/>
    <cellStyle name="Input 2 2 4 2 20" xfId="36090"/>
    <cellStyle name="Input 2 2 4 2 21" xfId="37029"/>
    <cellStyle name="Input 2 2 4 2 3" xfId="16494"/>
    <cellStyle name="Input 2 2 4 2 4" xfId="17473"/>
    <cellStyle name="Input 2 2 4 2 5" xfId="18500"/>
    <cellStyle name="Input 2 2 4 2 6" xfId="19532"/>
    <cellStyle name="Input 2 2 4 2 7" xfId="20554"/>
    <cellStyle name="Input 2 2 4 2 8" xfId="21565"/>
    <cellStyle name="Input 2 2 4 2 9" xfId="22536"/>
    <cellStyle name="Input 2 2 4 20" xfId="26834"/>
    <cellStyle name="Input 2 2 4 21" xfId="27825"/>
    <cellStyle name="Input 2 2 4 22" xfId="26878"/>
    <cellStyle name="Input 2 2 4 23" xfId="35183"/>
    <cellStyle name="Input 2 2 4 24" xfId="34899"/>
    <cellStyle name="Input 2 2 4 3" xfId="4683"/>
    <cellStyle name="Input 2 2 4 3 10" xfId="23543"/>
    <cellStyle name="Input 2 2 4 3 11" xfId="24515"/>
    <cellStyle name="Input 2 2 4 3 12" xfId="25514"/>
    <cellStyle name="Input 2 2 4 3 13" xfId="28461"/>
    <cellStyle name="Input 2 2 4 3 14" xfId="29428"/>
    <cellStyle name="Input 2 2 4 3 15" xfId="30470"/>
    <cellStyle name="Input 2 2 4 3 16" xfId="31461"/>
    <cellStyle name="Input 2 2 4 3 17" xfId="32469"/>
    <cellStyle name="Input 2 2 4 3 18" xfId="33472"/>
    <cellStyle name="Input 2 2 4 3 19" xfId="34471"/>
    <cellStyle name="Input 2 2 4 3 2" xfId="4684"/>
    <cellStyle name="Input 2 2 4 3 2 10" xfId="24516"/>
    <cellStyle name="Input 2 2 4 3 2 11" xfId="25515"/>
    <cellStyle name="Input 2 2 4 3 2 12" xfId="28462"/>
    <cellStyle name="Input 2 2 4 3 2 13" xfId="29429"/>
    <cellStyle name="Input 2 2 4 3 2 14" xfId="30471"/>
    <cellStyle name="Input 2 2 4 3 2 15" xfId="31462"/>
    <cellStyle name="Input 2 2 4 3 2 16" xfId="32470"/>
    <cellStyle name="Input 2 2 4 3 2 17" xfId="33473"/>
    <cellStyle name="Input 2 2 4 3 2 18" xfId="34472"/>
    <cellStyle name="Input 2 2 4 3 2 19" xfId="36093"/>
    <cellStyle name="Input 2 2 4 3 2 2" xfId="16497"/>
    <cellStyle name="Input 2 2 4 3 2 20" xfId="37032"/>
    <cellStyle name="Input 2 2 4 3 2 3" xfId="17476"/>
    <cellStyle name="Input 2 2 4 3 2 4" xfId="18503"/>
    <cellStyle name="Input 2 2 4 3 2 5" xfId="19535"/>
    <cellStyle name="Input 2 2 4 3 2 6" xfId="20557"/>
    <cellStyle name="Input 2 2 4 3 2 7" xfId="21568"/>
    <cellStyle name="Input 2 2 4 3 2 8" xfId="22539"/>
    <cellStyle name="Input 2 2 4 3 2 9" xfId="23544"/>
    <cellStyle name="Input 2 2 4 3 20" xfId="36092"/>
    <cellStyle name="Input 2 2 4 3 21" xfId="37031"/>
    <cellStyle name="Input 2 2 4 3 3" xfId="16496"/>
    <cellStyle name="Input 2 2 4 3 4" xfId="17475"/>
    <cellStyle name="Input 2 2 4 3 5" xfId="18502"/>
    <cellStyle name="Input 2 2 4 3 6" xfId="19534"/>
    <cellStyle name="Input 2 2 4 3 7" xfId="20556"/>
    <cellStyle name="Input 2 2 4 3 8" xfId="21567"/>
    <cellStyle name="Input 2 2 4 3 9" xfId="22538"/>
    <cellStyle name="Input 2 2 4 4" xfId="4685"/>
    <cellStyle name="Input 2 2 4 4 10" xfId="23545"/>
    <cellStyle name="Input 2 2 4 4 11" xfId="24517"/>
    <cellStyle name="Input 2 2 4 4 12" xfId="25516"/>
    <cellStyle name="Input 2 2 4 4 13" xfId="28463"/>
    <cellStyle name="Input 2 2 4 4 14" xfId="29430"/>
    <cellStyle name="Input 2 2 4 4 15" xfId="30472"/>
    <cellStyle name="Input 2 2 4 4 16" xfId="31463"/>
    <cellStyle name="Input 2 2 4 4 17" xfId="32471"/>
    <cellStyle name="Input 2 2 4 4 18" xfId="33474"/>
    <cellStyle name="Input 2 2 4 4 19" xfId="34473"/>
    <cellStyle name="Input 2 2 4 4 2" xfId="4686"/>
    <cellStyle name="Input 2 2 4 4 2 10" xfId="24518"/>
    <cellStyle name="Input 2 2 4 4 2 11" xfId="25517"/>
    <cellStyle name="Input 2 2 4 4 2 12" xfId="28464"/>
    <cellStyle name="Input 2 2 4 4 2 13" xfId="29431"/>
    <cellStyle name="Input 2 2 4 4 2 14" xfId="30473"/>
    <cellStyle name="Input 2 2 4 4 2 15" xfId="31464"/>
    <cellStyle name="Input 2 2 4 4 2 16" xfId="32472"/>
    <cellStyle name="Input 2 2 4 4 2 17" xfId="33475"/>
    <cellStyle name="Input 2 2 4 4 2 18" xfId="34474"/>
    <cellStyle name="Input 2 2 4 4 2 19" xfId="36095"/>
    <cellStyle name="Input 2 2 4 4 2 2" xfId="16499"/>
    <cellStyle name="Input 2 2 4 4 2 20" xfId="37034"/>
    <cellStyle name="Input 2 2 4 4 2 3" xfId="17478"/>
    <cellStyle name="Input 2 2 4 4 2 4" xfId="18505"/>
    <cellStyle name="Input 2 2 4 4 2 5" xfId="19537"/>
    <cellStyle name="Input 2 2 4 4 2 6" xfId="20559"/>
    <cellStyle name="Input 2 2 4 4 2 7" xfId="21570"/>
    <cellStyle name="Input 2 2 4 4 2 8" xfId="22541"/>
    <cellStyle name="Input 2 2 4 4 2 9" xfId="23546"/>
    <cellStyle name="Input 2 2 4 4 20" xfId="36094"/>
    <cellStyle name="Input 2 2 4 4 21" xfId="37033"/>
    <cellStyle name="Input 2 2 4 4 3" xfId="16498"/>
    <cellStyle name="Input 2 2 4 4 4" xfId="17477"/>
    <cellStyle name="Input 2 2 4 4 5" xfId="18504"/>
    <cellStyle name="Input 2 2 4 4 6" xfId="19536"/>
    <cellStyle name="Input 2 2 4 4 7" xfId="20558"/>
    <cellStyle name="Input 2 2 4 4 8" xfId="21569"/>
    <cellStyle name="Input 2 2 4 4 9" xfId="22540"/>
    <cellStyle name="Input 2 2 4 5" xfId="4687"/>
    <cellStyle name="Input 2 2 4 5 10" xfId="24519"/>
    <cellStyle name="Input 2 2 4 5 11" xfId="25518"/>
    <cellStyle name="Input 2 2 4 5 12" xfId="28465"/>
    <cellStyle name="Input 2 2 4 5 13" xfId="29432"/>
    <cellStyle name="Input 2 2 4 5 14" xfId="30474"/>
    <cellStyle name="Input 2 2 4 5 15" xfId="31465"/>
    <cellStyle name="Input 2 2 4 5 16" xfId="32473"/>
    <cellStyle name="Input 2 2 4 5 17" xfId="33476"/>
    <cellStyle name="Input 2 2 4 5 18" xfId="34475"/>
    <cellStyle name="Input 2 2 4 5 19" xfId="36096"/>
    <cellStyle name="Input 2 2 4 5 2" xfId="16500"/>
    <cellStyle name="Input 2 2 4 5 20" xfId="37035"/>
    <cellStyle name="Input 2 2 4 5 3" xfId="17479"/>
    <cellStyle name="Input 2 2 4 5 4" xfId="18506"/>
    <cellStyle name="Input 2 2 4 5 5" xfId="19538"/>
    <cellStyle name="Input 2 2 4 5 6" xfId="20560"/>
    <cellStyle name="Input 2 2 4 5 7" xfId="21571"/>
    <cellStyle name="Input 2 2 4 5 8" xfId="22542"/>
    <cellStyle name="Input 2 2 4 5 9" xfId="23547"/>
    <cellStyle name="Input 2 2 4 6" xfId="13955"/>
    <cellStyle name="Input 2 2 4 7" xfId="14815"/>
    <cellStyle name="Input 2 2 4 8" xfId="14076"/>
    <cellStyle name="Input 2 2 4 9" xfId="15649"/>
    <cellStyle name="Input 2 2 5" xfId="4688"/>
    <cellStyle name="Input 2 2 5 10" xfId="23548"/>
    <cellStyle name="Input 2 2 5 11" xfId="24520"/>
    <cellStyle name="Input 2 2 5 12" xfId="25519"/>
    <cellStyle name="Input 2 2 5 13" xfId="28466"/>
    <cellStyle name="Input 2 2 5 14" xfId="29433"/>
    <cellStyle name="Input 2 2 5 15" xfId="30475"/>
    <cellStyle name="Input 2 2 5 16" xfId="31466"/>
    <cellStyle name="Input 2 2 5 17" xfId="32474"/>
    <cellStyle name="Input 2 2 5 18" xfId="33477"/>
    <cellStyle name="Input 2 2 5 19" xfId="34476"/>
    <cellStyle name="Input 2 2 5 2" xfId="4689"/>
    <cellStyle name="Input 2 2 5 2 10" xfId="24521"/>
    <cellStyle name="Input 2 2 5 2 11" xfId="25520"/>
    <cellStyle name="Input 2 2 5 2 12" xfId="28467"/>
    <cellStyle name="Input 2 2 5 2 13" xfId="29434"/>
    <cellStyle name="Input 2 2 5 2 14" xfId="30476"/>
    <cellStyle name="Input 2 2 5 2 15" xfId="31467"/>
    <cellStyle name="Input 2 2 5 2 16" xfId="32475"/>
    <cellStyle name="Input 2 2 5 2 17" xfId="33478"/>
    <cellStyle name="Input 2 2 5 2 18" xfId="34477"/>
    <cellStyle name="Input 2 2 5 2 19" xfId="36098"/>
    <cellStyle name="Input 2 2 5 2 2" xfId="16502"/>
    <cellStyle name="Input 2 2 5 2 20" xfId="37037"/>
    <cellStyle name="Input 2 2 5 2 3" xfId="17481"/>
    <cellStyle name="Input 2 2 5 2 4" xfId="18508"/>
    <cellStyle name="Input 2 2 5 2 5" xfId="19540"/>
    <cellStyle name="Input 2 2 5 2 6" xfId="20562"/>
    <cellStyle name="Input 2 2 5 2 7" xfId="21573"/>
    <cellStyle name="Input 2 2 5 2 8" xfId="22544"/>
    <cellStyle name="Input 2 2 5 2 9" xfId="23549"/>
    <cellStyle name="Input 2 2 5 20" xfId="36097"/>
    <cellStyle name="Input 2 2 5 21" xfId="37036"/>
    <cellStyle name="Input 2 2 5 3" xfId="16501"/>
    <cellStyle name="Input 2 2 5 4" xfId="17480"/>
    <cellStyle name="Input 2 2 5 5" xfId="18507"/>
    <cellStyle name="Input 2 2 5 6" xfId="19539"/>
    <cellStyle name="Input 2 2 5 7" xfId="20561"/>
    <cellStyle name="Input 2 2 5 8" xfId="21572"/>
    <cellStyle name="Input 2 2 5 9" xfId="22543"/>
    <cellStyle name="Input 2 2 6" xfId="4690"/>
    <cellStyle name="Input 2 2 6 10" xfId="23550"/>
    <cellStyle name="Input 2 2 6 11" xfId="24522"/>
    <cellStyle name="Input 2 2 6 12" xfId="25521"/>
    <cellStyle name="Input 2 2 6 13" xfId="28468"/>
    <cellStyle name="Input 2 2 6 14" xfId="29435"/>
    <cellStyle name="Input 2 2 6 15" xfId="30477"/>
    <cellStyle name="Input 2 2 6 16" xfId="31468"/>
    <cellStyle name="Input 2 2 6 17" xfId="32476"/>
    <cellStyle name="Input 2 2 6 18" xfId="33479"/>
    <cellStyle name="Input 2 2 6 19" xfId="34478"/>
    <cellStyle name="Input 2 2 6 2" xfId="4691"/>
    <cellStyle name="Input 2 2 6 2 10" xfId="24523"/>
    <cellStyle name="Input 2 2 6 2 11" xfId="25522"/>
    <cellStyle name="Input 2 2 6 2 12" xfId="28469"/>
    <cellStyle name="Input 2 2 6 2 13" xfId="29436"/>
    <cellStyle name="Input 2 2 6 2 14" xfId="30478"/>
    <cellStyle name="Input 2 2 6 2 15" xfId="31469"/>
    <cellStyle name="Input 2 2 6 2 16" xfId="32477"/>
    <cellStyle name="Input 2 2 6 2 17" xfId="33480"/>
    <cellStyle name="Input 2 2 6 2 18" xfId="34479"/>
    <cellStyle name="Input 2 2 6 2 19" xfId="36100"/>
    <cellStyle name="Input 2 2 6 2 2" xfId="16504"/>
    <cellStyle name="Input 2 2 6 2 20" xfId="37039"/>
    <cellStyle name="Input 2 2 6 2 3" xfId="17483"/>
    <cellStyle name="Input 2 2 6 2 4" xfId="18510"/>
    <cellStyle name="Input 2 2 6 2 5" xfId="19542"/>
    <cellStyle name="Input 2 2 6 2 6" xfId="20564"/>
    <cellStyle name="Input 2 2 6 2 7" xfId="21575"/>
    <cellStyle name="Input 2 2 6 2 8" xfId="22546"/>
    <cellStyle name="Input 2 2 6 2 9" xfId="23551"/>
    <cellStyle name="Input 2 2 6 20" xfId="36099"/>
    <cellStyle name="Input 2 2 6 21" xfId="37038"/>
    <cellStyle name="Input 2 2 6 3" xfId="16503"/>
    <cellStyle name="Input 2 2 6 4" xfId="17482"/>
    <cellStyle name="Input 2 2 6 5" xfId="18509"/>
    <cellStyle name="Input 2 2 6 6" xfId="19541"/>
    <cellStyle name="Input 2 2 6 7" xfId="20563"/>
    <cellStyle name="Input 2 2 6 8" xfId="21574"/>
    <cellStyle name="Input 2 2 6 9" xfId="22545"/>
    <cellStyle name="Input 2 2 7" xfId="4692"/>
    <cellStyle name="Input 2 2 7 10" xfId="23552"/>
    <cellStyle name="Input 2 2 7 11" xfId="24524"/>
    <cellStyle name="Input 2 2 7 12" xfId="25523"/>
    <cellStyle name="Input 2 2 7 13" xfId="28470"/>
    <cellStyle name="Input 2 2 7 14" xfId="29437"/>
    <cellStyle name="Input 2 2 7 15" xfId="30479"/>
    <cellStyle name="Input 2 2 7 16" xfId="31470"/>
    <cellStyle name="Input 2 2 7 17" xfId="32478"/>
    <cellStyle name="Input 2 2 7 18" xfId="33481"/>
    <cellStyle name="Input 2 2 7 19" xfId="34480"/>
    <cellStyle name="Input 2 2 7 2" xfId="4693"/>
    <cellStyle name="Input 2 2 7 2 10" xfId="24525"/>
    <cellStyle name="Input 2 2 7 2 11" xfId="25524"/>
    <cellStyle name="Input 2 2 7 2 12" xfId="28471"/>
    <cellStyle name="Input 2 2 7 2 13" xfId="29438"/>
    <cellStyle name="Input 2 2 7 2 14" xfId="30480"/>
    <cellStyle name="Input 2 2 7 2 15" xfId="31471"/>
    <cellStyle name="Input 2 2 7 2 16" xfId="32479"/>
    <cellStyle name="Input 2 2 7 2 17" xfId="33482"/>
    <cellStyle name="Input 2 2 7 2 18" xfId="34481"/>
    <cellStyle name="Input 2 2 7 2 19" xfId="36102"/>
    <cellStyle name="Input 2 2 7 2 2" xfId="16506"/>
    <cellStyle name="Input 2 2 7 2 20" xfId="37041"/>
    <cellStyle name="Input 2 2 7 2 3" xfId="17485"/>
    <cellStyle name="Input 2 2 7 2 4" xfId="18512"/>
    <cellStyle name="Input 2 2 7 2 5" xfId="19544"/>
    <cellStyle name="Input 2 2 7 2 6" xfId="20566"/>
    <cellStyle name="Input 2 2 7 2 7" xfId="21577"/>
    <cellStyle name="Input 2 2 7 2 8" xfId="22548"/>
    <cellStyle name="Input 2 2 7 2 9" xfId="23553"/>
    <cellStyle name="Input 2 2 7 20" xfId="36101"/>
    <cellStyle name="Input 2 2 7 21" xfId="37040"/>
    <cellStyle name="Input 2 2 7 3" xfId="16505"/>
    <cellStyle name="Input 2 2 7 4" xfId="17484"/>
    <cellStyle name="Input 2 2 7 5" xfId="18511"/>
    <cellStyle name="Input 2 2 7 6" xfId="19543"/>
    <cellStyle name="Input 2 2 7 7" xfId="20565"/>
    <cellStyle name="Input 2 2 7 8" xfId="21576"/>
    <cellStyle name="Input 2 2 7 9" xfId="22547"/>
    <cellStyle name="Input 2 2 8" xfId="4694"/>
    <cellStyle name="Input 2 2 8 10" xfId="24526"/>
    <cellStyle name="Input 2 2 8 11" xfId="25525"/>
    <cellStyle name="Input 2 2 8 12" xfId="28472"/>
    <cellStyle name="Input 2 2 8 13" xfId="29439"/>
    <cellStyle name="Input 2 2 8 14" xfId="30481"/>
    <cellStyle name="Input 2 2 8 15" xfId="31472"/>
    <cellStyle name="Input 2 2 8 16" xfId="32480"/>
    <cellStyle name="Input 2 2 8 17" xfId="33483"/>
    <cellStyle name="Input 2 2 8 18" xfId="34482"/>
    <cellStyle name="Input 2 2 8 19" xfId="36103"/>
    <cellStyle name="Input 2 2 8 2" xfId="16507"/>
    <cellStyle name="Input 2 2 8 20" xfId="37042"/>
    <cellStyle name="Input 2 2 8 3" xfId="17486"/>
    <cellStyle name="Input 2 2 8 4" xfId="18513"/>
    <cellStyle name="Input 2 2 8 5" xfId="19545"/>
    <cellStyle name="Input 2 2 8 6" xfId="20567"/>
    <cellStyle name="Input 2 2 8 7" xfId="21578"/>
    <cellStyle name="Input 2 2 8 8" xfId="22549"/>
    <cellStyle name="Input 2 2 8 9" xfId="23554"/>
    <cellStyle name="Input 2 2 9" xfId="13913"/>
    <cellStyle name="Input 2 3" xfId="4695"/>
    <cellStyle name="Input 2 3 10" xfId="15547"/>
    <cellStyle name="Input 2 3 11" xfId="15756"/>
    <cellStyle name="Input 2 3 12" xfId="18898"/>
    <cellStyle name="Input 2 3 13" xfId="13456"/>
    <cellStyle name="Input 2 3 14" xfId="25989"/>
    <cellStyle name="Input 2 3 15" xfId="27290"/>
    <cellStyle name="Input 2 3 16" xfId="26239"/>
    <cellStyle name="Input 2 3 17" xfId="27506"/>
    <cellStyle name="Input 2 3 18" xfId="26925"/>
    <cellStyle name="Input 2 3 19" xfId="32834"/>
    <cellStyle name="Input 2 3 2" xfId="4696"/>
    <cellStyle name="Input 2 3 2 10" xfId="14356"/>
    <cellStyle name="Input 2 3 2 11" xfId="15846"/>
    <cellStyle name="Input 2 3 2 12" xfId="13788"/>
    <cellStyle name="Input 2 3 2 13" xfId="18909"/>
    <cellStyle name="Input 2 3 2 14" xfId="21859"/>
    <cellStyle name="Input 2 3 2 15" xfId="21897"/>
    <cellStyle name="Input 2 3 2 16" xfId="26094"/>
    <cellStyle name="Input 2 3 2 17" xfId="27257"/>
    <cellStyle name="Input 2 3 2 18" xfId="28754"/>
    <cellStyle name="Input 2 3 2 19" xfId="27215"/>
    <cellStyle name="Input 2 3 2 2" xfId="4697"/>
    <cellStyle name="Input 2 3 2 2 10" xfId="15076"/>
    <cellStyle name="Input 2 3 2 2 11" xfId="20935"/>
    <cellStyle name="Input 2 3 2 2 12" xfId="26315"/>
    <cellStyle name="Input 2 3 2 2 13" xfId="27728"/>
    <cellStyle name="Input 2 3 2 2 14" xfId="26115"/>
    <cellStyle name="Input 2 3 2 2 15" xfId="26187"/>
    <cellStyle name="Input 2 3 2 2 16" xfId="27809"/>
    <cellStyle name="Input 2 3 2 2 17" xfId="26897"/>
    <cellStyle name="Input 2 3 2 2 18" xfId="35011"/>
    <cellStyle name="Input 2 3 2 2 19" xfId="35453"/>
    <cellStyle name="Input 2 3 2 2 2" xfId="4698"/>
    <cellStyle name="Input 2 3 2 2 2 10" xfId="23555"/>
    <cellStyle name="Input 2 3 2 2 2 11" xfId="24527"/>
    <cellStyle name="Input 2 3 2 2 2 12" xfId="25526"/>
    <cellStyle name="Input 2 3 2 2 2 13" xfId="28473"/>
    <cellStyle name="Input 2 3 2 2 2 14" xfId="29440"/>
    <cellStyle name="Input 2 3 2 2 2 15" xfId="30482"/>
    <cellStyle name="Input 2 3 2 2 2 16" xfId="31473"/>
    <cellStyle name="Input 2 3 2 2 2 17" xfId="32481"/>
    <cellStyle name="Input 2 3 2 2 2 18" xfId="33484"/>
    <cellStyle name="Input 2 3 2 2 2 19" xfId="34483"/>
    <cellStyle name="Input 2 3 2 2 2 2" xfId="4699"/>
    <cellStyle name="Input 2 3 2 2 2 2 10" xfId="24528"/>
    <cellStyle name="Input 2 3 2 2 2 2 11" xfId="25527"/>
    <cellStyle name="Input 2 3 2 2 2 2 12" xfId="28474"/>
    <cellStyle name="Input 2 3 2 2 2 2 13" xfId="29441"/>
    <cellStyle name="Input 2 3 2 2 2 2 14" xfId="30483"/>
    <cellStyle name="Input 2 3 2 2 2 2 15" xfId="31474"/>
    <cellStyle name="Input 2 3 2 2 2 2 16" xfId="32482"/>
    <cellStyle name="Input 2 3 2 2 2 2 17" xfId="33485"/>
    <cellStyle name="Input 2 3 2 2 2 2 18" xfId="34484"/>
    <cellStyle name="Input 2 3 2 2 2 2 19" xfId="36105"/>
    <cellStyle name="Input 2 3 2 2 2 2 2" xfId="16509"/>
    <cellStyle name="Input 2 3 2 2 2 2 20" xfId="37044"/>
    <cellStyle name="Input 2 3 2 2 2 2 3" xfId="17488"/>
    <cellStyle name="Input 2 3 2 2 2 2 4" xfId="18515"/>
    <cellStyle name="Input 2 3 2 2 2 2 5" xfId="19547"/>
    <cellStyle name="Input 2 3 2 2 2 2 6" xfId="20569"/>
    <cellStyle name="Input 2 3 2 2 2 2 7" xfId="21580"/>
    <cellStyle name="Input 2 3 2 2 2 2 8" xfId="22551"/>
    <cellStyle name="Input 2 3 2 2 2 2 9" xfId="23556"/>
    <cellStyle name="Input 2 3 2 2 2 20" xfId="36104"/>
    <cellStyle name="Input 2 3 2 2 2 21" xfId="37043"/>
    <cellStyle name="Input 2 3 2 2 2 3" xfId="16508"/>
    <cellStyle name="Input 2 3 2 2 2 4" xfId="17487"/>
    <cellStyle name="Input 2 3 2 2 2 5" xfId="18514"/>
    <cellStyle name="Input 2 3 2 2 2 6" xfId="19546"/>
    <cellStyle name="Input 2 3 2 2 2 7" xfId="20568"/>
    <cellStyle name="Input 2 3 2 2 2 8" xfId="21579"/>
    <cellStyle name="Input 2 3 2 2 2 9" xfId="22550"/>
    <cellStyle name="Input 2 3 2 2 3" xfId="4700"/>
    <cellStyle name="Input 2 3 2 2 3 10" xfId="23557"/>
    <cellStyle name="Input 2 3 2 2 3 11" xfId="24529"/>
    <cellStyle name="Input 2 3 2 2 3 12" xfId="25528"/>
    <cellStyle name="Input 2 3 2 2 3 13" xfId="28475"/>
    <cellStyle name="Input 2 3 2 2 3 14" xfId="29442"/>
    <cellStyle name="Input 2 3 2 2 3 15" xfId="30484"/>
    <cellStyle name="Input 2 3 2 2 3 16" xfId="31475"/>
    <cellStyle name="Input 2 3 2 2 3 17" xfId="32483"/>
    <cellStyle name="Input 2 3 2 2 3 18" xfId="33486"/>
    <cellStyle name="Input 2 3 2 2 3 19" xfId="34485"/>
    <cellStyle name="Input 2 3 2 2 3 2" xfId="4701"/>
    <cellStyle name="Input 2 3 2 2 3 2 10" xfId="24530"/>
    <cellStyle name="Input 2 3 2 2 3 2 11" xfId="25529"/>
    <cellStyle name="Input 2 3 2 2 3 2 12" xfId="28476"/>
    <cellStyle name="Input 2 3 2 2 3 2 13" xfId="29443"/>
    <cellStyle name="Input 2 3 2 2 3 2 14" xfId="30485"/>
    <cellStyle name="Input 2 3 2 2 3 2 15" xfId="31476"/>
    <cellStyle name="Input 2 3 2 2 3 2 16" xfId="32484"/>
    <cellStyle name="Input 2 3 2 2 3 2 17" xfId="33487"/>
    <cellStyle name="Input 2 3 2 2 3 2 18" xfId="34486"/>
    <cellStyle name="Input 2 3 2 2 3 2 19" xfId="36107"/>
    <cellStyle name="Input 2 3 2 2 3 2 2" xfId="16511"/>
    <cellStyle name="Input 2 3 2 2 3 2 20" xfId="37046"/>
    <cellStyle name="Input 2 3 2 2 3 2 3" xfId="17490"/>
    <cellStyle name="Input 2 3 2 2 3 2 4" xfId="18517"/>
    <cellStyle name="Input 2 3 2 2 3 2 5" xfId="19549"/>
    <cellStyle name="Input 2 3 2 2 3 2 6" xfId="20571"/>
    <cellStyle name="Input 2 3 2 2 3 2 7" xfId="21582"/>
    <cellStyle name="Input 2 3 2 2 3 2 8" xfId="22553"/>
    <cellStyle name="Input 2 3 2 2 3 2 9" xfId="23558"/>
    <cellStyle name="Input 2 3 2 2 3 20" xfId="36106"/>
    <cellStyle name="Input 2 3 2 2 3 21" xfId="37045"/>
    <cellStyle name="Input 2 3 2 2 3 3" xfId="16510"/>
    <cellStyle name="Input 2 3 2 2 3 4" xfId="17489"/>
    <cellStyle name="Input 2 3 2 2 3 5" xfId="18516"/>
    <cellStyle name="Input 2 3 2 2 3 6" xfId="19548"/>
    <cellStyle name="Input 2 3 2 2 3 7" xfId="20570"/>
    <cellStyle name="Input 2 3 2 2 3 8" xfId="21581"/>
    <cellStyle name="Input 2 3 2 2 3 9" xfId="22552"/>
    <cellStyle name="Input 2 3 2 2 4" xfId="4702"/>
    <cellStyle name="Input 2 3 2 2 4 10" xfId="23559"/>
    <cellStyle name="Input 2 3 2 2 4 11" xfId="24531"/>
    <cellStyle name="Input 2 3 2 2 4 12" xfId="25530"/>
    <cellStyle name="Input 2 3 2 2 4 13" xfId="28477"/>
    <cellStyle name="Input 2 3 2 2 4 14" xfId="29444"/>
    <cellStyle name="Input 2 3 2 2 4 15" xfId="30486"/>
    <cellStyle name="Input 2 3 2 2 4 16" xfId="31477"/>
    <cellStyle name="Input 2 3 2 2 4 17" xfId="32485"/>
    <cellStyle name="Input 2 3 2 2 4 18" xfId="33488"/>
    <cellStyle name="Input 2 3 2 2 4 19" xfId="34487"/>
    <cellStyle name="Input 2 3 2 2 4 2" xfId="4703"/>
    <cellStyle name="Input 2 3 2 2 4 2 10" xfId="24532"/>
    <cellStyle name="Input 2 3 2 2 4 2 11" xfId="25531"/>
    <cellStyle name="Input 2 3 2 2 4 2 12" xfId="28478"/>
    <cellStyle name="Input 2 3 2 2 4 2 13" xfId="29445"/>
    <cellStyle name="Input 2 3 2 2 4 2 14" xfId="30487"/>
    <cellStyle name="Input 2 3 2 2 4 2 15" xfId="31478"/>
    <cellStyle name="Input 2 3 2 2 4 2 16" xfId="32486"/>
    <cellStyle name="Input 2 3 2 2 4 2 17" xfId="33489"/>
    <cellStyle name="Input 2 3 2 2 4 2 18" xfId="34488"/>
    <cellStyle name="Input 2 3 2 2 4 2 19" xfId="36109"/>
    <cellStyle name="Input 2 3 2 2 4 2 2" xfId="16513"/>
    <cellStyle name="Input 2 3 2 2 4 2 20" xfId="37048"/>
    <cellStyle name="Input 2 3 2 2 4 2 3" xfId="17492"/>
    <cellStyle name="Input 2 3 2 2 4 2 4" xfId="18519"/>
    <cellStyle name="Input 2 3 2 2 4 2 5" xfId="19551"/>
    <cellStyle name="Input 2 3 2 2 4 2 6" xfId="20573"/>
    <cellStyle name="Input 2 3 2 2 4 2 7" xfId="21584"/>
    <cellStyle name="Input 2 3 2 2 4 2 8" xfId="22555"/>
    <cellStyle name="Input 2 3 2 2 4 2 9" xfId="23560"/>
    <cellStyle name="Input 2 3 2 2 4 20" xfId="36108"/>
    <cellStyle name="Input 2 3 2 2 4 21" xfId="37047"/>
    <cellStyle name="Input 2 3 2 2 4 3" xfId="16512"/>
    <cellStyle name="Input 2 3 2 2 4 4" xfId="17491"/>
    <cellStyle name="Input 2 3 2 2 4 5" xfId="18518"/>
    <cellStyle name="Input 2 3 2 2 4 6" xfId="19550"/>
    <cellStyle name="Input 2 3 2 2 4 7" xfId="20572"/>
    <cellStyle name="Input 2 3 2 2 4 8" xfId="21583"/>
    <cellStyle name="Input 2 3 2 2 4 9" xfId="22554"/>
    <cellStyle name="Input 2 3 2 2 5" xfId="4704"/>
    <cellStyle name="Input 2 3 2 2 5 10" xfId="24533"/>
    <cellStyle name="Input 2 3 2 2 5 11" xfId="25532"/>
    <cellStyle name="Input 2 3 2 2 5 12" xfId="28479"/>
    <cellStyle name="Input 2 3 2 2 5 13" xfId="29446"/>
    <cellStyle name="Input 2 3 2 2 5 14" xfId="30488"/>
    <cellStyle name="Input 2 3 2 2 5 15" xfId="31479"/>
    <cellStyle name="Input 2 3 2 2 5 16" xfId="32487"/>
    <cellStyle name="Input 2 3 2 2 5 17" xfId="33490"/>
    <cellStyle name="Input 2 3 2 2 5 18" xfId="34489"/>
    <cellStyle name="Input 2 3 2 2 5 19" xfId="36110"/>
    <cellStyle name="Input 2 3 2 2 5 2" xfId="16514"/>
    <cellStyle name="Input 2 3 2 2 5 20" xfId="37049"/>
    <cellStyle name="Input 2 3 2 2 5 3" xfId="17493"/>
    <cellStyle name="Input 2 3 2 2 5 4" xfId="18520"/>
    <cellStyle name="Input 2 3 2 2 5 5" xfId="19552"/>
    <cellStyle name="Input 2 3 2 2 5 6" xfId="20574"/>
    <cellStyle name="Input 2 3 2 2 5 7" xfId="21585"/>
    <cellStyle name="Input 2 3 2 2 5 8" xfId="22556"/>
    <cellStyle name="Input 2 3 2 2 5 9" xfId="23561"/>
    <cellStyle name="Input 2 3 2 2 6" xfId="15192"/>
    <cellStyle name="Input 2 3 2 2 7" xfId="13808"/>
    <cellStyle name="Input 2 3 2 2 8" xfId="14613"/>
    <cellStyle name="Input 2 3 2 2 9" xfId="15796"/>
    <cellStyle name="Input 2 3 2 20" xfId="29818"/>
    <cellStyle name="Input 2 3 2 21" xfId="26893"/>
    <cellStyle name="Input 2 3 2 22" xfId="34954"/>
    <cellStyle name="Input 2 3 2 23" xfId="35472"/>
    <cellStyle name="Input 2 3 2 3" xfId="4705"/>
    <cellStyle name="Input 2 3 2 3 10" xfId="15509"/>
    <cellStyle name="Input 2 3 2 3 11" xfId="20900"/>
    <cellStyle name="Input 2 3 2 3 12" xfId="26395"/>
    <cellStyle name="Input 2 3 2 3 13" xfId="27117"/>
    <cellStyle name="Input 2 3 2 3 14" xfId="25939"/>
    <cellStyle name="Input 2 3 2 3 15" xfId="27489"/>
    <cellStyle name="Input 2 3 2 3 16" xfId="27503"/>
    <cellStyle name="Input 2 3 2 3 17" xfId="27404"/>
    <cellStyle name="Input 2 3 2 3 18" xfId="35086"/>
    <cellStyle name="Input 2 3 2 3 19" xfId="35273"/>
    <cellStyle name="Input 2 3 2 3 2" xfId="4706"/>
    <cellStyle name="Input 2 3 2 3 2 10" xfId="23562"/>
    <cellStyle name="Input 2 3 2 3 2 11" xfId="24534"/>
    <cellStyle name="Input 2 3 2 3 2 12" xfId="25533"/>
    <cellStyle name="Input 2 3 2 3 2 13" xfId="28480"/>
    <cellStyle name="Input 2 3 2 3 2 14" xfId="29447"/>
    <cellStyle name="Input 2 3 2 3 2 15" xfId="30489"/>
    <cellStyle name="Input 2 3 2 3 2 16" xfId="31480"/>
    <cellStyle name="Input 2 3 2 3 2 17" xfId="32488"/>
    <cellStyle name="Input 2 3 2 3 2 18" xfId="33491"/>
    <cellStyle name="Input 2 3 2 3 2 19" xfId="34490"/>
    <cellStyle name="Input 2 3 2 3 2 2" xfId="4707"/>
    <cellStyle name="Input 2 3 2 3 2 2 10" xfId="24535"/>
    <cellStyle name="Input 2 3 2 3 2 2 11" xfId="25534"/>
    <cellStyle name="Input 2 3 2 3 2 2 12" xfId="28481"/>
    <cellStyle name="Input 2 3 2 3 2 2 13" xfId="29448"/>
    <cellStyle name="Input 2 3 2 3 2 2 14" xfId="30490"/>
    <cellStyle name="Input 2 3 2 3 2 2 15" xfId="31481"/>
    <cellStyle name="Input 2 3 2 3 2 2 16" xfId="32489"/>
    <cellStyle name="Input 2 3 2 3 2 2 17" xfId="33492"/>
    <cellStyle name="Input 2 3 2 3 2 2 18" xfId="34491"/>
    <cellStyle name="Input 2 3 2 3 2 2 19" xfId="36112"/>
    <cellStyle name="Input 2 3 2 3 2 2 2" xfId="16516"/>
    <cellStyle name="Input 2 3 2 3 2 2 20" xfId="37051"/>
    <cellStyle name="Input 2 3 2 3 2 2 3" xfId="17495"/>
    <cellStyle name="Input 2 3 2 3 2 2 4" xfId="18522"/>
    <cellStyle name="Input 2 3 2 3 2 2 5" xfId="19554"/>
    <cellStyle name="Input 2 3 2 3 2 2 6" xfId="20576"/>
    <cellStyle name="Input 2 3 2 3 2 2 7" xfId="21587"/>
    <cellStyle name="Input 2 3 2 3 2 2 8" xfId="22558"/>
    <cellStyle name="Input 2 3 2 3 2 2 9" xfId="23563"/>
    <cellStyle name="Input 2 3 2 3 2 20" xfId="36111"/>
    <cellStyle name="Input 2 3 2 3 2 21" xfId="37050"/>
    <cellStyle name="Input 2 3 2 3 2 3" xfId="16515"/>
    <cellStyle name="Input 2 3 2 3 2 4" xfId="17494"/>
    <cellStyle name="Input 2 3 2 3 2 5" xfId="18521"/>
    <cellStyle name="Input 2 3 2 3 2 6" xfId="19553"/>
    <cellStyle name="Input 2 3 2 3 2 7" xfId="20575"/>
    <cellStyle name="Input 2 3 2 3 2 8" xfId="21586"/>
    <cellStyle name="Input 2 3 2 3 2 9" xfId="22557"/>
    <cellStyle name="Input 2 3 2 3 3" xfId="4708"/>
    <cellStyle name="Input 2 3 2 3 3 10" xfId="23564"/>
    <cellStyle name="Input 2 3 2 3 3 11" xfId="24536"/>
    <cellStyle name="Input 2 3 2 3 3 12" xfId="25535"/>
    <cellStyle name="Input 2 3 2 3 3 13" xfId="28482"/>
    <cellStyle name="Input 2 3 2 3 3 14" xfId="29449"/>
    <cellStyle name="Input 2 3 2 3 3 15" xfId="30491"/>
    <cellStyle name="Input 2 3 2 3 3 16" xfId="31482"/>
    <cellStyle name="Input 2 3 2 3 3 17" xfId="32490"/>
    <cellStyle name="Input 2 3 2 3 3 18" xfId="33493"/>
    <cellStyle name="Input 2 3 2 3 3 19" xfId="34492"/>
    <cellStyle name="Input 2 3 2 3 3 2" xfId="4709"/>
    <cellStyle name="Input 2 3 2 3 3 2 10" xfId="24537"/>
    <cellStyle name="Input 2 3 2 3 3 2 11" xfId="25536"/>
    <cellStyle name="Input 2 3 2 3 3 2 12" xfId="28483"/>
    <cellStyle name="Input 2 3 2 3 3 2 13" xfId="29450"/>
    <cellStyle name="Input 2 3 2 3 3 2 14" xfId="30492"/>
    <cellStyle name="Input 2 3 2 3 3 2 15" xfId="31483"/>
    <cellStyle name="Input 2 3 2 3 3 2 16" xfId="32491"/>
    <cellStyle name="Input 2 3 2 3 3 2 17" xfId="33494"/>
    <cellStyle name="Input 2 3 2 3 3 2 18" xfId="34493"/>
    <cellStyle name="Input 2 3 2 3 3 2 19" xfId="36114"/>
    <cellStyle name="Input 2 3 2 3 3 2 2" xfId="16518"/>
    <cellStyle name="Input 2 3 2 3 3 2 20" xfId="37053"/>
    <cellStyle name="Input 2 3 2 3 3 2 3" xfId="17497"/>
    <cellStyle name="Input 2 3 2 3 3 2 4" xfId="18524"/>
    <cellStyle name="Input 2 3 2 3 3 2 5" xfId="19556"/>
    <cellStyle name="Input 2 3 2 3 3 2 6" xfId="20578"/>
    <cellStyle name="Input 2 3 2 3 3 2 7" xfId="21589"/>
    <cellStyle name="Input 2 3 2 3 3 2 8" xfId="22560"/>
    <cellStyle name="Input 2 3 2 3 3 2 9" xfId="23565"/>
    <cellStyle name="Input 2 3 2 3 3 20" xfId="36113"/>
    <cellStyle name="Input 2 3 2 3 3 21" xfId="37052"/>
    <cellStyle name="Input 2 3 2 3 3 3" xfId="16517"/>
    <cellStyle name="Input 2 3 2 3 3 4" xfId="17496"/>
    <cellStyle name="Input 2 3 2 3 3 5" xfId="18523"/>
    <cellStyle name="Input 2 3 2 3 3 6" xfId="19555"/>
    <cellStyle name="Input 2 3 2 3 3 7" xfId="20577"/>
    <cellStyle name="Input 2 3 2 3 3 8" xfId="21588"/>
    <cellStyle name="Input 2 3 2 3 3 9" xfId="22559"/>
    <cellStyle name="Input 2 3 2 3 4" xfId="4710"/>
    <cellStyle name="Input 2 3 2 3 4 10" xfId="23566"/>
    <cellStyle name="Input 2 3 2 3 4 11" xfId="24538"/>
    <cellStyle name="Input 2 3 2 3 4 12" xfId="25537"/>
    <cellStyle name="Input 2 3 2 3 4 13" xfId="28484"/>
    <cellStyle name="Input 2 3 2 3 4 14" xfId="29451"/>
    <cellStyle name="Input 2 3 2 3 4 15" xfId="30493"/>
    <cellStyle name="Input 2 3 2 3 4 16" xfId="31484"/>
    <cellStyle name="Input 2 3 2 3 4 17" xfId="32492"/>
    <cellStyle name="Input 2 3 2 3 4 18" xfId="33495"/>
    <cellStyle name="Input 2 3 2 3 4 19" xfId="34494"/>
    <cellStyle name="Input 2 3 2 3 4 2" xfId="4711"/>
    <cellStyle name="Input 2 3 2 3 4 2 10" xfId="24539"/>
    <cellStyle name="Input 2 3 2 3 4 2 11" xfId="25538"/>
    <cellStyle name="Input 2 3 2 3 4 2 12" xfId="28485"/>
    <cellStyle name="Input 2 3 2 3 4 2 13" xfId="29452"/>
    <cellStyle name="Input 2 3 2 3 4 2 14" xfId="30494"/>
    <cellStyle name="Input 2 3 2 3 4 2 15" xfId="31485"/>
    <cellStyle name="Input 2 3 2 3 4 2 16" xfId="32493"/>
    <cellStyle name="Input 2 3 2 3 4 2 17" xfId="33496"/>
    <cellStyle name="Input 2 3 2 3 4 2 18" xfId="34495"/>
    <cellStyle name="Input 2 3 2 3 4 2 19" xfId="36116"/>
    <cellStyle name="Input 2 3 2 3 4 2 2" xfId="16520"/>
    <cellStyle name="Input 2 3 2 3 4 2 20" xfId="37055"/>
    <cellStyle name="Input 2 3 2 3 4 2 3" xfId="17499"/>
    <cellStyle name="Input 2 3 2 3 4 2 4" xfId="18526"/>
    <cellStyle name="Input 2 3 2 3 4 2 5" xfId="19558"/>
    <cellStyle name="Input 2 3 2 3 4 2 6" xfId="20580"/>
    <cellStyle name="Input 2 3 2 3 4 2 7" xfId="21591"/>
    <cellStyle name="Input 2 3 2 3 4 2 8" xfId="22562"/>
    <cellStyle name="Input 2 3 2 3 4 2 9" xfId="23567"/>
    <cellStyle name="Input 2 3 2 3 4 20" xfId="36115"/>
    <cellStyle name="Input 2 3 2 3 4 21" xfId="37054"/>
    <cellStyle name="Input 2 3 2 3 4 3" xfId="16519"/>
    <cellStyle name="Input 2 3 2 3 4 4" xfId="17498"/>
    <cellStyle name="Input 2 3 2 3 4 5" xfId="18525"/>
    <cellStyle name="Input 2 3 2 3 4 6" xfId="19557"/>
    <cellStyle name="Input 2 3 2 3 4 7" xfId="20579"/>
    <cellStyle name="Input 2 3 2 3 4 8" xfId="21590"/>
    <cellStyle name="Input 2 3 2 3 4 9" xfId="22561"/>
    <cellStyle name="Input 2 3 2 3 5" xfId="4712"/>
    <cellStyle name="Input 2 3 2 3 5 10" xfId="24540"/>
    <cellStyle name="Input 2 3 2 3 5 11" xfId="25539"/>
    <cellStyle name="Input 2 3 2 3 5 12" xfId="28486"/>
    <cellStyle name="Input 2 3 2 3 5 13" xfId="29453"/>
    <cellStyle name="Input 2 3 2 3 5 14" xfId="30495"/>
    <cellStyle name="Input 2 3 2 3 5 15" xfId="31486"/>
    <cellStyle name="Input 2 3 2 3 5 16" xfId="32494"/>
    <cellStyle name="Input 2 3 2 3 5 17" xfId="33497"/>
    <cellStyle name="Input 2 3 2 3 5 18" xfId="34496"/>
    <cellStyle name="Input 2 3 2 3 5 19" xfId="36117"/>
    <cellStyle name="Input 2 3 2 3 5 2" xfId="16521"/>
    <cellStyle name="Input 2 3 2 3 5 20" xfId="37056"/>
    <cellStyle name="Input 2 3 2 3 5 3" xfId="17500"/>
    <cellStyle name="Input 2 3 2 3 5 4" xfId="18527"/>
    <cellStyle name="Input 2 3 2 3 5 5" xfId="19559"/>
    <cellStyle name="Input 2 3 2 3 5 6" xfId="20581"/>
    <cellStyle name="Input 2 3 2 3 5 7" xfId="21592"/>
    <cellStyle name="Input 2 3 2 3 5 8" xfId="22563"/>
    <cellStyle name="Input 2 3 2 3 5 9" xfId="23568"/>
    <cellStyle name="Input 2 3 2 3 6" xfId="14423"/>
    <cellStyle name="Input 2 3 2 3 7" xfId="14136"/>
    <cellStyle name="Input 2 3 2 3 8" xfId="13412"/>
    <cellStyle name="Input 2 3 2 3 9" xfId="14561"/>
    <cellStyle name="Input 2 3 2 4" xfId="4713"/>
    <cellStyle name="Input 2 3 2 4 10" xfId="18899"/>
    <cellStyle name="Input 2 3 2 4 11" xfId="13961"/>
    <cellStyle name="Input 2 3 2 4 12" xfId="26411"/>
    <cellStyle name="Input 2 3 2 4 13" xfId="27105"/>
    <cellStyle name="Input 2 3 2 4 14" xfId="25975"/>
    <cellStyle name="Input 2 3 2 4 15" xfId="26550"/>
    <cellStyle name="Input 2 3 2 4 16" xfId="27607"/>
    <cellStyle name="Input 2 3 2 4 17" xfId="27801"/>
    <cellStyle name="Input 2 3 2 4 18" xfId="35101"/>
    <cellStyle name="Input 2 3 2 4 19" xfId="35417"/>
    <cellStyle name="Input 2 3 2 4 2" xfId="4714"/>
    <cellStyle name="Input 2 3 2 4 2 10" xfId="23569"/>
    <cellStyle name="Input 2 3 2 4 2 11" xfId="24541"/>
    <cellStyle name="Input 2 3 2 4 2 12" xfId="25540"/>
    <cellStyle name="Input 2 3 2 4 2 13" xfId="28487"/>
    <cellStyle name="Input 2 3 2 4 2 14" xfId="29454"/>
    <cellStyle name="Input 2 3 2 4 2 15" xfId="30496"/>
    <cellStyle name="Input 2 3 2 4 2 16" xfId="31487"/>
    <cellStyle name="Input 2 3 2 4 2 17" xfId="32495"/>
    <cellStyle name="Input 2 3 2 4 2 18" xfId="33498"/>
    <cellStyle name="Input 2 3 2 4 2 19" xfId="34497"/>
    <cellStyle name="Input 2 3 2 4 2 2" xfId="4715"/>
    <cellStyle name="Input 2 3 2 4 2 2 10" xfId="24542"/>
    <cellStyle name="Input 2 3 2 4 2 2 11" xfId="25541"/>
    <cellStyle name="Input 2 3 2 4 2 2 12" xfId="28488"/>
    <cellStyle name="Input 2 3 2 4 2 2 13" xfId="29455"/>
    <cellStyle name="Input 2 3 2 4 2 2 14" xfId="30497"/>
    <cellStyle name="Input 2 3 2 4 2 2 15" xfId="31488"/>
    <cellStyle name="Input 2 3 2 4 2 2 16" xfId="32496"/>
    <cellStyle name="Input 2 3 2 4 2 2 17" xfId="33499"/>
    <cellStyle name="Input 2 3 2 4 2 2 18" xfId="34498"/>
    <cellStyle name="Input 2 3 2 4 2 2 19" xfId="36119"/>
    <cellStyle name="Input 2 3 2 4 2 2 2" xfId="16523"/>
    <cellStyle name="Input 2 3 2 4 2 2 20" xfId="37058"/>
    <cellStyle name="Input 2 3 2 4 2 2 3" xfId="17502"/>
    <cellStyle name="Input 2 3 2 4 2 2 4" xfId="18529"/>
    <cellStyle name="Input 2 3 2 4 2 2 5" xfId="19561"/>
    <cellStyle name="Input 2 3 2 4 2 2 6" xfId="20583"/>
    <cellStyle name="Input 2 3 2 4 2 2 7" xfId="21594"/>
    <cellStyle name="Input 2 3 2 4 2 2 8" xfId="22565"/>
    <cellStyle name="Input 2 3 2 4 2 2 9" xfId="23570"/>
    <cellStyle name="Input 2 3 2 4 2 20" xfId="36118"/>
    <cellStyle name="Input 2 3 2 4 2 21" xfId="37057"/>
    <cellStyle name="Input 2 3 2 4 2 3" xfId="16522"/>
    <cellStyle name="Input 2 3 2 4 2 4" xfId="17501"/>
    <cellStyle name="Input 2 3 2 4 2 5" xfId="18528"/>
    <cellStyle name="Input 2 3 2 4 2 6" xfId="19560"/>
    <cellStyle name="Input 2 3 2 4 2 7" xfId="20582"/>
    <cellStyle name="Input 2 3 2 4 2 8" xfId="21593"/>
    <cellStyle name="Input 2 3 2 4 2 9" xfId="22564"/>
    <cellStyle name="Input 2 3 2 4 3" xfId="4716"/>
    <cellStyle name="Input 2 3 2 4 3 10" xfId="23571"/>
    <cellStyle name="Input 2 3 2 4 3 11" xfId="24543"/>
    <cellStyle name="Input 2 3 2 4 3 12" xfId="25542"/>
    <cellStyle name="Input 2 3 2 4 3 13" xfId="28489"/>
    <cellStyle name="Input 2 3 2 4 3 14" xfId="29456"/>
    <cellStyle name="Input 2 3 2 4 3 15" xfId="30498"/>
    <cellStyle name="Input 2 3 2 4 3 16" xfId="31489"/>
    <cellStyle name="Input 2 3 2 4 3 17" xfId="32497"/>
    <cellStyle name="Input 2 3 2 4 3 18" xfId="33500"/>
    <cellStyle name="Input 2 3 2 4 3 19" xfId="34499"/>
    <cellStyle name="Input 2 3 2 4 3 2" xfId="4717"/>
    <cellStyle name="Input 2 3 2 4 3 2 10" xfId="24544"/>
    <cellStyle name="Input 2 3 2 4 3 2 11" xfId="25543"/>
    <cellStyle name="Input 2 3 2 4 3 2 12" xfId="28490"/>
    <cellStyle name="Input 2 3 2 4 3 2 13" xfId="29457"/>
    <cellStyle name="Input 2 3 2 4 3 2 14" xfId="30499"/>
    <cellStyle name="Input 2 3 2 4 3 2 15" xfId="31490"/>
    <cellStyle name="Input 2 3 2 4 3 2 16" xfId="32498"/>
    <cellStyle name="Input 2 3 2 4 3 2 17" xfId="33501"/>
    <cellStyle name="Input 2 3 2 4 3 2 18" xfId="34500"/>
    <cellStyle name="Input 2 3 2 4 3 2 19" xfId="36121"/>
    <cellStyle name="Input 2 3 2 4 3 2 2" xfId="16525"/>
    <cellStyle name="Input 2 3 2 4 3 2 20" xfId="37060"/>
    <cellStyle name="Input 2 3 2 4 3 2 3" xfId="17504"/>
    <cellStyle name="Input 2 3 2 4 3 2 4" xfId="18531"/>
    <cellStyle name="Input 2 3 2 4 3 2 5" xfId="19563"/>
    <cellStyle name="Input 2 3 2 4 3 2 6" xfId="20585"/>
    <cellStyle name="Input 2 3 2 4 3 2 7" xfId="21596"/>
    <cellStyle name="Input 2 3 2 4 3 2 8" xfId="22567"/>
    <cellStyle name="Input 2 3 2 4 3 2 9" xfId="23572"/>
    <cellStyle name="Input 2 3 2 4 3 20" xfId="36120"/>
    <cellStyle name="Input 2 3 2 4 3 21" xfId="37059"/>
    <cellStyle name="Input 2 3 2 4 3 3" xfId="16524"/>
    <cellStyle name="Input 2 3 2 4 3 4" xfId="17503"/>
    <cellStyle name="Input 2 3 2 4 3 5" xfId="18530"/>
    <cellStyle name="Input 2 3 2 4 3 6" xfId="19562"/>
    <cellStyle name="Input 2 3 2 4 3 7" xfId="20584"/>
    <cellStyle name="Input 2 3 2 4 3 8" xfId="21595"/>
    <cellStyle name="Input 2 3 2 4 3 9" xfId="22566"/>
    <cellStyle name="Input 2 3 2 4 4" xfId="4718"/>
    <cellStyle name="Input 2 3 2 4 4 10" xfId="23573"/>
    <cellStyle name="Input 2 3 2 4 4 11" xfId="24545"/>
    <cellStyle name="Input 2 3 2 4 4 12" xfId="25544"/>
    <cellStyle name="Input 2 3 2 4 4 13" xfId="28491"/>
    <cellStyle name="Input 2 3 2 4 4 14" xfId="29458"/>
    <cellStyle name="Input 2 3 2 4 4 15" xfId="30500"/>
    <cellStyle name="Input 2 3 2 4 4 16" xfId="31491"/>
    <cellStyle name="Input 2 3 2 4 4 17" xfId="32499"/>
    <cellStyle name="Input 2 3 2 4 4 18" xfId="33502"/>
    <cellStyle name="Input 2 3 2 4 4 19" xfId="34501"/>
    <cellStyle name="Input 2 3 2 4 4 2" xfId="4719"/>
    <cellStyle name="Input 2 3 2 4 4 2 10" xfId="24546"/>
    <cellStyle name="Input 2 3 2 4 4 2 11" xfId="25545"/>
    <cellStyle name="Input 2 3 2 4 4 2 12" xfId="28492"/>
    <cellStyle name="Input 2 3 2 4 4 2 13" xfId="29459"/>
    <cellStyle name="Input 2 3 2 4 4 2 14" xfId="30501"/>
    <cellStyle name="Input 2 3 2 4 4 2 15" xfId="31492"/>
    <cellStyle name="Input 2 3 2 4 4 2 16" xfId="32500"/>
    <cellStyle name="Input 2 3 2 4 4 2 17" xfId="33503"/>
    <cellStyle name="Input 2 3 2 4 4 2 18" xfId="34502"/>
    <cellStyle name="Input 2 3 2 4 4 2 19" xfId="36123"/>
    <cellStyle name="Input 2 3 2 4 4 2 2" xfId="16527"/>
    <cellStyle name="Input 2 3 2 4 4 2 20" xfId="37062"/>
    <cellStyle name="Input 2 3 2 4 4 2 3" xfId="17506"/>
    <cellStyle name="Input 2 3 2 4 4 2 4" xfId="18533"/>
    <cellStyle name="Input 2 3 2 4 4 2 5" xfId="19565"/>
    <cellStyle name="Input 2 3 2 4 4 2 6" xfId="20587"/>
    <cellStyle name="Input 2 3 2 4 4 2 7" xfId="21598"/>
    <cellStyle name="Input 2 3 2 4 4 2 8" xfId="22569"/>
    <cellStyle name="Input 2 3 2 4 4 2 9" xfId="23574"/>
    <cellStyle name="Input 2 3 2 4 4 20" xfId="36122"/>
    <cellStyle name="Input 2 3 2 4 4 21" xfId="37061"/>
    <cellStyle name="Input 2 3 2 4 4 3" xfId="16526"/>
    <cellStyle name="Input 2 3 2 4 4 4" xfId="17505"/>
    <cellStyle name="Input 2 3 2 4 4 5" xfId="18532"/>
    <cellStyle name="Input 2 3 2 4 4 6" xfId="19564"/>
    <cellStyle name="Input 2 3 2 4 4 7" xfId="20586"/>
    <cellStyle name="Input 2 3 2 4 4 8" xfId="21597"/>
    <cellStyle name="Input 2 3 2 4 4 9" xfId="22568"/>
    <cellStyle name="Input 2 3 2 4 5" xfId="4720"/>
    <cellStyle name="Input 2 3 2 4 5 10" xfId="24547"/>
    <cellStyle name="Input 2 3 2 4 5 11" xfId="25546"/>
    <cellStyle name="Input 2 3 2 4 5 12" xfId="28493"/>
    <cellStyle name="Input 2 3 2 4 5 13" xfId="29460"/>
    <cellStyle name="Input 2 3 2 4 5 14" xfId="30502"/>
    <cellStyle name="Input 2 3 2 4 5 15" xfId="31493"/>
    <cellStyle name="Input 2 3 2 4 5 16" xfId="32501"/>
    <cellStyle name="Input 2 3 2 4 5 17" xfId="33504"/>
    <cellStyle name="Input 2 3 2 4 5 18" xfId="34503"/>
    <cellStyle name="Input 2 3 2 4 5 19" xfId="36124"/>
    <cellStyle name="Input 2 3 2 4 5 2" xfId="16528"/>
    <cellStyle name="Input 2 3 2 4 5 20" xfId="37063"/>
    <cellStyle name="Input 2 3 2 4 5 3" xfId="17507"/>
    <cellStyle name="Input 2 3 2 4 5 4" xfId="18534"/>
    <cellStyle name="Input 2 3 2 4 5 5" xfId="19566"/>
    <cellStyle name="Input 2 3 2 4 5 6" xfId="20588"/>
    <cellStyle name="Input 2 3 2 4 5 7" xfId="21599"/>
    <cellStyle name="Input 2 3 2 4 5 8" xfId="22570"/>
    <cellStyle name="Input 2 3 2 4 5 9" xfId="23575"/>
    <cellStyle name="Input 2 3 2 4 6" xfId="13777"/>
    <cellStyle name="Input 2 3 2 4 7" xfId="14264"/>
    <cellStyle name="Input 2 3 2 4 8" xfId="15561"/>
    <cellStyle name="Input 2 3 2 4 9" xfId="15851"/>
    <cellStyle name="Input 2 3 2 5" xfId="4721"/>
    <cellStyle name="Input 2 3 2 5 10" xfId="15322"/>
    <cellStyle name="Input 2 3 2 5 11" xfId="15571"/>
    <cellStyle name="Input 2 3 2 5 12" xfId="26369"/>
    <cellStyle name="Input 2 3 2 5 13" xfId="27137"/>
    <cellStyle name="Input 2 3 2 5 14" xfId="26511"/>
    <cellStyle name="Input 2 3 2 5 15" xfId="26246"/>
    <cellStyle name="Input 2 3 2 5 16" xfId="25997"/>
    <cellStyle name="Input 2 3 2 5 17" xfId="26264"/>
    <cellStyle name="Input 2 3 2 5 18" xfId="35061"/>
    <cellStyle name="Input 2 3 2 5 19" xfId="34844"/>
    <cellStyle name="Input 2 3 2 5 2" xfId="4722"/>
    <cellStyle name="Input 2 3 2 5 2 10" xfId="23576"/>
    <cellStyle name="Input 2 3 2 5 2 11" xfId="24548"/>
    <cellStyle name="Input 2 3 2 5 2 12" xfId="25547"/>
    <cellStyle name="Input 2 3 2 5 2 13" xfId="28494"/>
    <cellStyle name="Input 2 3 2 5 2 14" xfId="29461"/>
    <cellStyle name="Input 2 3 2 5 2 15" xfId="30503"/>
    <cellStyle name="Input 2 3 2 5 2 16" xfId="31494"/>
    <cellStyle name="Input 2 3 2 5 2 17" xfId="32502"/>
    <cellStyle name="Input 2 3 2 5 2 18" xfId="33505"/>
    <cellStyle name="Input 2 3 2 5 2 19" xfId="34504"/>
    <cellStyle name="Input 2 3 2 5 2 2" xfId="4723"/>
    <cellStyle name="Input 2 3 2 5 2 2 10" xfId="24549"/>
    <cellStyle name="Input 2 3 2 5 2 2 11" xfId="25548"/>
    <cellStyle name="Input 2 3 2 5 2 2 12" xfId="28495"/>
    <cellStyle name="Input 2 3 2 5 2 2 13" xfId="29462"/>
    <cellStyle name="Input 2 3 2 5 2 2 14" xfId="30504"/>
    <cellStyle name="Input 2 3 2 5 2 2 15" xfId="31495"/>
    <cellStyle name="Input 2 3 2 5 2 2 16" xfId="32503"/>
    <cellStyle name="Input 2 3 2 5 2 2 17" xfId="33506"/>
    <cellStyle name="Input 2 3 2 5 2 2 18" xfId="34505"/>
    <cellStyle name="Input 2 3 2 5 2 2 19" xfId="36126"/>
    <cellStyle name="Input 2 3 2 5 2 2 2" xfId="16530"/>
    <cellStyle name="Input 2 3 2 5 2 2 20" xfId="37065"/>
    <cellStyle name="Input 2 3 2 5 2 2 3" xfId="17509"/>
    <cellStyle name="Input 2 3 2 5 2 2 4" xfId="18536"/>
    <cellStyle name="Input 2 3 2 5 2 2 5" xfId="19568"/>
    <cellStyle name="Input 2 3 2 5 2 2 6" xfId="20590"/>
    <cellStyle name="Input 2 3 2 5 2 2 7" xfId="21601"/>
    <cellStyle name="Input 2 3 2 5 2 2 8" xfId="22572"/>
    <cellStyle name="Input 2 3 2 5 2 2 9" xfId="23577"/>
    <cellStyle name="Input 2 3 2 5 2 20" xfId="36125"/>
    <cellStyle name="Input 2 3 2 5 2 21" xfId="37064"/>
    <cellStyle name="Input 2 3 2 5 2 3" xfId="16529"/>
    <cellStyle name="Input 2 3 2 5 2 4" xfId="17508"/>
    <cellStyle name="Input 2 3 2 5 2 5" xfId="18535"/>
    <cellStyle name="Input 2 3 2 5 2 6" xfId="19567"/>
    <cellStyle name="Input 2 3 2 5 2 7" xfId="20589"/>
    <cellStyle name="Input 2 3 2 5 2 8" xfId="21600"/>
    <cellStyle name="Input 2 3 2 5 2 9" xfId="22571"/>
    <cellStyle name="Input 2 3 2 5 3" xfId="4724"/>
    <cellStyle name="Input 2 3 2 5 3 10" xfId="23578"/>
    <cellStyle name="Input 2 3 2 5 3 11" xfId="24550"/>
    <cellStyle name="Input 2 3 2 5 3 12" xfId="25549"/>
    <cellStyle name="Input 2 3 2 5 3 13" xfId="28496"/>
    <cellStyle name="Input 2 3 2 5 3 14" xfId="29463"/>
    <cellStyle name="Input 2 3 2 5 3 15" xfId="30505"/>
    <cellStyle name="Input 2 3 2 5 3 16" xfId="31496"/>
    <cellStyle name="Input 2 3 2 5 3 17" xfId="32504"/>
    <cellStyle name="Input 2 3 2 5 3 18" xfId="33507"/>
    <cellStyle name="Input 2 3 2 5 3 19" xfId="34506"/>
    <cellStyle name="Input 2 3 2 5 3 2" xfId="4725"/>
    <cellStyle name="Input 2 3 2 5 3 2 10" xfId="24551"/>
    <cellStyle name="Input 2 3 2 5 3 2 11" xfId="25550"/>
    <cellStyle name="Input 2 3 2 5 3 2 12" xfId="28497"/>
    <cellStyle name="Input 2 3 2 5 3 2 13" xfId="29464"/>
    <cellStyle name="Input 2 3 2 5 3 2 14" xfId="30506"/>
    <cellStyle name="Input 2 3 2 5 3 2 15" xfId="31497"/>
    <cellStyle name="Input 2 3 2 5 3 2 16" xfId="32505"/>
    <cellStyle name="Input 2 3 2 5 3 2 17" xfId="33508"/>
    <cellStyle name="Input 2 3 2 5 3 2 18" xfId="34507"/>
    <cellStyle name="Input 2 3 2 5 3 2 19" xfId="36128"/>
    <cellStyle name="Input 2 3 2 5 3 2 2" xfId="16532"/>
    <cellStyle name="Input 2 3 2 5 3 2 20" xfId="37067"/>
    <cellStyle name="Input 2 3 2 5 3 2 3" xfId="17511"/>
    <cellStyle name="Input 2 3 2 5 3 2 4" xfId="18538"/>
    <cellStyle name="Input 2 3 2 5 3 2 5" xfId="19570"/>
    <cellStyle name="Input 2 3 2 5 3 2 6" xfId="20592"/>
    <cellStyle name="Input 2 3 2 5 3 2 7" xfId="21603"/>
    <cellStyle name="Input 2 3 2 5 3 2 8" xfId="22574"/>
    <cellStyle name="Input 2 3 2 5 3 2 9" xfId="23579"/>
    <cellStyle name="Input 2 3 2 5 3 20" xfId="36127"/>
    <cellStyle name="Input 2 3 2 5 3 21" xfId="37066"/>
    <cellStyle name="Input 2 3 2 5 3 3" xfId="16531"/>
    <cellStyle name="Input 2 3 2 5 3 4" xfId="17510"/>
    <cellStyle name="Input 2 3 2 5 3 5" xfId="18537"/>
    <cellStyle name="Input 2 3 2 5 3 6" xfId="19569"/>
    <cellStyle name="Input 2 3 2 5 3 7" xfId="20591"/>
    <cellStyle name="Input 2 3 2 5 3 8" xfId="21602"/>
    <cellStyle name="Input 2 3 2 5 3 9" xfId="22573"/>
    <cellStyle name="Input 2 3 2 5 4" xfId="4726"/>
    <cellStyle name="Input 2 3 2 5 4 10" xfId="23580"/>
    <cellStyle name="Input 2 3 2 5 4 11" xfId="24552"/>
    <cellStyle name="Input 2 3 2 5 4 12" xfId="25551"/>
    <cellStyle name="Input 2 3 2 5 4 13" xfId="28498"/>
    <cellStyle name="Input 2 3 2 5 4 14" xfId="29465"/>
    <cellStyle name="Input 2 3 2 5 4 15" xfId="30507"/>
    <cellStyle name="Input 2 3 2 5 4 16" xfId="31498"/>
    <cellStyle name="Input 2 3 2 5 4 17" xfId="32506"/>
    <cellStyle name="Input 2 3 2 5 4 18" xfId="33509"/>
    <cellStyle name="Input 2 3 2 5 4 19" xfId="34508"/>
    <cellStyle name="Input 2 3 2 5 4 2" xfId="4727"/>
    <cellStyle name="Input 2 3 2 5 4 2 10" xfId="24553"/>
    <cellStyle name="Input 2 3 2 5 4 2 11" xfId="25552"/>
    <cellStyle name="Input 2 3 2 5 4 2 12" xfId="28499"/>
    <cellStyle name="Input 2 3 2 5 4 2 13" xfId="29466"/>
    <cellStyle name="Input 2 3 2 5 4 2 14" xfId="30508"/>
    <cellStyle name="Input 2 3 2 5 4 2 15" xfId="31499"/>
    <cellStyle name="Input 2 3 2 5 4 2 16" xfId="32507"/>
    <cellStyle name="Input 2 3 2 5 4 2 17" xfId="33510"/>
    <cellStyle name="Input 2 3 2 5 4 2 18" xfId="34509"/>
    <cellStyle name="Input 2 3 2 5 4 2 19" xfId="36130"/>
    <cellStyle name="Input 2 3 2 5 4 2 2" xfId="16534"/>
    <cellStyle name="Input 2 3 2 5 4 2 20" xfId="37069"/>
    <cellStyle name="Input 2 3 2 5 4 2 3" xfId="17513"/>
    <cellStyle name="Input 2 3 2 5 4 2 4" xfId="18540"/>
    <cellStyle name="Input 2 3 2 5 4 2 5" xfId="19572"/>
    <cellStyle name="Input 2 3 2 5 4 2 6" xfId="20594"/>
    <cellStyle name="Input 2 3 2 5 4 2 7" xfId="21605"/>
    <cellStyle name="Input 2 3 2 5 4 2 8" xfId="22576"/>
    <cellStyle name="Input 2 3 2 5 4 2 9" xfId="23581"/>
    <cellStyle name="Input 2 3 2 5 4 20" xfId="36129"/>
    <cellStyle name="Input 2 3 2 5 4 21" xfId="37068"/>
    <cellStyle name="Input 2 3 2 5 4 3" xfId="16533"/>
    <cellStyle name="Input 2 3 2 5 4 4" xfId="17512"/>
    <cellStyle name="Input 2 3 2 5 4 5" xfId="18539"/>
    <cellStyle name="Input 2 3 2 5 4 6" xfId="19571"/>
    <cellStyle name="Input 2 3 2 5 4 7" xfId="20593"/>
    <cellStyle name="Input 2 3 2 5 4 8" xfId="21604"/>
    <cellStyle name="Input 2 3 2 5 4 9" xfId="22575"/>
    <cellStyle name="Input 2 3 2 5 5" xfId="4728"/>
    <cellStyle name="Input 2 3 2 5 5 10" xfId="24554"/>
    <cellStyle name="Input 2 3 2 5 5 11" xfId="25553"/>
    <cellStyle name="Input 2 3 2 5 5 12" xfId="28500"/>
    <cellStyle name="Input 2 3 2 5 5 13" xfId="29467"/>
    <cellStyle name="Input 2 3 2 5 5 14" xfId="30509"/>
    <cellStyle name="Input 2 3 2 5 5 15" xfId="31500"/>
    <cellStyle name="Input 2 3 2 5 5 16" xfId="32508"/>
    <cellStyle name="Input 2 3 2 5 5 17" xfId="33511"/>
    <cellStyle name="Input 2 3 2 5 5 18" xfId="34510"/>
    <cellStyle name="Input 2 3 2 5 5 19" xfId="36131"/>
    <cellStyle name="Input 2 3 2 5 5 2" xfId="16535"/>
    <cellStyle name="Input 2 3 2 5 5 20" xfId="37070"/>
    <cellStyle name="Input 2 3 2 5 5 3" xfId="17514"/>
    <cellStyle name="Input 2 3 2 5 5 4" xfId="18541"/>
    <cellStyle name="Input 2 3 2 5 5 5" xfId="19573"/>
    <cellStyle name="Input 2 3 2 5 5 6" xfId="20595"/>
    <cellStyle name="Input 2 3 2 5 5 7" xfId="21606"/>
    <cellStyle name="Input 2 3 2 5 5 8" xfId="22577"/>
    <cellStyle name="Input 2 3 2 5 5 9" xfId="23582"/>
    <cellStyle name="Input 2 3 2 5 6" xfId="13762"/>
    <cellStyle name="Input 2 3 2 5 7" xfId="14551"/>
    <cellStyle name="Input 2 3 2 5 8" xfId="13588"/>
    <cellStyle name="Input 2 3 2 5 9" xfId="15248"/>
    <cellStyle name="Input 2 3 2 6" xfId="4729"/>
    <cellStyle name="Input 2 3 2 6 10" xfId="23583"/>
    <cellStyle name="Input 2 3 2 6 11" xfId="24555"/>
    <cellStyle name="Input 2 3 2 6 12" xfId="25554"/>
    <cellStyle name="Input 2 3 2 6 13" xfId="28501"/>
    <cellStyle name="Input 2 3 2 6 14" xfId="29468"/>
    <cellStyle name="Input 2 3 2 6 15" xfId="30510"/>
    <cellStyle name="Input 2 3 2 6 16" xfId="31501"/>
    <cellStyle name="Input 2 3 2 6 17" xfId="32509"/>
    <cellStyle name="Input 2 3 2 6 18" xfId="33512"/>
    <cellStyle name="Input 2 3 2 6 19" xfId="34511"/>
    <cellStyle name="Input 2 3 2 6 2" xfId="4730"/>
    <cellStyle name="Input 2 3 2 6 2 10" xfId="24556"/>
    <cellStyle name="Input 2 3 2 6 2 11" xfId="25555"/>
    <cellStyle name="Input 2 3 2 6 2 12" xfId="28502"/>
    <cellStyle name="Input 2 3 2 6 2 13" xfId="29469"/>
    <cellStyle name="Input 2 3 2 6 2 14" xfId="30511"/>
    <cellStyle name="Input 2 3 2 6 2 15" xfId="31502"/>
    <cellStyle name="Input 2 3 2 6 2 16" xfId="32510"/>
    <cellStyle name="Input 2 3 2 6 2 17" xfId="33513"/>
    <cellStyle name="Input 2 3 2 6 2 18" xfId="34512"/>
    <cellStyle name="Input 2 3 2 6 2 19" xfId="36133"/>
    <cellStyle name="Input 2 3 2 6 2 2" xfId="16537"/>
    <cellStyle name="Input 2 3 2 6 2 20" xfId="37072"/>
    <cellStyle name="Input 2 3 2 6 2 3" xfId="17516"/>
    <cellStyle name="Input 2 3 2 6 2 4" xfId="18543"/>
    <cellStyle name="Input 2 3 2 6 2 5" xfId="19575"/>
    <cellStyle name="Input 2 3 2 6 2 6" xfId="20597"/>
    <cellStyle name="Input 2 3 2 6 2 7" xfId="21608"/>
    <cellStyle name="Input 2 3 2 6 2 8" xfId="22579"/>
    <cellStyle name="Input 2 3 2 6 2 9" xfId="23584"/>
    <cellStyle name="Input 2 3 2 6 20" xfId="36132"/>
    <cellStyle name="Input 2 3 2 6 21" xfId="37071"/>
    <cellStyle name="Input 2 3 2 6 3" xfId="16536"/>
    <cellStyle name="Input 2 3 2 6 4" xfId="17515"/>
    <cellStyle name="Input 2 3 2 6 5" xfId="18542"/>
    <cellStyle name="Input 2 3 2 6 6" xfId="19574"/>
    <cellStyle name="Input 2 3 2 6 7" xfId="20596"/>
    <cellStyle name="Input 2 3 2 6 8" xfId="21607"/>
    <cellStyle name="Input 2 3 2 6 9" xfId="22578"/>
    <cellStyle name="Input 2 3 2 7" xfId="4731"/>
    <cellStyle name="Input 2 3 2 7 10" xfId="23585"/>
    <cellStyle name="Input 2 3 2 7 11" xfId="24557"/>
    <cellStyle name="Input 2 3 2 7 12" xfId="25556"/>
    <cellStyle name="Input 2 3 2 7 13" xfId="28503"/>
    <cellStyle name="Input 2 3 2 7 14" xfId="29470"/>
    <cellStyle name="Input 2 3 2 7 15" xfId="30512"/>
    <cellStyle name="Input 2 3 2 7 16" xfId="31503"/>
    <cellStyle name="Input 2 3 2 7 17" xfId="32511"/>
    <cellStyle name="Input 2 3 2 7 18" xfId="33514"/>
    <cellStyle name="Input 2 3 2 7 19" xfId="34513"/>
    <cellStyle name="Input 2 3 2 7 2" xfId="4732"/>
    <cellStyle name="Input 2 3 2 7 2 10" xfId="24558"/>
    <cellStyle name="Input 2 3 2 7 2 11" xfId="25557"/>
    <cellStyle name="Input 2 3 2 7 2 12" xfId="28504"/>
    <cellStyle name="Input 2 3 2 7 2 13" xfId="29471"/>
    <cellStyle name="Input 2 3 2 7 2 14" xfId="30513"/>
    <cellStyle name="Input 2 3 2 7 2 15" xfId="31504"/>
    <cellStyle name="Input 2 3 2 7 2 16" xfId="32512"/>
    <cellStyle name="Input 2 3 2 7 2 17" xfId="33515"/>
    <cellStyle name="Input 2 3 2 7 2 18" xfId="34514"/>
    <cellStyle name="Input 2 3 2 7 2 19" xfId="36135"/>
    <cellStyle name="Input 2 3 2 7 2 2" xfId="16539"/>
    <cellStyle name="Input 2 3 2 7 2 20" xfId="37074"/>
    <cellStyle name="Input 2 3 2 7 2 3" xfId="17518"/>
    <cellStyle name="Input 2 3 2 7 2 4" xfId="18545"/>
    <cellStyle name="Input 2 3 2 7 2 5" xfId="19577"/>
    <cellStyle name="Input 2 3 2 7 2 6" xfId="20599"/>
    <cellStyle name="Input 2 3 2 7 2 7" xfId="21610"/>
    <cellStyle name="Input 2 3 2 7 2 8" xfId="22581"/>
    <cellStyle name="Input 2 3 2 7 2 9" xfId="23586"/>
    <cellStyle name="Input 2 3 2 7 20" xfId="36134"/>
    <cellStyle name="Input 2 3 2 7 21" xfId="37073"/>
    <cellStyle name="Input 2 3 2 7 3" xfId="16538"/>
    <cellStyle name="Input 2 3 2 7 4" xfId="17517"/>
    <cellStyle name="Input 2 3 2 7 5" xfId="18544"/>
    <cellStyle name="Input 2 3 2 7 6" xfId="19576"/>
    <cellStyle name="Input 2 3 2 7 7" xfId="20598"/>
    <cellStyle name="Input 2 3 2 7 8" xfId="21609"/>
    <cellStyle name="Input 2 3 2 7 9" xfId="22580"/>
    <cellStyle name="Input 2 3 2 8" xfId="4733"/>
    <cellStyle name="Input 2 3 2 8 10" xfId="23587"/>
    <cellStyle name="Input 2 3 2 8 11" xfId="24559"/>
    <cellStyle name="Input 2 3 2 8 12" xfId="25558"/>
    <cellStyle name="Input 2 3 2 8 13" xfId="28505"/>
    <cellStyle name="Input 2 3 2 8 14" xfId="29472"/>
    <cellStyle name="Input 2 3 2 8 15" xfId="30514"/>
    <cellStyle name="Input 2 3 2 8 16" xfId="31505"/>
    <cellStyle name="Input 2 3 2 8 17" xfId="32513"/>
    <cellStyle name="Input 2 3 2 8 18" xfId="33516"/>
    <cellStyle name="Input 2 3 2 8 19" xfId="34515"/>
    <cellStyle name="Input 2 3 2 8 2" xfId="4734"/>
    <cellStyle name="Input 2 3 2 8 2 10" xfId="24560"/>
    <cellStyle name="Input 2 3 2 8 2 11" xfId="25559"/>
    <cellStyle name="Input 2 3 2 8 2 12" xfId="28506"/>
    <cellStyle name="Input 2 3 2 8 2 13" xfId="29473"/>
    <cellStyle name="Input 2 3 2 8 2 14" xfId="30515"/>
    <cellStyle name="Input 2 3 2 8 2 15" xfId="31506"/>
    <cellStyle name="Input 2 3 2 8 2 16" xfId="32514"/>
    <cellStyle name="Input 2 3 2 8 2 17" xfId="33517"/>
    <cellStyle name="Input 2 3 2 8 2 18" xfId="34516"/>
    <cellStyle name="Input 2 3 2 8 2 19" xfId="36137"/>
    <cellStyle name="Input 2 3 2 8 2 2" xfId="16541"/>
    <cellStyle name="Input 2 3 2 8 2 20" xfId="37076"/>
    <cellStyle name="Input 2 3 2 8 2 3" xfId="17520"/>
    <cellStyle name="Input 2 3 2 8 2 4" xfId="18547"/>
    <cellStyle name="Input 2 3 2 8 2 5" xfId="19579"/>
    <cellStyle name="Input 2 3 2 8 2 6" xfId="20601"/>
    <cellStyle name="Input 2 3 2 8 2 7" xfId="21612"/>
    <cellStyle name="Input 2 3 2 8 2 8" xfId="22583"/>
    <cellStyle name="Input 2 3 2 8 2 9" xfId="23588"/>
    <cellStyle name="Input 2 3 2 8 20" xfId="36136"/>
    <cellStyle name="Input 2 3 2 8 21" xfId="37075"/>
    <cellStyle name="Input 2 3 2 8 3" xfId="16540"/>
    <cellStyle name="Input 2 3 2 8 4" xfId="17519"/>
    <cellStyle name="Input 2 3 2 8 5" xfId="18546"/>
    <cellStyle name="Input 2 3 2 8 6" xfId="19578"/>
    <cellStyle name="Input 2 3 2 8 7" xfId="20600"/>
    <cellStyle name="Input 2 3 2 8 8" xfId="21611"/>
    <cellStyle name="Input 2 3 2 8 9" xfId="22582"/>
    <cellStyle name="Input 2 3 2 9" xfId="4735"/>
    <cellStyle name="Input 2 3 2 9 10" xfId="24561"/>
    <cellStyle name="Input 2 3 2 9 11" xfId="25560"/>
    <cellStyle name="Input 2 3 2 9 12" xfId="28507"/>
    <cellStyle name="Input 2 3 2 9 13" xfId="29474"/>
    <cellStyle name="Input 2 3 2 9 14" xfId="30516"/>
    <cellStyle name="Input 2 3 2 9 15" xfId="31507"/>
    <cellStyle name="Input 2 3 2 9 16" xfId="32515"/>
    <cellStyle name="Input 2 3 2 9 17" xfId="33518"/>
    <cellStyle name="Input 2 3 2 9 18" xfId="34517"/>
    <cellStyle name="Input 2 3 2 9 19" xfId="36138"/>
    <cellStyle name="Input 2 3 2 9 2" xfId="16542"/>
    <cellStyle name="Input 2 3 2 9 20" xfId="37077"/>
    <cellStyle name="Input 2 3 2 9 3" xfId="17521"/>
    <cellStyle name="Input 2 3 2 9 4" xfId="18548"/>
    <cellStyle name="Input 2 3 2 9 5" xfId="19580"/>
    <cellStyle name="Input 2 3 2 9 6" xfId="20602"/>
    <cellStyle name="Input 2 3 2 9 7" xfId="21613"/>
    <cellStyle name="Input 2 3 2 9 8" xfId="22584"/>
    <cellStyle name="Input 2 3 2 9 9" xfId="23589"/>
    <cellStyle name="Input 2 3 20" xfId="34866"/>
    <cellStyle name="Input 2 3 21" xfId="34860"/>
    <cellStyle name="Input 2 3 22" xfId="35376"/>
    <cellStyle name="Input 2 3 23" xfId="37480"/>
    <cellStyle name="Input 2 3 3" xfId="4736"/>
    <cellStyle name="Input 2 3 3 10" xfId="15393"/>
    <cellStyle name="Input 2 3 3 11" xfId="15165"/>
    <cellStyle name="Input 2 3 3 12" xfId="15125"/>
    <cellStyle name="Input 2 3 3 13" xfId="20952"/>
    <cellStyle name="Input 2 3 3 14" xfId="13443"/>
    <cellStyle name="Input 2 3 3 15" xfId="15462"/>
    <cellStyle name="Input 2 3 3 16" xfId="26516"/>
    <cellStyle name="Input 2 3 3 17" xfId="27663"/>
    <cellStyle name="Input 2 3 3 18" xfId="26583"/>
    <cellStyle name="Input 2 3 3 19" xfId="27007"/>
    <cellStyle name="Input 2 3 3 2" xfId="4737"/>
    <cellStyle name="Input 2 3 3 2 10" xfId="23590"/>
    <cellStyle name="Input 2 3 3 2 11" xfId="24562"/>
    <cellStyle name="Input 2 3 3 2 12" xfId="25561"/>
    <cellStyle name="Input 2 3 3 2 13" xfId="28508"/>
    <cellStyle name="Input 2 3 3 2 14" xfId="29475"/>
    <cellStyle name="Input 2 3 3 2 15" xfId="30517"/>
    <cellStyle name="Input 2 3 3 2 16" xfId="31508"/>
    <cellStyle name="Input 2 3 3 2 17" xfId="32516"/>
    <cellStyle name="Input 2 3 3 2 18" xfId="33519"/>
    <cellStyle name="Input 2 3 3 2 19" xfId="34518"/>
    <cellStyle name="Input 2 3 3 2 2" xfId="4738"/>
    <cellStyle name="Input 2 3 3 2 2 10" xfId="24563"/>
    <cellStyle name="Input 2 3 3 2 2 11" xfId="25562"/>
    <cellStyle name="Input 2 3 3 2 2 12" xfId="28509"/>
    <cellStyle name="Input 2 3 3 2 2 13" xfId="29476"/>
    <cellStyle name="Input 2 3 3 2 2 14" xfId="30518"/>
    <cellStyle name="Input 2 3 3 2 2 15" xfId="31509"/>
    <cellStyle name="Input 2 3 3 2 2 16" xfId="32517"/>
    <cellStyle name="Input 2 3 3 2 2 17" xfId="33520"/>
    <cellStyle name="Input 2 3 3 2 2 18" xfId="34519"/>
    <cellStyle name="Input 2 3 3 2 2 19" xfId="36140"/>
    <cellStyle name="Input 2 3 3 2 2 2" xfId="16544"/>
    <cellStyle name="Input 2 3 3 2 2 20" xfId="37079"/>
    <cellStyle name="Input 2 3 3 2 2 3" xfId="17523"/>
    <cellStyle name="Input 2 3 3 2 2 4" xfId="18550"/>
    <cellStyle name="Input 2 3 3 2 2 5" xfId="19582"/>
    <cellStyle name="Input 2 3 3 2 2 6" xfId="20604"/>
    <cellStyle name="Input 2 3 3 2 2 7" xfId="21615"/>
    <cellStyle name="Input 2 3 3 2 2 8" xfId="22586"/>
    <cellStyle name="Input 2 3 3 2 2 9" xfId="23591"/>
    <cellStyle name="Input 2 3 3 2 20" xfId="36139"/>
    <cellStyle name="Input 2 3 3 2 21" xfId="37078"/>
    <cellStyle name="Input 2 3 3 2 3" xfId="16543"/>
    <cellStyle name="Input 2 3 3 2 4" xfId="17522"/>
    <cellStyle name="Input 2 3 3 2 5" xfId="18549"/>
    <cellStyle name="Input 2 3 3 2 6" xfId="19581"/>
    <cellStyle name="Input 2 3 3 2 7" xfId="20603"/>
    <cellStyle name="Input 2 3 3 2 8" xfId="21614"/>
    <cellStyle name="Input 2 3 3 2 9" xfId="22585"/>
    <cellStyle name="Input 2 3 3 20" xfId="26351"/>
    <cellStyle name="Input 2 3 3 21" xfId="26949"/>
    <cellStyle name="Input 2 3 3 22" xfId="26985"/>
    <cellStyle name="Input 2 3 3 23" xfId="35184"/>
    <cellStyle name="Input 2 3 3 24" xfId="35385"/>
    <cellStyle name="Input 2 3 3 3" xfId="4739"/>
    <cellStyle name="Input 2 3 3 3 10" xfId="23592"/>
    <cellStyle name="Input 2 3 3 3 11" xfId="24564"/>
    <cellStyle name="Input 2 3 3 3 12" xfId="25563"/>
    <cellStyle name="Input 2 3 3 3 13" xfId="28510"/>
    <cellStyle name="Input 2 3 3 3 14" xfId="29477"/>
    <cellStyle name="Input 2 3 3 3 15" xfId="30519"/>
    <cellStyle name="Input 2 3 3 3 16" xfId="31510"/>
    <cellStyle name="Input 2 3 3 3 17" xfId="32518"/>
    <cellStyle name="Input 2 3 3 3 18" xfId="33521"/>
    <cellStyle name="Input 2 3 3 3 19" xfId="34520"/>
    <cellStyle name="Input 2 3 3 3 2" xfId="4740"/>
    <cellStyle name="Input 2 3 3 3 2 10" xfId="24565"/>
    <cellStyle name="Input 2 3 3 3 2 11" xfId="25564"/>
    <cellStyle name="Input 2 3 3 3 2 12" xfId="28511"/>
    <cellStyle name="Input 2 3 3 3 2 13" xfId="29478"/>
    <cellStyle name="Input 2 3 3 3 2 14" xfId="30520"/>
    <cellStyle name="Input 2 3 3 3 2 15" xfId="31511"/>
    <cellStyle name="Input 2 3 3 3 2 16" xfId="32519"/>
    <cellStyle name="Input 2 3 3 3 2 17" xfId="33522"/>
    <cellStyle name="Input 2 3 3 3 2 18" xfId="34521"/>
    <cellStyle name="Input 2 3 3 3 2 19" xfId="36142"/>
    <cellStyle name="Input 2 3 3 3 2 2" xfId="16546"/>
    <cellStyle name="Input 2 3 3 3 2 20" xfId="37081"/>
    <cellStyle name="Input 2 3 3 3 2 3" xfId="17525"/>
    <cellStyle name="Input 2 3 3 3 2 4" xfId="18552"/>
    <cellStyle name="Input 2 3 3 3 2 5" xfId="19584"/>
    <cellStyle name="Input 2 3 3 3 2 6" xfId="20606"/>
    <cellStyle name="Input 2 3 3 3 2 7" xfId="21617"/>
    <cellStyle name="Input 2 3 3 3 2 8" xfId="22588"/>
    <cellStyle name="Input 2 3 3 3 2 9" xfId="23593"/>
    <cellStyle name="Input 2 3 3 3 20" xfId="36141"/>
    <cellStyle name="Input 2 3 3 3 21" xfId="37080"/>
    <cellStyle name="Input 2 3 3 3 3" xfId="16545"/>
    <cellStyle name="Input 2 3 3 3 4" xfId="17524"/>
    <cellStyle name="Input 2 3 3 3 5" xfId="18551"/>
    <cellStyle name="Input 2 3 3 3 6" xfId="19583"/>
    <cellStyle name="Input 2 3 3 3 7" xfId="20605"/>
    <cellStyle name="Input 2 3 3 3 8" xfId="21616"/>
    <cellStyle name="Input 2 3 3 3 9" xfId="22587"/>
    <cellStyle name="Input 2 3 3 4" xfId="4741"/>
    <cellStyle name="Input 2 3 3 4 10" xfId="23594"/>
    <cellStyle name="Input 2 3 3 4 11" xfId="24566"/>
    <cellStyle name="Input 2 3 3 4 12" xfId="25565"/>
    <cellStyle name="Input 2 3 3 4 13" xfId="28512"/>
    <cellStyle name="Input 2 3 3 4 14" xfId="29479"/>
    <cellStyle name="Input 2 3 3 4 15" xfId="30521"/>
    <cellStyle name="Input 2 3 3 4 16" xfId="31512"/>
    <cellStyle name="Input 2 3 3 4 17" xfId="32520"/>
    <cellStyle name="Input 2 3 3 4 18" xfId="33523"/>
    <cellStyle name="Input 2 3 3 4 19" xfId="34522"/>
    <cellStyle name="Input 2 3 3 4 2" xfId="4742"/>
    <cellStyle name="Input 2 3 3 4 2 10" xfId="24567"/>
    <cellStyle name="Input 2 3 3 4 2 11" xfId="25566"/>
    <cellStyle name="Input 2 3 3 4 2 12" xfId="28513"/>
    <cellStyle name="Input 2 3 3 4 2 13" xfId="29480"/>
    <cellStyle name="Input 2 3 3 4 2 14" xfId="30522"/>
    <cellStyle name="Input 2 3 3 4 2 15" xfId="31513"/>
    <cellStyle name="Input 2 3 3 4 2 16" xfId="32521"/>
    <cellStyle name="Input 2 3 3 4 2 17" xfId="33524"/>
    <cellStyle name="Input 2 3 3 4 2 18" xfId="34523"/>
    <cellStyle name="Input 2 3 3 4 2 19" xfId="36144"/>
    <cellStyle name="Input 2 3 3 4 2 2" xfId="16548"/>
    <cellStyle name="Input 2 3 3 4 2 20" xfId="37083"/>
    <cellStyle name="Input 2 3 3 4 2 3" xfId="17527"/>
    <cellStyle name="Input 2 3 3 4 2 4" xfId="18554"/>
    <cellStyle name="Input 2 3 3 4 2 5" xfId="19586"/>
    <cellStyle name="Input 2 3 3 4 2 6" xfId="20608"/>
    <cellStyle name="Input 2 3 3 4 2 7" xfId="21619"/>
    <cellStyle name="Input 2 3 3 4 2 8" xfId="22590"/>
    <cellStyle name="Input 2 3 3 4 2 9" xfId="23595"/>
    <cellStyle name="Input 2 3 3 4 20" xfId="36143"/>
    <cellStyle name="Input 2 3 3 4 21" xfId="37082"/>
    <cellStyle name="Input 2 3 3 4 3" xfId="16547"/>
    <cellStyle name="Input 2 3 3 4 4" xfId="17526"/>
    <cellStyle name="Input 2 3 3 4 5" xfId="18553"/>
    <cellStyle name="Input 2 3 3 4 6" xfId="19585"/>
    <cellStyle name="Input 2 3 3 4 7" xfId="20607"/>
    <cellStyle name="Input 2 3 3 4 8" xfId="21618"/>
    <cellStyle name="Input 2 3 3 4 9" xfId="22589"/>
    <cellStyle name="Input 2 3 3 5" xfId="4743"/>
    <cellStyle name="Input 2 3 3 5 10" xfId="24568"/>
    <cellStyle name="Input 2 3 3 5 11" xfId="25567"/>
    <cellStyle name="Input 2 3 3 5 12" xfId="28514"/>
    <cellStyle name="Input 2 3 3 5 13" xfId="29481"/>
    <cellStyle name="Input 2 3 3 5 14" xfId="30523"/>
    <cellStyle name="Input 2 3 3 5 15" xfId="31514"/>
    <cellStyle name="Input 2 3 3 5 16" xfId="32522"/>
    <cellStyle name="Input 2 3 3 5 17" xfId="33525"/>
    <cellStyle name="Input 2 3 3 5 18" xfId="34524"/>
    <cellStyle name="Input 2 3 3 5 19" xfId="36145"/>
    <cellStyle name="Input 2 3 3 5 2" xfId="16549"/>
    <cellStyle name="Input 2 3 3 5 20" xfId="37084"/>
    <cellStyle name="Input 2 3 3 5 3" xfId="17528"/>
    <cellStyle name="Input 2 3 3 5 4" xfId="18555"/>
    <cellStyle name="Input 2 3 3 5 5" xfId="19587"/>
    <cellStyle name="Input 2 3 3 5 6" xfId="20609"/>
    <cellStyle name="Input 2 3 3 5 7" xfId="21620"/>
    <cellStyle name="Input 2 3 3 5 8" xfId="22591"/>
    <cellStyle name="Input 2 3 3 5 9" xfId="23596"/>
    <cellStyle name="Input 2 3 3 6" xfId="13956"/>
    <cellStyle name="Input 2 3 3 7" xfId="14814"/>
    <cellStyle name="Input 2 3 3 8" xfId="14447"/>
    <cellStyle name="Input 2 3 3 9" xfId="14998"/>
    <cellStyle name="Input 2 3 4" xfId="4744"/>
    <cellStyle name="Input 2 3 4 10" xfId="23597"/>
    <cellStyle name="Input 2 3 4 11" xfId="24569"/>
    <cellStyle name="Input 2 3 4 12" xfId="25568"/>
    <cellStyle name="Input 2 3 4 13" xfId="28515"/>
    <cellStyle name="Input 2 3 4 14" xfId="29482"/>
    <cellStyle name="Input 2 3 4 15" xfId="30524"/>
    <cellStyle name="Input 2 3 4 16" xfId="31515"/>
    <cellStyle name="Input 2 3 4 17" xfId="32523"/>
    <cellStyle name="Input 2 3 4 18" xfId="33526"/>
    <cellStyle name="Input 2 3 4 19" xfId="34525"/>
    <cellStyle name="Input 2 3 4 2" xfId="4745"/>
    <cellStyle name="Input 2 3 4 2 10" xfId="24570"/>
    <cellStyle name="Input 2 3 4 2 11" xfId="25569"/>
    <cellStyle name="Input 2 3 4 2 12" xfId="28516"/>
    <cellStyle name="Input 2 3 4 2 13" xfId="29483"/>
    <cellStyle name="Input 2 3 4 2 14" xfId="30525"/>
    <cellStyle name="Input 2 3 4 2 15" xfId="31516"/>
    <cellStyle name="Input 2 3 4 2 16" xfId="32524"/>
    <cellStyle name="Input 2 3 4 2 17" xfId="33527"/>
    <cellStyle name="Input 2 3 4 2 18" xfId="34526"/>
    <cellStyle name="Input 2 3 4 2 19" xfId="36147"/>
    <cellStyle name="Input 2 3 4 2 2" xfId="16551"/>
    <cellStyle name="Input 2 3 4 2 20" xfId="37086"/>
    <cellStyle name="Input 2 3 4 2 3" xfId="17530"/>
    <cellStyle name="Input 2 3 4 2 4" xfId="18557"/>
    <cellStyle name="Input 2 3 4 2 5" xfId="19589"/>
    <cellStyle name="Input 2 3 4 2 6" xfId="20611"/>
    <cellStyle name="Input 2 3 4 2 7" xfId="21622"/>
    <cellStyle name="Input 2 3 4 2 8" xfId="22593"/>
    <cellStyle name="Input 2 3 4 2 9" xfId="23598"/>
    <cellStyle name="Input 2 3 4 20" xfId="36146"/>
    <cellStyle name="Input 2 3 4 21" xfId="37085"/>
    <cellStyle name="Input 2 3 4 3" xfId="16550"/>
    <cellStyle name="Input 2 3 4 4" xfId="17529"/>
    <cellStyle name="Input 2 3 4 5" xfId="18556"/>
    <cellStyle name="Input 2 3 4 6" xfId="19588"/>
    <cellStyle name="Input 2 3 4 7" xfId="20610"/>
    <cellStyle name="Input 2 3 4 8" xfId="21621"/>
    <cellStyle name="Input 2 3 4 9" xfId="22592"/>
    <cellStyle name="Input 2 3 5" xfId="4746"/>
    <cellStyle name="Input 2 3 5 10" xfId="23599"/>
    <cellStyle name="Input 2 3 5 11" xfId="24571"/>
    <cellStyle name="Input 2 3 5 12" xfId="25570"/>
    <cellStyle name="Input 2 3 5 13" xfId="28517"/>
    <cellStyle name="Input 2 3 5 14" xfId="29484"/>
    <cellStyle name="Input 2 3 5 15" xfId="30526"/>
    <cellStyle name="Input 2 3 5 16" xfId="31517"/>
    <cellStyle name="Input 2 3 5 17" xfId="32525"/>
    <cellStyle name="Input 2 3 5 18" xfId="33528"/>
    <cellStyle name="Input 2 3 5 19" xfId="34527"/>
    <cellStyle name="Input 2 3 5 2" xfId="4747"/>
    <cellStyle name="Input 2 3 5 2 10" xfId="24572"/>
    <cellStyle name="Input 2 3 5 2 11" xfId="25571"/>
    <cellStyle name="Input 2 3 5 2 12" xfId="28518"/>
    <cellStyle name="Input 2 3 5 2 13" xfId="29485"/>
    <cellStyle name="Input 2 3 5 2 14" xfId="30527"/>
    <cellStyle name="Input 2 3 5 2 15" xfId="31518"/>
    <cellStyle name="Input 2 3 5 2 16" xfId="32526"/>
    <cellStyle name="Input 2 3 5 2 17" xfId="33529"/>
    <cellStyle name="Input 2 3 5 2 18" xfId="34528"/>
    <cellStyle name="Input 2 3 5 2 19" xfId="36149"/>
    <cellStyle name="Input 2 3 5 2 2" xfId="16553"/>
    <cellStyle name="Input 2 3 5 2 20" xfId="37088"/>
    <cellStyle name="Input 2 3 5 2 3" xfId="17532"/>
    <cellStyle name="Input 2 3 5 2 4" xfId="18559"/>
    <cellStyle name="Input 2 3 5 2 5" xfId="19591"/>
    <cellStyle name="Input 2 3 5 2 6" xfId="20613"/>
    <cellStyle name="Input 2 3 5 2 7" xfId="21624"/>
    <cellStyle name="Input 2 3 5 2 8" xfId="22595"/>
    <cellStyle name="Input 2 3 5 2 9" xfId="23600"/>
    <cellStyle name="Input 2 3 5 20" xfId="36148"/>
    <cellStyle name="Input 2 3 5 21" xfId="37087"/>
    <cellStyle name="Input 2 3 5 3" xfId="16552"/>
    <cellStyle name="Input 2 3 5 4" xfId="17531"/>
    <cellStyle name="Input 2 3 5 5" xfId="18558"/>
    <cellStyle name="Input 2 3 5 6" xfId="19590"/>
    <cellStyle name="Input 2 3 5 7" xfId="20612"/>
    <cellStyle name="Input 2 3 5 8" xfId="21623"/>
    <cellStyle name="Input 2 3 5 9" xfId="22594"/>
    <cellStyle name="Input 2 3 6" xfId="4748"/>
    <cellStyle name="Input 2 3 6 10" xfId="23601"/>
    <cellStyle name="Input 2 3 6 11" xfId="24573"/>
    <cellStyle name="Input 2 3 6 12" xfId="25572"/>
    <cellStyle name="Input 2 3 6 13" xfId="28519"/>
    <cellStyle name="Input 2 3 6 14" xfId="29486"/>
    <cellStyle name="Input 2 3 6 15" xfId="30528"/>
    <cellStyle name="Input 2 3 6 16" xfId="31519"/>
    <cellStyle name="Input 2 3 6 17" xfId="32527"/>
    <cellStyle name="Input 2 3 6 18" xfId="33530"/>
    <cellStyle name="Input 2 3 6 19" xfId="34529"/>
    <cellStyle name="Input 2 3 6 2" xfId="4749"/>
    <cellStyle name="Input 2 3 6 2 10" xfId="24574"/>
    <cellStyle name="Input 2 3 6 2 11" xfId="25573"/>
    <cellStyle name="Input 2 3 6 2 12" xfId="28520"/>
    <cellStyle name="Input 2 3 6 2 13" xfId="29487"/>
    <cellStyle name="Input 2 3 6 2 14" xfId="30529"/>
    <cellStyle name="Input 2 3 6 2 15" xfId="31520"/>
    <cellStyle name="Input 2 3 6 2 16" xfId="32528"/>
    <cellStyle name="Input 2 3 6 2 17" xfId="33531"/>
    <cellStyle name="Input 2 3 6 2 18" xfId="34530"/>
    <cellStyle name="Input 2 3 6 2 19" xfId="36151"/>
    <cellStyle name="Input 2 3 6 2 2" xfId="16555"/>
    <cellStyle name="Input 2 3 6 2 20" xfId="37090"/>
    <cellStyle name="Input 2 3 6 2 3" xfId="17534"/>
    <cellStyle name="Input 2 3 6 2 4" xfId="18561"/>
    <cellStyle name="Input 2 3 6 2 5" xfId="19593"/>
    <cellStyle name="Input 2 3 6 2 6" xfId="20615"/>
    <cellStyle name="Input 2 3 6 2 7" xfId="21626"/>
    <cellStyle name="Input 2 3 6 2 8" xfId="22597"/>
    <cellStyle name="Input 2 3 6 2 9" xfId="23602"/>
    <cellStyle name="Input 2 3 6 20" xfId="36150"/>
    <cellStyle name="Input 2 3 6 21" xfId="37089"/>
    <cellStyle name="Input 2 3 6 3" xfId="16554"/>
    <cellStyle name="Input 2 3 6 4" xfId="17533"/>
    <cellStyle name="Input 2 3 6 5" xfId="18560"/>
    <cellStyle name="Input 2 3 6 6" xfId="19592"/>
    <cellStyle name="Input 2 3 6 7" xfId="20614"/>
    <cellStyle name="Input 2 3 6 8" xfId="21625"/>
    <cellStyle name="Input 2 3 6 9" xfId="22596"/>
    <cellStyle name="Input 2 3 7" xfId="4750"/>
    <cellStyle name="Input 2 3 7 10" xfId="24575"/>
    <cellStyle name="Input 2 3 7 11" xfId="25574"/>
    <cellStyle name="Input 2 3 7 12" xfId="28521"/>
    <cellStyle name="Input 2 3 7 13" xfId="29488"/>
    <cellStyle name="Input 2 3 7 14" xfId="30530"/>
    <cellStyle name="Input 2 3 7 15" xfId="31521"/>
    <cellStyle name="Input 2 3 7 16" xfId="32529"/>
    <cellStyle name="Input 2 3 7 17" xfId="33532"/>
    <cellStyle name="Input 2 3 7 18" xfId="34531"/>
    <cellStyle name="Input 2 3 7 19" xfId="36152"/>
    <cellStyle name="Input 2 3 7 2" xfId="16556"/>
    <cellStyle name="Input 2 3 7 20" xfId="37091"/>
    <cellStyle name="Input 2 3 7 3" xfId="17535"/>
    <cellStyle name="Input 2 3 7 4" xfId="18562"/>
    <cellStyle name="Input 2 3 7 5" xfId="19594"/>
    <cellStyle name="Input 2 3 7 6" xfId="20616"/>
    <cellStyle name="Input 2 3 7 7" xfId="21627"/>
    <cellStyle name="Input 2 3 7 8" xfId="22598"/>
    <cellStyle name="Input 2 3 7 9" xfId="23603"/>
    <cellStyle name="Input 2 3 8" xfId="15057"/>
    <cellStyle name="Input 2 3 9" xfId="14410"/>
    <cellStyle name="Input 2 4" xfId="4751"/>
    <cellStyle name="Input 2 4 10" xfId="14350"/>
    <cellStyle name="Input 2 4 11" xfId="15790"/>
    <cellStyle name="Input 2 4 12" xfId="13671"/>
    <cellStyle name="Input 2 4 13" xfId="18906"/>
    <cellStyle name="Input 2 4 14" xfId="21849"/>
    <cellStyle name="Input 2 4 15" xfId="13821"/>
    <cellStyle name="Input 2 4 16" xfId="26075"/>
    <cellStyle name="Input 2 4 17" xfId="26235"/>
    <cellStyle name="Input 2 4 18" xfId="28748"/>
    <cellStyle name="Input 2 4 19" xfId="28758"/>
    <cellStyle name="Input 2 4 2" xfId="4752"/>
    <cellStyle name="Input 2 4 2 10" xfId="13996"/>
    <cellStyle name="Input 2 4 2 11" xfId="14684"/>
    <cellStyle name="Input 2 4 2 12" xfId="26297"/>
    <cellStyle name="Input 2 4 2 13" xfId="27181"/>
    <cellStyle name="Input 2 4 2 14" xfId="27513"/>
    <cellStyle name="Input 2 4 2 15" xfId="27830"/>
    <cellStyle name="Input 2 4 2 16" xfId="26123"/>
    <cellStyle name="Input 2 4 2 17" xfId="27624"/>
    <cellStyle name="Input 2 4 2 18" xfId="34993"/>
    <cellStyle name="Input 2 4 2 19" xfId="34833"/>
    <cellStyle name="Input 2 4 2 2" xfId="4753"/>
    <cellStyle name="Input 2 4 2 2 10" xfId="23604"/>
    <cellStyle name="Input 2 4 2 2 11" xfId="24576"/>
    <cellStyle name="Input 2 4 2 2 12" xfId="25575"/>
    <cellStyle name="Input 2 4 2 2 13" xfId="28522"/>
    <cellStyle name="Input 2 4 2 2 14" xfId="29489"/>
    <cellStyle name="Input 2 4 2 2 15" xfId="30531"/>
    <cellStyle name="Input 2 4 2 2 16" xfId="31522"/>
    <cellStyle name="Input 2 4 2 2 17" xfId="32530"/>
    <cellStyle name="Input 2 4 2 2 18" xfId="33533"/>
    <cellStyle name="Input 2 4 2 2 19" xfId="34532"/>
    <cellStyle name="Input 2 4 2 2 2" xfId="4754"/>
    <cellStyle name="Input 2 4 2 2 2 10" xfId="24577"/>
    <cellStyle name="Input 2 4 2 2 2 11" xfId="25576"/>
    <cellStyle name="Input 2 4 2 2 2 12" xfId="28523"/>
    <cellStyle name="Input 2 4 2 2 2 13" xfId="29490"/>
    <cellStyle name="Input 2 4 2 2 2 14" xfId="30532"/>
    <cellStyle name="Input 2 4 2 2 2 15" xfId="31523"/>
    <cellStyle name="Input 2 4 2 2 2 16" xfId="32531"/>
    <cellStyle name="Input 2 4 2 2 2 17" xfId="33534"/>
    <cellStyle name="Input 2 4 2 2 2 18" xfId="34533"/>
    <cellStyle name="Input 2 4 2 2 2 19" xfId="36154"/>
    <cellStyle name="Input 2 4 2 2 2 2" xfId="16558"/>
    <cellStyle name="Input 2 4 2 2 2 20" xfId="37093"/>
    <cellStyle name="Input 2 4 2 2 2 3" xfId="17537"/>
    <cellStyle name="Input 2 4 2 2 2 4" xfId="18564"/>
    <cellStyle name="Input 2 4 2 2 2 5" xfId="19596"/>
    <cellStyle name="Input 2 4 2 2 2 6" xfId="20618"/>
    <cellStyle name="Input 2 4 2 2 2 7" xfId="21629"/>
    <cellStyle name="Input 2 4 2 2 2 8" xfId="22600"/>
    <cellStyle name="Input 2 4 2 2 2 9" xfId="23605"/>
    <cellStyle name="Input 2 4 2 2 20" xfId="36153"/>
    <cellStyle name="Input 2 4 2 2 21" xfId="37092"/>
    <cellStyle name="Input 2 4 2 2 3" xfId="16557"/>
    <cellStyle name="Input 2 4 2 2 4" xfId="17536"/>
    <cellStyle name="Input 2 4 2 2 5" xfId="18563"/>
    <cellStyle name="Input 2 4 2 2 6" xfId="19595"/>
    <cellStyle name="Input 2 4 2 2 7" xfId="20617"/>
    <cellStyle name="Input 2 4 2 2 8" xfId="21628"/>
    <cellStyle name="Input 2 4 2 2 9" xfId="22599"/>
    <cellStyle name="Input 2 4 2 3" xfId="4755"/>
    <cellStyle name="Input 2 4 2 3 10" xfId="23606"/>
    <cellStyle name="Input 2 4 2 3 11" xfId="24578"/>
    <cellStyle name="Input 2 4 2 3 12" xfId="25577"/>
    <cellStyle name="Input 2 4 2 3 13" xfId="28524"/>
    <cellStyle name="Input 2 4 2 3 14" xfId="29491"/>
    <cellStyle name="Input 2 4 2 3 15" xfId="30533"/>
    <cellStyle name="Input 2 4 2 3 16" xfId="31524"/>
    <cellStyle name="Input 2 4 2 3 17" xfId="32532"/>
    <cellStyle name="Input 2 4 2 3 18" xfId="33535"/>
    <cellStyle name="Input 2 4 2 3 19" xfId="34534"/>
    <cellStyle name="Input 2 4 2 3 2" xfId="4756"/>
    <cellStyle name="Input 2 4 2 3 2 10" xfId="24579"/>
    <cellStyle name="Input 2 4 2 3 2 11" xfId="25578"/>
    <cellStyle name="Input 2 4 2 3 2 12" xfId="28525"/>
    <cellStyle name="Input 2 4 2 3 2 13" xfId="29492"/>
    <cellStyle name="Input 2 4 2 3 2 14" xfId="30534"/>
    <cellStyle name="Input 2 4 2 3 2 15" xfId="31525"/>
    <cellStyle name="Input 2 4 2 3 2 16" xfId="32533"/>
    <cellStyle name="Input 2 4 2 3 2 17" xfId="33536"/>
    <cellStyle name="Input 2 4 2 3 2 18" xfId="34535"/>
    <cellStyle name="Input 2 4 2 3 2 19" xfId="36156"/>
    <cellStyle name="Input 2 4 2 3 2 2" xfId="16560"/>
    <cellStyle name="Input 2 4 2 3 2 20" xfId="37095"/>
    <cellStyle name="Input 2 4 2 3 2 3" xfId="17539"/>
    <cellStyle name="Input 2 4 2 3 2 4" xfId="18566"/>
    <cellStyle name="Input 2 4 2 3 2 5" xfId="19598"/>
    <cellStyle name="Input 2 4 2 3 2 6" xfId="20620"/>
    <cellStyle name="Input 2 4 2 3 2 7" xfId="21631"/>
    <cellStyle name="Input 2 4 2 3 2 8" xfId="22602"/>
    <cellStyle name="Input 2 4 2 3 2 9" xfId="23607"/>
    <cellStyle name="Input 2 4 2 3 20" xfId="36155"/>
    <cellStyle name="Input 2 4 2 3 21" xfId="37094"/>
    <cellStyle name="Input 2 4 2 3 3" xfId="16559"/>
    <cellStyle name="Input 2 4 2 3 4" xfId="17538"/>
    <cellStyle name="Input 2 4 2 3 5" xfId="18565"/>
    <cellStyle name="Input 2 4 2 3 6" xfId="19597"/>
    <cellStyle name="Input 2 4 2 3 7" xfId="20619"/>
    <cellStyle name="Input 2 4 2 3 8" xfId="21630"/>
    <cellStyle name="Input 2 4 2 3 9" xfId="22601"/>
    <cellStyle name="Input 2 4 2 4" xfId="4757"/>
    <cellStyle name="Input 2 4 2 4 10" xfId="23608"/>
    <cellStyle name="Input 2 4 2 4 11" xfId="24580"/>
    <cellStyle name="Input 2 4 2 4 12" xfId="25579"/>
    <cellStyle name="Input 2 4 2 4 13" xfId="28526"/>
    <cellStyle name="Input 2 4 2 4 14" xfId="29493"/>
    <cellStyle name="Input 2 4 2 4 15" xfId="30535"/>
    <cellStyle name="Input 2 4 2 4 16" xfId="31526"/>
    <cellStyle name="Input 2 4 2 4 17" xfId="32534"/>
    <cellStyle name="Input 2 4 2 4 18" xfId="33537"/>
    <cellStyle name="Input 2 4 2 4 19" xfId="34536"/>
    <cellStyle name="Input 2 4 2 4 2" xfId="4758"/>
    <cellStyle name="Input 2 4 2 4 2 10" xfId="24581"/>
    <cellStyle name="Input 2 4 2 4 2 11" xfId="25580"/>
    <cellStyle name="Input 2 4 2 4 2 12" xfId="28527"/>
    <cellStyle name="Input 2 4 2 4 2 13" xfId="29494"/>
    <cellStyle name="Input 2 4 2 4 2 14" xfId="30536"/>
    <cellStyle name="Input 2 4 2 4 2 15" xfId="31527"/>
    <cellStyle name="Input 2 4 2 4 2 16" xfId="32535"/>
    <cellStyle name="Input 2 4 2 4 2 17" xfId="33538"/>
    <cellStyle name="Input 2 4 2 4 2 18" xfId="34537"/>
    <cellStyle name="Input 2 4 2 4 2 19" xfId="36158"/>
    <cellStyle name="Input 2 4 2 4 2 2" xfId="16562"/>
    <cellStyle name="Input 2 4 2 4 2 20" xfId="37097"/>
    <cellStyle name="Input 2 4 2 4 2 3" xfId="17541"/>
    <cellStyle name="Input 2 4 2 4 2 4" xfId="18568"/>
    <cellStyle name="Input 2 4 2 4 2 5" xfId="19600"/>
    <cellStyle name="Input 2 4 2 4 2 6" xfId="20622"/>
    <cellStyle name="Input 2 4 2 4 2 7" xfId="21633"/>
    <cellStyle name="Input 2 4 2 4 2 8" xfId="22604"/>
    <cellStyle name="Input 2 4 2 4 2 9" xfId="23609"/>
    <cellStyle name="Input 2 4 2 4 20" xfId="36157"/>
    <cellStyle name="Input 2 4 2 4 21" xfId="37096"/>
    <cellStyle name="Input 2 4 2 4 3" xfId="16561"/>
    <cellStyle name="Input 2 4 2 4 4" xfId="17540"/>
    <cellStyle name="Input 2 4 2 4 5" xfId="18567"/>
    <cellStyle name="Input 2 4 2 4 6" xfId="19599"/>
    <cellStyle name="Input 2 4 2 4 7" xfId="20621"/>
    <cellStyle name="Input 2 4 2 4 8" xfId="21632"/>
    <cellStyle name="Input 2 4 2 4 9" xfId="22603"/>
    <cellStyle name="Input 2 4 2 5" xfId="4759"/>
    <cellStyle name="Input 2 4 2 5 10" xfId="24582"/>
    <cellStyle name="Input 2 4 2 5 11" xfId="25581"/>
    <cellStyle name="Input 2 4 2 5 12" xfId="28528"/>
    <cellStyle name="Input 2 4 2 5 13" xfId="29495"/>
    <cellStyle name="Input 2 4 2 5 14" xfId="30537"/>
    <cellStyle name="Input 2 4 2 5 15" xfId="31528"/>
    <cellStyle name="Input 2 4 2 5 16" xfId="32536"/>
    <cellStyle name="Input 2 4 2 5 17" xfId="33539"/>
    <cellStyle name="Input 2 4 2 5 18" xfId="34538"/>
    <cellStyle name="Input 2 4 2 5 19" xfId="36159"/>
    <cellStyle name="Input 2 4 2 5 2" xfId="16563"/>
    <cellStyle name="Input 2 4 2 5 20" xfId="37098"/>
    <cellStyle name="Input 2 4 2 5 3" xfId="17542"/>
    <cellStyle name="Input 2 4 2 5 4" xfId="18569"/>
    <cellStyle name="Input 2 4 2 5 5" xfId="19601"/>
    <cellStyle name="Input 2 4 2 5 6" xfId="20623"/>
    <cellStyle name="Input 2 4 2 5 7" xfId="21634"/>
    <cellStyle name="Input 2 4 2 5 8" xfId="22605"/>
    <cellStyle name="Input 2 4 2 5 9" xfId="23610"/>
    <cellStyle name="Input 2 4 2 6" xfId="14029"/>
    <cellStyle name="Input 2 4 2 7" xfId="17823"/>
    <cellStyle name="Input 2 4 2 8" xfId="14503"/>
    <cellStyle name="Input 2 4 2 9" xfId="15038"/>
    <cellStyle name="Input 2 4 20" xfId="27791"/>
    <cellStyle name="Input 2 4 21" xfId="26977"/>
    <cellStyle name="Input 2 4 22" xfId="34936"/>
    <cellStyle name="Input 2 4 23" xfId="34967"/>
    <cellStyle name="Input 2 4 3" xfId="4760"/>
    <cellStyle name="Input 2 4 3 10" xfId="14615"/>
    <cellStyle name="Input 2 4 3 11" xfId="14777"/>
    <cellStyle name="Input 2 4 3 12" xfId="26377"/>
    <cellStyle name="Input 2 4 3 13" xfId="27129"/>
    <cellStyle name="Input 2 4 3 14" xfId="27525"/>
    <cellStyle name="Input 2 4 3 15" xfId="27486"/>
    <cellStyle name="Input 2 4 3 16" xfId="26623"/>
    <cellStyle name="Input 2 4 3 17" xfId="27808"/>
    <cellStyle name="Input 2 4 3 18" xfId="35068"/>
    <cellStyle name="Input 2 4 3 19" xfId="35430"/>
    <cellStyle name="Input 2 4 3 2" xfId="4761"/>
    <cellStyle name="Input 2 4 3 2 10" xfId="23611"/>
    <cellStyle name="Input 2 4 3 2 11" xfId="24583"/>
    <cellStyle name="Input 2 4 3 2 12" xfId="25582"/>
    <cellStyle name="Input 2 4 3 2 13" xfId="28529"/>
    <cellStyle name="Input 2 4 3 2 14" xfId="29496"/>
    <cellStyle name="Input 2 4 3 2 15" xfId="30538"/>
    <cellStyle name="Input 2 4 3 2 16" xfId="31529"/>
    <cellStyle name="Input 2 4 3 2 17" xfId="32537"/>
    <cellStyle name="Input 2 4 3 2 18" xfId="33540"/>
    <cellStyle name="Input 2 4 3 2 19" xfId="34539"/>
    <cellStyle name="Input 2 4 3 2 2" xfId="4762"/>
    <cellStyle name="Input 2 4 3 2 2 10" xfId="24584"/>
    <cellStyle name="Input 2 4 3 2 2 11" xfId="25583"/>
    <cellStyle name="Input 2 4 3 2 2 12" xfId="28530"/>
    <cellStyle name="Input 2 4 3 2 2 13" xfId="29497"/>
    <cellStyle name="Input 2 4 3 2 2 14" xfId="30539"/>
    <cellStyle name="Input 2 4 3 2 2 15" xfId="31530"/>
    <cellStyle name="Input 2 4 3 2 2 16" xfId="32538"/>
    <cellStyle name="Input 2 4 3 2 2 17" xfId="33541"/>
    <cellStyle name="Input 2 4 3 2 2 18" xfId="34540"/>
    <cellStyle name="Input 2 4 3 2 2 19" xfId="36161"/>
    <cellStyle name="Input 2 4 3 2 2 2" xfId="16565"/>
    <cellStyle name="Input 2 4 3 2 2 20" xfId="37100"/>
    <cellStyle name="Input 2 4 3 2 2 3" xfId="17544"/>
    <cellStyle name="Input 2 4 3 2 2 4" xfId="18571"/>
    <cellStyle name="Input 2 4 3 2 2 5" xfId="19603"/>
    <cellStyle name="Input 2 4 3 2 2 6" xfId="20625"/>
    <cellStyle name="Input 2 4 3 2 2 7" xfId="21636"/>
    <cellStyle name="Input 2 4 3 2 2 8" xfId="22607"/>
    <cellStyle name="Input 2 4 3 2 2 9" xfId="23612"/>
    <cellStyle name="Input 2 4 3 2 20" xfId="36160"/>
    <cellStyle name="Input 2 4 3 2 21" xfId="37099"/>
    <cellStyle name="Input 2 4 3 2 3" xfId="16564"/>
    <cellStyle name="Input 2 4 3 2 4" xfId="17543"/>
    <cellStyle name="Input 2 4 3 2 5" xfId="18570"/>
    <cellStyle name="Input 2 4 3 2 6" xfId="19602"/>
    <cellStyle name="Input 2 4 3 2 7" xfId="20624"/>
    <cellStyle name="Input 2 4 3 2 8" xfId="21635"/>
    <cellStyle name="Input 2 4 3 2 9" xfId="22606"/>
    <cellStyle name="Input 2 4 3 3" xfId="4763"/>
    <cellStyle name="Input 2 4 3 3 10" xfId="23613"/>
    <cellStyle name="Input 2 4 3 3 11" xfId="24585"/>
    <cellStyle name="Input 2 4 3 3 12" xfId="25584"/>
    <cellStyle name="Input 2 4 3 3 13" xfId="28531"/>
    <cellStyle name="Input 2 4 3 3 14" xfId="29498"/>
    <cellStyle name="Input 2 4 3 3 15" xfId="30540"/>
    <cellStyle name="Input 2 4 3 3 16" xfId="31531"/>
    <cellStyle name="Input 2 4 3 3 17" xfId="32539"/>
    <cellStyle name="Input 2 4 3 3 18" xfId="33542"/>
    <cellStyle name="Input 2 4 3 3 19" xfId="34541"/>
    <cellStyle name="Input 2 4 3 3 2" xfId="4764"/>
    <cellStyle name="Input 2 4 3 3 2 10" xfId="24586"/>
    <cellStyle name="Input 2 4 3 3 2 11" xfId="25585"/>
    <cellStyle name="Input 2 4 3 3 2 12" xfId="28532"/>
    <cellStyle name="Input 2 4 3 3 2 13" xfId="29499"/>
    <cellStyle name="Input 2 4 3 3 2 14" xfId="30541"/>
    <cellStyle name="Input 2 4 3 3 2 15" xfId="31532"/>
    <cellStyle name="Input 2 4 3 3 2 16" xfId="32540"/>
    <cellStyle name="Input 2 4 3 3 2 17" xfId="33543"/>
    <cellStyle name="Input 2 4 3 3 2 18" xfId="34542"/>
    <cellStyle name="Input 2 4 3 3 2 19" xfId="36163"/>
    <cellStyle name="Input 2 4 3 3 2 2" xfId="16567"/>
    <cellStyle name="Input 2 4 3 3 2 20" xfId="37102"/>
    <cellStyle name="Input 2 4 3 3 2 3" xfId="17546"/>
    <cellStyle name="Input 2 4 3 3 2 4" xfId="18573"/>
    <cellStyle name="Input 2 4 3 3 2 5" xfId="19605"/>
    <cellStyle name="Input 2 4 3 3 2 6" xfId="20627"/>
    <cellStyle name="Input 2 4 3 3 2 7" xfId="21638"/>
    <cellStyle name="Input 2 4 3 3 2 8" xfId="22609"/>
    <cellStyle name="Input 2 4 3 3 2 9" xfId="23614"/>
    <cellStyle name="Input 2 4 3 3 20" xfId="36162"/>
    <cellStyle name="Input 2 4 3 3 21" xfId="37101"/>
    <cellStyle name="Input 2 4 3 3 3" xfId="16566"/>
    <cellStyle name="Input 2 4 3 3 4" xfId="17545"/>
    <cellStyle name="Input 2 4 3 3 5" xfId="18572"/>
    <cellStyle name="Input 2 4 3 3 6" xfId="19604"/>
    <cellStyle name="Input 2 4 3 3 7" xfId="20626"/>
    <cellStyle name="Input 2 4 3 3 8" xfId="21637"/>
    <cellStyle name="Input 2 4 3 3 9" xfId="22608"/>
    <cellStyle name="Input 2 4 3 4" xfId="4765"/>
    <cellStyle name="Input 2 4 3 4 10" xfId="23615"/>
    <cellStyle name="Input 2 4 3 4 11" xfId="24587"/>
    <cellStyle name="Input 2 4 3 4 12" xfId="25586"/>
    <cellStyle name="Input 2 4 3 4 13" xfId="28533"/>
    <cellStyle name="Input 2 4 3 4 14" xfId="29500"/>
    <cellStyle name="Input 2 4 3 4 15" xfId="30542"/>
    <cellStyle name="Input 2 4 3 4 16" xfId="31533"/>
    <cellStyle name="Input 2 4 3 4 17" xfId="32541"/>
    <cellStyle name="Input 2 4 3 4 18" xfId="33544"/>
    <cellStyle name="Input 2 4 3 4 19" xfId="34543"/>
    <cellStyle name="Input 2 4 3 4 2" xfId="4766"/>
    <cellStyle name="Input 2 4 3 4 2 10" xfId="24588"/>
    <cellStyle name="Input 2 4 3 4 2 11" xfId="25587"/>
    <cellStyle name="Input 2 4 3 4 2 12" xfId="28534"/>
    <cellStyle name="Input 2 4 3 4 2 13" xfId="29501"/>
    <cellStyle name="Input 2 4 3 4 2 14" xfId="30543"/>
    <cellStyle name="Input 2 4 3 4 2 15" xfId="31534"/>
    <cellStyle name="Input 2 4 3 4 2 16" xfId="32542"/>
    <cellStyle name="Input 2 4 3 4 2 17" xfId="33545"/>
    <cellStyle name="Input 2 4 3 4 2 18" xfId="34544"/>
    <cellStyle name="Input 2 4 3 4 2 19" xfId="36165"/>
    <cellStyle name="Input 2 4 3 4 2 2" xfId="16569"/>
    <cellStyle name="Input 2 4 3 4 2 20" xfId="37104"/>
    <cellStyle name="Input 2 4 3 4 2 3" xfId="17548"/>
    <cellStyle name="Input 2 4 3 4 2 4" xfId="18575"/>
    <cellStyle name="Input 2 4 3 4 2 5" xfId="19607"/>
    <cellStyle name="Input 2 4 3 4 2 6" xfId="20629"/>
    <cellStyle name="Input 2 4 3 4 2 7" xfId="21640"/>
    <cellStyle name="Input 2 4 3 4 2 8" xfId="22611"/>
    <cellStyle name="Input 2 4 3 4 2 9" xfId="23616"/>
    <cellStyle name="Input 2 4 3 4 20" xfId="36164"/>
    <cellStyle name="Input 2 4 3 4 21" xfId="37103"/>
    <cellStyle name="Input 2 4 3 4 3" xfId="16568"/>
    <cellStyle name="Input 2 4 3 4 4" xfId="17547"/>
    <cellStyle name="Input 2 4 3 4 5" xfId="18574"/>
    <cellStyle name="Input 2 4 3 4 6" xfId="19606"/>
    <cellStyle name="Input 2 4 3 4 7" xfId="20628"/>
    <cellStyle name="Input 2 4 3 4 8" xfId="21639"/>
    <cellStyle name="Input 2 4 3 4 9" xfId="22610"/>
    <cellStyle name="Input 2 4 3 5" xfId="4767"/>
    <cellStyle name="Input 2 4 3 5 10" xfId="24589"/>
    <cellStyle name="Input 2 4 3 5 11" xfId="25588"/>
    <cellStyle name="Input 2 4 3 5 12" xfId="28535"/>
    <cellStyle name="Input 2 4 3 5 13" xfId="29502"/>
    <cellStyle name="Input 2 4 3 5 14" xfId="30544"/>
    <cellStyle name="Input 2 4 3 5 15" xfId="31535"/>
    <cellStyle name="Input 2 4 3 5 16" xfId="32543"/>
    <cellStyle name="Input 2 4 3 5 17" xfId="33546"/>
    <cellStyle name="Input 2 4 3 5 18" xfId="34545"/>
    <cellStyle name="Input 2 4 3 5 19" xfId="36166"/>
    <cellStyle name="Input 2 4 3 5 2" xfId="16570"/>
    <cellStyle name="Input 2 4 3 5 20" xfId="37105"/>
    <cellStyle name="Input 2 4 3 5 3" xfId="17549"/>
    <cellStyle name="Input 2 4 3 5 4" xfId="18576"/>
    <cellStyle name="Input 2 4 3 5 5" xfId="19608"/>
    <cellStyle name="Input 2 4 3 5 6" xfId="20630"/>
    <cellStyle name="Input 2 4 3 5 7" xfId="21641"/>
    <cellStyle name="Input 2 4 3 5 8" xfId="22612"/>
    <cellStyle name="Input 2 4 3 5 9" xfId="23617"/>
    <cellStyle name="Input 2 4 3 6" xfId="14421"/>
    <cellStyle name="Input 2 4 3 7" xfId="14263"/>
    <cellStyle name="Input 2 4 3 8" xfId="14571"/>
    <cellStyle name="Input 2 4 3 9" xfId="14526"/>
    <cellStyle name="Input 2 4 4" xfId="4768"/>
    <cellStyle name="Input 2 4 4 10" xfId="13529"/>
    <cellStyle name="Input 2 4 4 11" xfId="13639"/>
    <cellStyle name="Input 2 4 4 12" xfId="26355"/>
    <cellStyle name="Input 2 4 4 13" xfId="26036"/>
    <cellStyle name="Input 2 4 4 14" xfId="27521"/>
    <cellStyle name="Input 2 4 4 15" xfId="25994"/>
    <cellStyle name="Input 2 4 4 16" xfId="26885"/>
    <cellStyle name="Input 2 4 4 17" xfId="26502"/>
    <cellStyle name="Input 2 4 4 18" xfId="35047"/>
    <cellStyle name="Input 2 4 4 19" xfId="35293"/>
    <cellStyle name="Input 2 4 4 2" xfId="4769"/>
    <cellStyle name="Input 2 4 4 2 10" xfId="23618"/>
    <cellStyle name="Input 2 4 4 2 11" xfId="24590"/>
    <cellStyle name="Input 2 4 4 2 12" xfId="25589"/>
    <cellStyle name="Input 2 4 4 2 13" xfId="28536"/>
    <cellStyle name="Input 2 4 4 2 14" xfId="29503"/>
    <cellStyle name="Input 2 4 4 2 15" xfId="30545"/>
    <cellStyle name="Input 2 4 4 2 16" xfId="31536"/>
    <cellStyle name="Input 2 4 4 2 17" xfId="32544"/>
    <cellStyle name="Input 2 4 4 2 18" xfId="33547"/>
    <cellStyle name="Input 2 4 4 2 19" xfId="34546"/>
    <cellStyle name="Input 2 4 4 2 2" xfId="4770"/>
    <cellStyle name="Input 2 4 4 2 2 10" xfId="24591"/>
    <cellStyle name="Input 2 4 4 2 2 11" xfId="25590"/>
    <cellStyle name="Input 2 4 4 2 2 12" xfId="28537"/>
    <cellStyle name="Input 2 4 4 2 2 13" xfId="29504"/>
    <cellStyle name="Input 2 4 4 2 2 14" xfId="30546"/>
    <cellStyle name="Input 2 4 4 2 2 15" xfId="31537"/>
    <cellStyle name="Input 2 4 4 2 2 16" xfId="32545"/>
    <cellStyle name="Input 2 4 4 2 2 17" xfId="33548"/>
    <cellStyle name="Input 2 4 4 2 2 18" xfId="34547"/>
    <cellStyle name="Input 2 4 4 2 2 19" xfId="36168"/>
    <cellStyle name="Input 2 4 4 2 2 2" xfId="16572"/>
    <cellStyle name="Input 2 4 4 2 2 20" xfId="37107"/>
    <cellStyle name="Input 2 4 4 2 2 3" xfId="17551"/>
    <cellStyle name="Input 2 4 4 2 2 4" xfId="18578"/>
    <cellStyle name="Input 2 4 4 2 2 5" xfId="19610"/>
    <cellStyle name="Input 2 4 4 2 2 6" xfId="20632"/>
    <cellStyle name="Input 2 4 4 2 2 7" xfId="21643"/>
    <cellStyle name="Input 2 4 4 2 2 8" xfId="22614"/>
    <cellStyle name="Input 2 4 4 2 2 9" xfId="23619"/>
    <cellStyle name="Input 2 4 4 2 20" xfId="36167"/>
    <cellStyle name="Input 2 4 4 2 21" xfId="37106"/>
    <cellStyle name="Input 2 4 4 2 3" xfId="16571"/>
    <cellStyle name="Input 2 4 4 2 4" xfId="17550"/>
    <cellStyle name="Input 2 4 4 2 5" xfId="18577"/>
    <cellStyle name="Input 2 4 4 2 6" xfId="19609"/>
    <cellStyle name="Input 2 4 4 2 7" xfId="20631"/>
    <cellStyle name="Input 2 4 4 2 8" xfId="21642"/>
    <cellStyle name="Input 2 4 4 2 9" xfId="22613"/>
    <cellStyle name="Input 2 4 4 3" xfId="4771"/>
    <cellStyle name="Input 2 4 4 3 10" xfId="23620"/>
    <cellStyle name="Input 2 4 4 3 11" xfId="24592"/>
    <cellStyle name="Input 2 4 4 3 12" xfId="25591"/>
    <cellStyle name="Input 2 4 4 3 13" xfId="28538"/>
    <cellStyle name="Input 2 4 4 3 14" xfId="29505"/>
    <cellStyle name="Input 2 4 4 3 15" xfId="30547"/>
    <cellStyle name="Input 2 4 4 3 16" xfId="31538"/>
    <cellStyle name="Input 2 4 4 3 17" xfId="32546"/>
    <cellStyle name="Input 2 4 4 3 18" xfId="33549"/>
    <cellStyle name="Input 2 4 4 3 19" xfId="34548"/>
    <cellStyle name="Input 2 4 4 3 2" xfId="4772"/>
    <cellStyle name="Input 2 4 4 3 2 10" xfId="24593"/>
    <cellStyle name="Input 2 4 4 3 2 11" xfId="25592"/>
    <cellStyle name="Input 2 4 4 3 2 12" xfId="28539"/>
    <cellStyle name="Input 2 4 4 3 2 13" xfId="29506"/>
    <cellStyle name="Input 2 4 4 3 2 14" xfId="30548"/>
    <cellStyle name="Input 2 4 4 3 2 15" xfId="31539"/>
    <cellStyle name="Input 2 4 4 3 2 16" xfId="32547"/>
    <cellStyle name="Input 2 4 4 3 2 17" xfId="33550"/>
    <cellStyle name="Input 2 4 4 3 2 18" xfId="34549"/>
    <cellStyle name="Input 2 4 4 3 2 19" xfId="36170"/>
    <cellStyle name="Input 2 4 4 3 2 2" xfId="16574"/>
    <cellStyle name="Input 2 4 4 3 2 20" xfId="37109"/>
    <cellStyle name="Input 2 4 4 3 2 3" xfId="17553"/>
    <cellStyle name="Input 2 4 4 3 2 4" xfId="18580"/>
    <cellStyle name="Input 2 4 4 3 2 5" xfId="19612"/>
    <cellStyle name="Input 2 4 4 3 2 6" xfId="20634"/>
    <cellStyle name="Input 2 4 4 3 2 7" xfId="21645"/>
    <cellStyle name="Input 2 4 4 3 2 8" xfId="22616"/>
    <cellStyle name="Input 2 4 4 3 2 9" xfId="23621"/>
    <cellStyle name="Input 2 4 4 3 20" xfId="36169"/>
    <cellStyle name="Input 2 4 4 3 21" xfId="37108"/>
    <cellStyle name="Input 2 4 4 3 3" xfId="16573"/>
    <cellStyle name="Input 2 4 4 3 4" xfId="17552"/>
    <cellStyle name="Input 2 4 4 3 5" xfId="18579"/>
    <cellStyle name="Input 2 4 4 3 6" xfId="19611"/>
    <cellStyle name="Input 2 4 4 3 7" xfId="20633"/>
    <cellStyle name="Input 2 4 4 3 8" xfId="21644"/>
    <cellStyle name="Input 2 4 4 3 9" xfId="22615"/>
    <cellStyle name="Input 2 4 4 4" xfId="4773"/>
    <cellStyle name="Input 2 4 4 4 10" xfId="23622"/>
    <cellStyle name="Input 2 4 4 4 11" xfId="24594"/>
    <cellStyle name="Input 2 4 4 4 12" xfId="25593"/>
    <cellStyle name="Input 2 4 4 4 13" xfId="28540"/>
    <cellStyle name="Input 2 4 4 4 14" xfId="29507"/>
    <cellStyle name="Input 2 4 4 4 15" xfId="30549"/>
    <cellStyle name="Input 2 4 4 4 16" xfId="31540"/>
    <cellStyle name="Input 2 4 4 4 17" xfId="32548"/>
    <cellStyle name="Input 2 4 4 4 18" xfId="33551"/>
    <cellStyle name="Input 2 4 4 4 19" xfId="34550"/>
    <cellStyle name="Input 2 4 4 4 2" xfId="4774"/>
    <cellStyle name="Input 2 4 4 4 2 10" xfId="24595"/>
    <cellStyle name="Input 2 4 4 4 2 11" xfId="25594"/>
    <cellStyle name="Input 2 4 4 4 2 12" xfId="28541"/>
    <cellStyle name="Input 2 4 4 4 2 13" xfId="29508"/>
    <cellStyle name="Input 2 4 4 4 2 14" xfId="30550"/>
    <cellStyle name="Input 2 4 4 4 2 15" xfId="31541"/>
    <cellStyle name="Input 2 4 4 4 2 16" xfId="32549"/>
    <cellStyle name="Input 2 4 4 4 2 17" xfId="33552"/>
    <cellStyle name="Input 2 4 4 4 2 18" xfId="34551"/>
    <cellStyle name="Input 2 4 4 4 2 19" xfId="36172"/>
    <cellStyle name="Input 2 4 4 4 2 2" xfId="16576"/>
    <cellStyle name="Input 2 4 4 4 2 20" xfId="37111"/>
    <cellStyle name="Input 2 4 4 4 2 3" xfId="17555"/>
    <cellStyle name="Input 2 4 4 4 2 4" xfId="18582"/>
    <cellStyle name="Input 2 4 4 4 2 5" xfId="19614"/>
    <cellStyle name="Input 2 4 4 4 2 6" xfId="20636"/>
    <cellStyle name="Input 2 4 4 4 2 7" xfId="21647"/>
    <cellStyle name="Input 2 4 4 4 2 8" xfId="22618"/>
    <cellStyle name="Input 2 4 4 4 2 9" xfId="23623"/>
    <cellStyle name="Input 2 4 4 4 20" xfId="36171"/>
    <cellStyle name="Input 2 4 4 4 21" xfId="37110"/>
    <cellStyle name="Input 2 4 4 4 3" xfId="16575"/>
    <cellStyle name="Input 2 4 4 4 4" xfId="17554"/>
    <cellStyle name="Input 2 4 4 4 5" xfId="18581"/>
    <cellStyle name="Input 2 4 4 4 6" xfId="19613"/>
    <cellStyle name="Input 2 4 4 4 7" xfId="20635"/>
    <cellStyle name="Input 2 4 4 4 8" xfId="21646"/>
    <cellStyle name="Input 2 4 4 4 9" xfId="22617"/>
    <cellStyle name="Input 2 4 4 5" xfId="4775"/>
    <cellStyle name="Input 2 4 4 5 10" xfId="24596"/>
    <cellStyle name="Input 2 4 4 5 11" xfId="25595"/>
    <cellStyle name="Input 2 4 4 5 12" xfId="28542"/>
    <cellStyle name="Input 2 4 4 5 13" xfId="29509"/>
    <cellStyle name="Input 2 4 4 5 14" xfId="30551"/>
    <cellStyle name="Input 2 4 4 5 15" xfId="31542"/>
    <cellStyle name="Input 2 4 4 5 16" xfId="32550"/>
    <cellStyle name="Input 2 4 4 5 17" xfId="33553"/>
    <cellStyle name="Input 2 4 4 5 18" xfId="34552"/>
    <cellStyle name="Input 2 4 4 5 19" xfId="36173"/>
    <cellStyle name="Input 2 4 4 5 2" xfId="16577"/>
    <cellStyle name="Input 2 4 4 5 20" xfId="37112"/>
    <cellStyle name="Input 2 4 4 5 3" xfId="17556"/>
    <cellStyle name="Input 2 4 4 5 4" xfId="18583"/>
    <cellStyle name="Input 2 4 4 5 5" xfId="19615"/>
    <cellStyle name="Input 2 4 4 5 6" xfId="20637"/>
    <cellStyle name="Input 2 4 4 5 7" xfId="21648"/>
    <cellStyle name="Input 2 4 4 5 8" xfId="22619"/>
    <cellStyle name="Input 2 4 4 5 9" xfId="23624"/>
    <cellStyle name="Input 2 4 4 6" xfId="13752"/>
    <cellStyle name="Input 2 4 4 7" xfId="14732"/>
    <cellStyle name="Input 2 4 4 8" xfId="14276"/>
    <cellStyle name="Input 2 4 4 9" xfId="14150"/>
    <cellStyle name="Input 2 4 5" xfId="4776"/>
    <cellStyle name="Input 2 4 5 10" xfId="13564"/>
    <cellStyle name="Input 2 4 5 11" xfId="15269"/>
    <cellStyle name="Input 2 4 5 12" xfId="26445"/>
    <cellStyle name="Input 2 4 5 13" xfId="27682"/>
    <cellStyle name="Input 2 4 5 14" xfId="26162"/>
    <cellStyle name="Input 2 4 5 15" xfId="27325"/>
    <cellStyle name="Input 2 4 5 16" xfId="26326"/>
    <cellStyle name="Input 2 4 5 17" xfId="26927"/>
    <cellStyle name="Input 2 4 5 18" xfId="35128"/>
    <cellStyle name="Input 2 4 5 19" xfId="35241"/>
    <cellStyle name="Input 2 4 5 2" xfId="4777"/>
    <cellStyle name="Input 2 4 5 2 10" xfId="23625"/>
    <cellStyle name="Input 2 4 5 2 11" xfId="24597"/>
    <cellStyle name="Input 2 4 5 2 12" xfId="25596"/>
    <cellStyle name="Input 2 4 5 2 13" xfId="28543"/>
    <cellStyle name="Input 2 4 5 2 14" xfId="29510"/>
    <cellStyle name="Input 2 4 5 2 15" xfId="30552"/>
    <cellStyle name="Input 2 4 5 2 16" xfId="31543"/>
    <cellStyle name="Input 2 4 5 2 17" xfId="32551"/>
    <cellStyle name="Input 2 4 5 2 18" xfId="33554"/>
    <cellStyle name="Input 2 4 5 2 19" xfId="34553"/>
    <cellStyle name="Input 2 4 5 2 2" xfId="4778"/>
    <cellStyle name="Input 2 4 5 2 2 10" xfId="24598"/>
    <cellStyle name="Input 2 4 5 2 2 11" xfId="25597"/>
    <cellStyle name="Input 2 4 5 2 2 12" xfId="28544"/>
    <cellStyle name="Input 2 4 5 2 2 13" xfId="29511"/>
    <cellStyle name="Input 2 4 5 2 2 14" xfId="30553"/>
    <cellStyle name="Input 2 4 5 2 2 15" xfId="31544"/>
    <cellStyle name="Input 2 4 5 2 2 16" xfId="32552"/>
    <cellStyle name="Input 2 4 5 2 2 17" xfId="33555"/>
    <cellStyle name="Input 2 4 5 2 2 18" xfId="34554"/>
    <cellStyle name="Input 2 4 5 2 2 19" xfId="36175"/>
    <cellStyle name="Input 2 4 5 2 2 2" xfId="16579"/>
    <cellStyle name="Input 2 4 5 2 2 20" xfId="37114"/>
    <cellStyle name="Input 2 4 5 2 2 3" xfId="17558"/>
    <cellStyle name="Input 2 4 5 2 2 4" xfId="18585"/>
    <cellStyle name="Input 2 4 5 2 2 5" xfId="19617"/>
    <cellStyle name="Input 2 4 5 2 2 6" xfId="20639"/>
    <cellStyle name="Input 2 4 5 2 2 7" xfId="21650"/>
    <cellStyle name="Input 2 4 5 2 2 8" xfId="22621"/>
    <cellStyle name="Input 2 4 5 2 2 9" xfId="23626"/>
    <cellStyle name="Input 2 4 5 2 20" xfId="36174"/>
    <cellStyle name="Input 2 4 5 2 21" xfId="37113"/>
    <cellStyle name="Input 2 4 5 2 3" xfId="16578"/>
    <cellStyle name="Input 2 4 5 2 4" xfId="17557"/>
    <cellStyle name="Input 2 4 5 2 5" xfId="18584"/>
    <cellStyle name="Input 2 4 5 2 6" xfId="19616"/>
    <cellStyle name="Input 2 4 5 2 7" xfId="20638"/>
    <cellStyle name="Input 2 4 5 2 8" xfId="21649"/>
    <cellStyle name="Input 2 4 5 2 9" xfId="22620"/>
    <cellStyle name="Input 2 4 5 3" xfId="4779"/>
    <cellStyle name="Input 2 4 5 3 10" xfId="23627"/>
    <cellStyle name="Input 2 4 5 3 11" xfId="24599"/>
    <cellStyle name="Input 2 4 5 3 12" xfId="25598"/>
    <cellStyle name="Input 2 4 5 3 13" xfId="28545"/>
    <cellStyle name="Input 2 4 5 3 14" xfId="29512"/>
    <cellStyle name="Input 2 4 5 3 15" xfId="30554"/>
    <cellStyle name="Input 2 4 5 3 16" xfId="31545"/>
    <cellStyle name="Input 2 4 5 3 17" xfId="32553"/>
    <cellStyle name="Input 2 4 5 3 18" xfId="33556"/>
    <cellStyle name="Input 2 4 5 3 19" xfId="34555"/>
    <cellStyle name="Input 2 4 5 3 2" xfId="4780"/>
    <cellStyle name="Input 2 4 5 3 2 10" xfId="24600"/>
    <cellStyle name="Input 2 4 5 3 2 11" xfId="25599"/>
    <cellStyle name="Input 2 4 5 3 2 12" xfId="28546"/>
    <cellStyle name="Input 2 4 5 3 2 13" xfId="29513"/>
    <cellStyle name="Input 2 4 5 3 2 14" xfId="30555"/>
    <cellStyle name="Input 2 4 5 3 2 15" xfId="31546"/>
    <cellStyle name="Input 2 4 5 3 2 16" xfId="32554"/>
    <cellStyle name="Input 2 4 5 3 2 17" xfId="33557"/>
    <cellStyle name="Input 2 4 5 3 2 18" xfId="34556"/>
    <cellStyle name="Input 2 4 5 3 2 19" xfId="36177"/>
    <cellStyle name="Input 2 4 5 3 2 2" xfId="16581"/>
    <cellStyle name="Input 2 4 5 3 2 20" xfId="37116"/>
    <cellStyle name="Input 2 4 5 3 2 3" xfId="17560"/>
    <cellStyle name="Input 2 4 5 3 2 4" xfId="18587"/>
    <cellStyle name="Input 2 4 5 3 2 5" xfId="19619"/>
    <cellStyle name="Input 2 4 5 3 2 6" xfId="20641"/>
    <cellStyle name="Input 2 4 5 3 2 7" xfId="21652"/>
    <cellStyle name="Input 2 4 5 3 2 8" xfId="22623"/>
    <cellStyle name="Input 2 4 5 3 2 9" xfId="23628"/>
    <cellStyle name="Input 2 4 5 3 20" xfId="36176"/>
    <cellStyle name="Input 2 4 5 3 21" xfId="37115"/>
    <cellStyle name="Input 2 4 5 3 3" xfId="16580"/>
    <cellStyle name="Input 2 4 5 3 4" xfId="17559"/>
    <cellStyle name="Input 2 4 5 3 5" xfId="18586"/>
    <cellStyle name="Input 2 4 5 3 6" xfId="19618"/>
    <cellStyle name="Input 2 4 5 3 7" xfId="20640"/>
    <cellStyle name="Input 2 4 5 3 8" xfId="21651"/>
    <cellStyle name="Input 2 4 5 3 9" xfId="22622"/>
    <cellStyle name="Input 2 4 5 4" xfId="4781"/>
    <cellStyle name="Input 2 4 5 4 10" xfId="23629"/>
    <cellStyle name="Input 2 4 5 4 11" xfId="24601"/>
    <cellStyle name="Input 2 4 5 4 12" xfId="25600"/>
    <cellStyle name="Input 2 4 5 4 13" xfId="28547"/>
    <cellStyle name="Input 2 4 5 4 14" xfId="29514"/>
    <cellStyle name="Input 2 4 5 4 15" xfId="30556"/>
    <cellStyle name="Input 2 4 5 4 16" xfId="31547"/>
    <cellStyle name="Input 2 4 5 4 17" xfId="32555"/>
    <cellStyle name="Input 2 4 5 4 18" xfId="33558"/>
    <cellStyle name="Input 2 4 5 4 19" xfId="34557"/>
    <cellStyle name="Input 2 4 5 4 2" xfId="4782"/>
    <cellStyle name="Input 2 4 5 4 2 10" xfId="24602"/>
    <cellStyle name="Input 2 4 5 4 2 11" xfId="25601"/>
    <cellStyle name="Input 2 4 5 4 2 12" xfId="28548"/>
    <cellStyle name="Input 2 4 5 4 2 13" xfId="29515"/>
    <cellStyle name="Input 2 4 5 4 2 14" xfId="30557"/>
    <cellStyle name="Input 2 4 5 4 2 15" xfId="31548"/>
    <cellStyle name="Input 2 4 5 4 2 16" xfId="32556"/>
    <cellStyle name="Input 2 4 5 4 2 17" xfId="33559"/>
    <cellStyle name="Input 2 4 5 4 2 18" xfId="34558"/>
    <cellStyle name="Input 2 4 5 4 2 19" xfId="36179"/>
    <cellStyle name="Input 2 4 5 4 2 2" xfId="16583"/>
    <cellStyle name="Input 2 4 5 4 2 20" xfId="37118"/>
    <cellStyle name="Input 2 4 5 4 2 3" xfId="17562"/>
    <cellStyle name="Input 2 4 5 4 2 4" xfId="18589"/>
    <cellStyle name="Input 2 4 5 4 2 5" xfId="19621"/>
    <cellStyle name="Input 2 4 5 4 2 6" xfId="20643"/>
    <cellStyle name="Input 2 4 5 4 2 7" xfId="21654"/>
    <cellStyle name="Input 2 4 5 4 2 8" xfId="22625"/>
    <cellStyle name="Input 2 4 5 4 2 9" xfId="23630"/>
    <cellStyle name="Input 2 4 5 4 20" xfId="36178"/>
    <cellStyle name="Input 2 4 5 4 21" xfId="37117"/>
    <cellStyle name="Input 2 4 5 4 3" xfId="16582"/>
    <cellStyle name="Input 2 4 5 4 4" xfId="17561"/>
    <cellStyle name="Input 2 4 5 4 5" xfId="18588"/>
    <cellStyle name="Input 2 4 5 4 6" xfId="19620"/>
    <cellStyle name="Input 2 4 5 4 7" xfId="20642"/>
    <cellStyle name="Input 2 4 5 4 8" xfId="21653"/>
    <cellStyle name="Input 2 4 5 4 9" xfId="22624"/>
    <cellStyle name="Input 2 4 5 5" xfId="4783"/>
    <cellStyle name="Input 2 4 5 5 10" xfId="24603"/>
    <cellStyle name="Input 2 4 5 5 11" xfId="25602"/>
    <cellStyle name="Input 2 4 5 5 12" xfId="28549"/>
    <cellStyle name="Input 2 4 5 5 13" xfId="29516"/>
    <cellStyle name="Input 2 4 5 5 14" xfId="30558"/>
    <cellStyle name="Input 2 4 5 5 15" xfId="31549"/>
    <cellStyle name="Input 2 4 5 5 16" xfId="32557"/>
    <cellStyle name="Input 2 4 5 5 17" xfId="33560"/>
    <cellStyle name="Input 2 4 5 5 18" xfId="34559"/>
    <cellStyle name="Input 2 4 5 5 19" xfId="36180"/>
    <cellStyle name="Input 2 4 5 5 2" xfId="16584"/>
    <cellStyle name="Input 2 4 5 5 20" xfId="37119"/>
    <cellStyle name="Input 2 4 5 5 3" xfId="17563"/>
    <cellStyle name="Input 2 4 5 5 4" xfId="18590"/>
    <cellStyle name="Input 2 4 5 5 5" xfId="19622"/>
    <cellStyle name="Input 2 4 5 5 6" xfId="20644"/>
    <cellStyle name="Input 2 4 5 5 7" xfId="21655"/>
    <cellStyle name="Input 2 4 5 5 8" xfId="22626"/>
    <cellStyle name="Input 2 4 5 5 9" xfId="23631"/>
    <cellStyle name="Input 2 4 5 6" xfId="14062"/>
    <cellStyle name="Input 2 4 5 7" xfId="14445"/>
    <cellStyle name="Input 2 4 5 8" xfId="14216"/>
    <cellStyle name="Input 2 4 5 9" xfId="15380"/>
    <cellStyle name="Input 2 4 6" xfId="4784"/>
    <cellStyle name="Input 2 4 6 10" xfId="23632"/>
    <cellStyle name="Input 2 4 6 11" xfId="24604"/>
    <cellStyle name="Input 2 4 6 12" xfId="25603"/>
    <cellStyle name="Input 2 4 6 13" xfId="28550"/>
    <cellStyle name="Input 2 4 6 14" xfId="29517"/>
    <cellStyle name="Input 2 4 6 15" xfId="30559"/>
    <cellStyle name="Input 2 4 6 16" xfId="31550"/>
    <cellStyle name="Input 2 4 6 17" xfId="32558"/>
    <cellStyle name="Input 2 4 6 18" xfId="33561"/>
    <cellStyle name="Input 2 4 6 19" xfId="34560"/>
    <cellStyle name="Input 2 4 6 2" xfId="4785"/>
    <cellStyle name="Input 2 4 6 2 10" xfId="24605"/>
    <cellStyle name="Input 2 4 6 2 11" xfId="25604"/>
    <cellStyle name="Input 2 4 6 2 12" xfId="28551"/>
    <cellStyle name="Input 2 4 6 2 13" xfId="29518"/>
    <cellStyle name="Input 2 4 6 2 14" xfId="30560"/>
    <cellStyle name="Input 2 4 6 2 15" xfId="31551"/>
    <cellStyle name="Input 2 4 6 2 16" xfId="32559"/>
    <cellStyle name="Input 2 4 6 2 17" xfId="33562"/>
    <cellStyle name="Input 2 4 6 2 18" xfId="34561"/>
    <cellStyle name="Input 2 4 6 2 19" xfId="36182"/>
    <cellStyle name="Input 2 4 6 2 2" xfId="16586"/>
    <cellStyle name="Input 2 4 6 2 20" xfId="37121"/>
    <cellStyle name="Input 2 4 6 2 3" xfId="17565"/>
    <cellStyle name="Input 2 4 6 2 4" xfId="18592"/>
    <cellStyle name="Input 2 4 6 2 5" xfId="19624"/>
    <cellStyle name="Input 2 4 6 2 6" xfId="20646"/>
    <cellStyle name="Input 2 4 6 2 7" xfId="21657"/>
    <cellStyle name="Input 2 4 6 2 8" xfId="22628"/>
    <cellStyle name="Input 2 4 6 2 9" xfId="23633"/>
    <cellStyle name="Input 2 4 6 20" xfId="36181"/>
    <cellStyle name="Input 2 4 6 21" xfId="37120"/>
    <cellStyle name="Input 2 4 6 3" xfId="16585"/>
    <cellStyle name="Input 2 4 6 4" xfId="17564"/>
    <cellStyle name="Input 2 4 6 5" xfId="18591"/>
    <cellStyle name="Input 2 4 6 6" xfId="19623"/>
    <cellStyle name="Input 2 4 6 7" xfId="20645"/>
    <cellStyle name="Input 2 4 6 8" xfId="21656"/>
    <cellStyle name="Input 2 4 6 9" xfId="22627"/>
    <cellStyle name="Input 2 4 7" xfId="4786"/>
    <cellStyle name="Input 2 4 7 10" xfId="23634"/>
    <cellStyle name="Input 2 4 7 11" xfId="24606"/>
    <cellStyle name="Input 2 4 7 12" xfId="25605"/>
    <cellStyle name="Input 2 4 7 13" xfId="28552"/>
    <cellStyle name="Input 2 4 7 14" xfId="29519"/>
    <cellStyle name="Input 2 4 7 15" xfId="30561"/>
    <cellStyle name="Input 2 4 7 16" xfId="31552"/>
    <cellStyle name="Input 2 4 7 17" xfId="32560"/>
    <cellStyle name="Input 2 4 7 18" xfId="33563"/>
    <cellStyle name="Input 2 4 7 19" xfId="34562"/>
    <cellStyle name="Input 2 4 7 2" xfId="4787"/>
    <cellStyle name="Input 2 4 7 2 10" xfId="24607"/>
    <cellStyle name="Input 2 4 7 2 11" xfId="25606"/>
    <cellStyle name="Input 2 4 7 2 12" xfId="28553"/>
    <cellStyle name="Input 2 4 7 2 13" xfId="29520"/>
    <cellStyle name="Input 2 4 7 2 14" xfId="30562"/>
    <cellStyle name="Input 2 4 7 2 15" xfId="31553"/>
    <cellStyle name="Input 2 4 7 2 16" xfId="32561"/>
    <cellStyle name="Input 2 4 7 2 17" xfId="33564"/>
    <cellStyle name="Input 2 4 7 2 18" xfId="34563"/>
    <cellStyle name="Input 2 4 7 2 19" xfId="36184"/>
    <cellStyle name="Input 2 4 7 2 2" xfId="16588"/>
    <cellStyle name="Input 2 4 7 2 20" xfId="37123"/>
    <cellStyle name="Input 2 4 7 2 3" xfId="17567"/>
    <cellStyle name="Input 2 4 7 2 4" xfId="18594"/>
    <cellStyle name="Input 2 4 7 2 5" xfId="19626"/>
    <cellStyle name="Input 2 4 7 2 6" xfId="20648"/>
    <cellStyle name="Input 2 4 7 2 7" xfId="21659"/>
    <cellStyle name="Input 2 4 7 2 8" xfId="22630"/>
    <cellStyle name="Input 2 4 7 2 9" xfId="23635"/>
    <cellStyle name="Input 2 4 7 20" xfId="36183"/>
    <cellStyle name="Input 2 4 7 21" xfId="37122"/>
    <cellStyle name="Input 2 4 7 3" xfId="16587"/>
    <cellStyle name="Input 2 4 7 4" xfId="17566"/>
    <cellStyle name="Input 2 4 7 5" xfId="18593"/>
    <cellStyle name="Input 2 4 7 6" xfId="19625"/>
    <cellStyle name="Input 2 4 7 7" xfId="20647"/>
    <cellStyle name="Input 2 4 7 8" xfId="21658"/>
    <cellStyle name="Input 2 4 7 9" xfId="22629"/>
    <cellStyle name="Input 2 4 8" xfId="4788"/>
    <cellStyle name="Input 2 4 8 10" xfId="23636"/>
    <cellStyle name="Input 2 4 8 11" xfId="24608"/>
    <cellStyle name="Input 2 4 8 12" xfId="25607"/>
    <cellStyle name="Input 2 4 8 13" xfId="28554"/>
    <cellStyle name="Input 2 4 8 14" xfId="29521"/>
    <cellStyle name="Input 2 4 8 15" xfId="30563"/>
    <cellStyle name="Input 2 4 8 16" xfId="31554"/>
    <cellStyle name="Input 2 4 8 17" xfId="32562"/>
    <cellStyle name="Input 2 4 8 18" xfId="33565"/>
    <cellStyle name="Input 2 4 8 19" xfId="34564"/>
    <cellStyle name="Input 2 4 8 2" xfId="4789"/>
    <cellStyle name="Input 2 4 8 2 10" xfId="24609"/>
    <cellStyle name="Input 2 4 8 2 11" xfId="25608"/>
    <cellStyle name="Input 2 4 8 2 12" xfId="28555"/>
    <cellStyle name="Input 2 4 8 2 13" xfId="29522"/>
    <cellStyle name="Input 2 4 8 2 14" xfId="30564"/>
    <cellStyle name="Input 2 4 8 2 15" xfId="31555"/>
    <cellStyle name="Input 2 4 8 2 16" xfId="32563"/>
    <cellStyle name="Input 2 4 8 2 17" xfId="33566"/>
    <cellStyle name="Input 2 4 8 2 18" xfId="34565"/>
    <cellStyle name="Input 2 4 8 2 19" xfId="36186"/>
    <cellStyle name="Input 2 4 8 2 2" xfId="16590"/>
    <cellStyle name="Input 2 4 8 2 20" xfId="37125"/>
    <cellStyle name="Input 2 4 8 2 3" xfId="17569"/>
    <cellStyle name="Input 2 4 8 2 4" xfId="18596"/>
    <cellStyle name="Input 2 4 8 2 5" xfId="19628"/>
    <cellStyle name="Input 2 4 8 2 6" xfId="20650"/>
    <cellStyle name="Input 2 4 8 2 7" xfId="21661"/>
    <cellStyle name="Input 2 4 8 2 8" xfId="22632"/>
    <cellStyle name="Input 2 4 8 2 9" xfId="23637"/>
    <cellStyle name="Input 2 4 8 20" xfId="36185"/>
    <cellStyle name="Input 2 4 8 21" xfId="37124"/>
    <cellStyle name="Input 2 4 8 3" xfId="16589"/>
    <cellStyle name="Input 2 4 8 4" xfId="17568"/>
    <cellStyle name="Input 2 4 8 5" xfId="18595"/>
    <cellStyle name="Input 2 4 8 6" xfId="19627"/>
    <cellStyle name="Input 2 4 8 7" xfId="20649"/>
    <cellStyle name="Input 2 4 8 8" xfId="21660"/>
    <cellStyle name="Input 2 4 8 9" xfId="22631"/>
    <cellStyle name="Input 2 4 9" xfId="4790"/>
    <cellStyle name="Input 2 4 9 10" xfId="24610"/>
    <cellStyle name="Input 2 4 9 11" xfId="25609"/>
    <cellStyle name="Input 2 4 9 12" xfId="28556"/>
    <cellStyle name="Input 2 4 9 13" xfId="29523"/>
    <cellStyle name="Input 2 4 9 14" xfId="30565"/>
    <cellStyle name="Input 2 4 9 15" xfId="31556"/>
    <cellStyle name="Input 2 4 9 16" xfId="32564"/>
    <cellStyle name="Input 2 4 9 17" xfId="33567"/>
    <cellStyle name="Input 2 4 9 18" xfId="34566"/>
    <cellStyle name="Input 2 4 9 19" xfId="36187"/>
    <cellStyle name="Input 2 4 9 2" xfId="16591"/>
    <cellStyle name="Input 2 4 9 20" xfId="37126"/>
    <cellStyle name="Input 2 4 9 3" xfId="17570"/>
    <cellStyle name="Input 2 4 9 4" xfId="18597"/>
    <cellStyle name="Input 2 4 9 5" xfId="19629"/>
    <cellStyle name="Input 2 4 9 6" xfId="20651"/>
    <cellStyle name="Input 2 4 9 7" xfId="21662"/>
    <cellStyle name="Input 2 4 9 8" xfId="22633"/>
    <cellStyle name="Input 2 4 9 9" xfId="23638"/>
    <cellStyle name="Input 2 5" xfId="4791"/>
    <cellStyle name="Input 2 5 10" xfId="13682"/>
    <cellStyle name="Input 2 5 11" xfId="15828"/>
    <cellStyle name="Input 2 5 12" xfId="15479"/>
    <cellStyle name="Input 2 5 13" xfId="15369"/>
    <cellStyle name="Input 2 5 14" xfId="15523"/>
    <cellStyle name="Input 2 5 15" xfId="15549"/>
    <cellStyle name="Input 2 5 16" xfId="26517"/>
    <cellStyle name="Input 2 5 17" xfId="27045"/>
    <cellStyle name="Input 2 5 18" xfId="26198"/>
    <cellStyle name="Input 2 5 19" xfId="27227"/>
    <cellStyle name="Input 2 5 2" xfId="4792"/>
    <cellStyle name="Input 2 5 2 10" xfId="23639"/>
    <cellStyle name="Input 2 5 2 11" xfId="24611"/>
    <cellStyle name="Input 2 5 2 12" xfId="25610"/>
    <cellStyle name="Input 2 5 2 13" xfId="28557"/>
    <cellStyle name="Input 2 5 2 14" xfId="29524"/>
    <cellStyle name="Input 2 5 2 15" xfId="30566"/>
    <cellStyle name="Input 2 5 2 16" xfId="31557"/>
    <cellStyle name="Input 2 5 2 17" xfId="32565"/>
    <cellStyle name="Input 2 5 2 18" xfId="33568"/>
    <cellStyle name="Input 2 5 2 19" xfId="34567"/>
    <cellStyle name="Input 2 5 2 2" xfId="4793"/>
    <cellStyle name="Input 2 5 2 2 10" xfId="24612"/>
    <cellStyle name="Input 2 5 2 2 11" xfId="25611"/>
    <cellStyle name="Input 2 5 2 2 12" xfId="28558"/>
    <cellStyle name="Input 2 5 2 2 13" xfId="29525"/>
    <cellStyle name="Input 2 5 2 2 14" xfId="30567"/>
    <cellStyle name="Input 2 5 2 2 15" xfId="31558"/>
    <cellStyle name="Input 2 5 2 2 16" xfId="32566"/>
    <cellStyle name="Input 2 5 2 2 17" xfId="33569"/>
    <cellStyle name="Input 2 5 2 2 18" xfId="34568"/>
    <cellStyle name="Input 2 5 2 2 19" xfId="36189"/>
    <cellStyle name="Input 2 5 2 2 2" xfId="16593"/>
    <cellStyle name="Input 2 5 2 2 20" xfId="37128"/>
    <cellStyle name="Input 2 5 2 2 3" xfId="17572"/>
    <cellStyle name="Input 2 5 2 2 4" xfId="18599"/>
    <cellStyle name="Input 2 5 2 2 5" xfId="19631"/>
    <cellStyle name="Input 2 5 2 2 6" xfId="20653"/>
    <cellStyle name="Input 2 5 2 2 7" xfId="21664"/>
    <cellStyle name="Input 2 5 2 2 8" xfId="22635"/>
    <cellStyle name="Input 2 5 2 2 9" xfId="23640"/>
    <cellStyle name="Input 2 5 2 20" xfId="36188"/>
    <cellStyle name="Input 2 5 2 21" xfId="37127"/>
    <cellStyle name="Input 2 5 2 3" xfId="16592"/>
    <cellStyle name="Input 2 5 2 4" xfId="17571"/>
    <cellStyle name="Input 2 5 2 5" xfId="18598"/>
    <cellStyle name="Input 2 5 2 6" xfId="19630"/>
    <cellStyle name="Input 2 5 2 7" xfId="20652"/>
    <cellStyle name="Input 2 5 2 8" xfId="21663"/>
    <cellStyle name="Input 2 5 2 9" xfId="22634"/>
    <cellStyle name="Input 2 5 20" xfId="26238"/>
    <cellStyle name="Input 2 5 21" xfId="27814"/>
    <cellStyle name="Input 2 5 22" xfId="26962"/>
    <cellStyle name="Input 2 5 23" xfId="35185"/>
    <cellStyle name="Input 2 5 24" xfId="35204"/>
    <cellStyle name="Input 2 5 3" xfId="4794"/>
    <cellStyle name="Input 2 5 3 10" xfId="23641"/>
    <cellStyle name="Input 2 5 3 11" xfId="24613"/>
    <cellStyle name="Input 2 5 3 12" xfId="25612"/>
    <cellStyle name="Input 2 5 3 13" xfId="28559"/>
    <cellStyle name="Input 2 5 3 14" xfId="29526"/>
    <cellStyle name="Input 2 5 3 15" xfId="30568"/>
    <cellStyle name="Input 2 5 3 16" xfId="31559"/>
    <cellStyle name="Input 2 5 3 17" xfId="32567"/>
    <cellStyle name="Input 2 5 3 18" xfId="33570"/>
    <cellStyle name="Input 2 5 3 19" xfId="34569"/>
    <cellStyle name="Input 2 5 3 2" xfId="4795"/>
    <cellStyle name="Input 2 5 3 2 10" xfId="24614"/>
    <cellStyle name="Input 2 5 3 2 11" xfId="25613"/>
    <cellStyle name="Input 2 5 3 2 12" xfId="28560"/>
    <cellStyle name="Input 2 5 3 2 13" xfId="29527"/>
    <cellStyle name="Input 2 5 3 2 14" xfId="30569"/>
    <cellStyle name="Input 2 5 3 2 15" xfId="31560"/>
    <cellStyle name="Input 2 5 3 2 16" xfId="32568"/>
    <cellStyle name="Input 2 5 3 2 17" xfId="33571"/>
    <cellStyle name="Input 2 5 3 2 18" xfId="34570"/>
    <cellStyle name="Input 2 5 3 2 19" xfId="36191"/>
    <cellStyle name="Input 2 5 3 2 2" xfId="16595"/>
    <cellStyle name="Input 2 5 3 2 20" xfId="37130"/>
    <cellStyle name="Input 2 5 3 2 3" xfId="17574"/>
    <cellStyle name="Input 2 5 3 2 4" xfId="18601"/>
    <cellStyle name="Input 2 5 3 2 5" xfId="19633"/>
    <cellStyle name="Input 2 5 3 2 6" xfId="20655"/>
    <cellStyle name="Input 2 5 3 2 7" xfId="21666"/>
    <cellStyle name="Input 2 5 3 2 8" xfId="22637"/>
    <cellStyle name="Input 2 5 3 2 9" xfId="23642"/>
    <cellStyle name="Input 2 5 3 20" xfId="36190"/>
    <cellStyle name="Input 2 5 3 21" xfId="37129"/>
    <cellStyle name="Input 2 5 3 3" xfId="16594"/>
    <cellStyle name="Input 2 5 3 4" xfId="17573"/>
    <cellStyle name="Input 2 5 3 5" xfId="18600"/>
    <cellStyle name="Input 2 5 3 6" xfId="19632"/>
    <cellStyle name="Input 2 5 3 7" xfId="20654"/>
    <cellStyle name="Input 2 5 3 8" xfId="21665"/>
    <cellStyle name="Input 2 5 3 9" xfId="22636"/>
    <cellStyle name="Input 2 5 4" xfId="4796"/>
    <cellStyle name="Input 2 5 4 10" xfId="23643"/>
    <cellStyle name="Input 2 5 4 11" xfId="24615"/>
    <cellStyle name="Input 2 5 4 12" xfId="25614"/>
    <cellStyle name="Input 2 5 4 13" xfId="28561"/>
    <cellStyle name="Input 2 5 4 14" xfId="29528"/>
    <cellStyle name="Input 2 5 4 15" xfId="30570"/>
    <cellStyle name="Input 2 5 4 16" xfId="31561"/>
    <cellStyle name="Input 2 5 4 17" xfId="32569"/>
    <cellStyle name="Input 2 5 4 18" xfId="33572"/>
    <cellStyle name="Input 2 5 4 19" xfId="34571"/>
    <cellStyle name="Input 2 5 4 2" xfId="4797"/>
    <cellStyle name="Input 2 5 4 2 10" xfId="24616"/>
    <cellStyle name="Input 2 5 4 2 11" xfId="25615"/>
    <cellStyle name="Input 2 5 4 2 12" xfId="28562"/>
    <cellStyle name="Input 2 5 4 2 13" xfId="29529"/>
    <cellStyle name="Input 2 5 4 2 14" xfId="30571"/>
    <cellStyle name="Input 2 5 4 2 15" xfId="31562"/>
    <cellStyle name="Input 2 5 4 2 16" xfId="32570"/>
    <cellStyle name="Input 2 5 4 2 17" xfId="33573"/>
    <cellStyle name="Input 2 5 4 2 18" xfId="34572"/>
    <cellStyle name="Input 2 5 4 2 19" xfId="36193"/>
    <cellStyle name="Input 2 5 4 2 2" xfId="16597"/>
    <cellStyle name="Input 2 5 4 2 20" xfId="37132"/>
    <cellStyle name="Input 2 5 4 2 3" xfId="17576"/>
    <cellStyle name="Input 2 5 4 2 4" xfId="18603"/>
    <cellStyle name="Input 2 5 4 2 5" xfId="19635"/>
    <cellStyle name="Input 2 5 4 2 6" xfId="20657"/>
    <cellStyle name="Input 2 5 4 2 7" xfId="21668"/>
    <cellStyle name="Input 2 5 4 2 8" xfId="22639"/>
    <cellStyle name="Input 2 5 4 2 9" xfId="23644"/>
    <cellStyle name="Input 2 5 4 20" xfId="36192"/>
    <cellStyle name="Input 2 5 4 21" xfId="37131"/>
    <cellStyle name="Input 2 5 4 3" xfId="16596"/>
    <cellStyle name="Input 2 5 4 4" xfId="17575"/>
    <cellStyle name="Input 2 5 4 5" xfId="18602"/>
    <cellStyle name="Input 2 5 4 6" xfId="19634"/>
    <cellStyle name="Input 2 5 4 7" xfId="20656"/>
    <cellStyle name="Input 2 5 4 8" xfId="21667"/>
    <cellStyle name="Input 2 5 4 9" xfId="22638"/>
    <cellStyle name="Input 2 5 5" xfId="4798"/>
    <cellStyle name="Input 2 5 5 10" xfId="24617"/>
    <cellStyle name="Input 2 5 5 11" xfId="25616"/>
    <cellStyle name="Input 2 5 5 12" xfId="28563"/>
    <cellStyle name="Input 2 5 5 13" xfId="29530"/>
    <cellStyle name="Input 2 5 5 14" xfId="30572"/>
    <cellStyle name="Input 2 5 5 15" xfId="31563"/>
    <cellStyle name="Input 2 5 5 16" xfId="32571"/>
    <cellStyle name="Input 2 5 5 17" xfId="33574"/>
    <cellStyle name="Input 2 5 5 18" xfId="34573"/>
    <cellStyle name="Input 2 5 5 19" xfId="36194"/>
    <cellStyle name="Input 2 5 5 2" xfId="16598"/>
    <cellStyle name="Input 2 5 5 20" xfId="37133"/>
    <cellStyle name="Input 2 5 5 3" xfId="17577"/>
    <cellStyle name="Input 2 5 5 4" xfId="18604"/>
    <cellStyle name="Input 2 5 5 5" xfId="19636"/>
    <cellStyle name="Input 2 5 5 6" xfId="20658"/>
    <cellStyle name="Input 2 5 5 7" xfId="21669"/>
    <cellStyle name="Input 2 5 5 8" xfId="22640"/>
    <cellStyle name="Input 2 5 5 9" xfId="23645"/>
    <cellStyle name="Input 2 5 6" xfId="13957"/>
    <cellStyle name="Input 2 5 7" xfId="14813"/>
    <cellStyle name="Input 2 5 8" xfId="14448"/>
    <cellStyle name="Input 2 5 9" xfId="15750"/>
    <cellStyle name="Input 2 6" xfId="4799"/>
    <cellStyle name="Input 2 6 10" xfId="23646"/>
    <cellStyle name="Input 2 6 11" xfId="24618"/>
    <cellStyle name="Input 2 6 12" xfId="25617"/>
    <cellStyle name="Input 2 6 13" xfId="28564"/>
    <cellStyle name="Input 2 6 14" xfId="29531"/>
    <cellStyle name="Input 2 6 15" xfId="30573"/>
    <cellStyle name="Input 2 6 16" xfId="31564"/>
    <cellStyle name="Input 2 6 17" xfId="32572"/>
    <cellStyle name="Input 2 6 18" xfId="33575"/>
    <cellStyle name="Input 2 6 19" xfId="34574"/>
    <cellStyle name="Input 2 6 2" xfId="4800"/>
    <cellStyle name="Input 2 6 2 10" xfId="24619"/>
    <cellStyle name="Input 2 6 2 11" xfId="25618"/>
    <cellStyle name="Input 2 6 2 12" xfId="28565"/>
    <cellStyle name="Input 2 6 2 13" xfId="29532"/>
    <cellStyle name="Input 2 6 2 14" xfId="30574"/>
    <cellStyle name="Input 2 6 2 15" xfId="31565"/>
    <cellStyle name="Input 2 6 2 16" xfId="32573"/>
    <cellStyle name="Input 2 6 2 17" xfId="33576"/>
    <cellStyle name="Input 2 6 2 18" xfId="34575"/>
    <cellStyle name="Input 2 6 2 19" xfId="36196"/>
    <cellStyle name="Input 2 6 2 2" xfId="16600"/>
    <cellStyle name="Input 2 6 2 20" xfId="37135"/>
    <cellStyle name="Input 2 6 2 3" xfId="17579"/>
    <cellStyle name="Input 2 6 2 4" xfId="18606"/>
    <cellStyle name="Input 2 6 2 5" xfId="19638"/>
    <cellStyle name="Input 2 6 2 6" xfId="20660"/>
    <cellStyle name="Input 2 6 2 7" xfId="21671"/>
    <cellStyle name="Input 2 6 2 8" xfId="22642"/>
    <cellStyle name="Input 2 6 2 9" xfId="23647"/>
    <cellStyle name="Input 2 6 20" xfId="36195"/>
    <cellStyle name="Input 2 6 21" xfId="37134"/>
    <cellStyle name="Input 2 6 3" xfId="16599"/>
    <cellStyle name="Input 2 6 4" xfId="17578"/>
    <cellStyle name="Input 2 6 5" xfId="18605"/>
    <cellStyle name="Input 2 6 6" xfId="19637"/>
    <cellStyle name="Input 2 6 7" xfId="20659"/>
    <cellStyle name="Input 2 6 8" xfId="21670"/>
    <cellStyle name="Input 2 6 9" xfId="22641"/>
    <cellStyle name="Input 2 7" xfId="4801"/>
    <cellStyle name="Input 2 7 10" xfId="23648"/>
    <cellStyle name="Input 2 7 11" xfId="24620"/>
    <cellStyle name="Input 2 7 12" xfId="25619"/>
    <cellStyle name="Input 2 7 13" xfId="28566"/>
    <cellStyle name="Input 2 7 14" xfId="29533"/>
    <cellStyle name="Input 2 7 15" xfId="30575"/>
    <cellStyle name="Input 2 7 16" xfId="31566"/>
    <cellStyle name="Input 2 7 17" xfId="32574"/>
    <cellStyle name="Input 2 7 18" xfId="33577"/>
    <cellStyle name="Input 2 7 19" xfId="34576"/>
    <cellStyle name="Input 2 7 2" xfId="4802"/>
    <cellStyle name="Input 2 7 2 10" xfId="24621"/>
    <cellStyle name="Input 2 7 2 11" xfId="25620"/>
    <cellStyle name="Input 2 7 2 12" xfId="28567"/>
    <cellStyle name="Input 2 7 2 13" xfId="29534"/>
    <cellStyle name="Input 2 7 2 14" xfId="30576"/>
    <cellStyle name="Input 2 7 2 15" xfId="31567"/>
    <cellStyle name="Input 2 7 2 16" xfId="32575"/>
    <cellStyle name="Input 2 7 2 17" xfId="33578"/>
    <cellStyle name="Input 2 7 2 18" xfId="34577"/>
    <cellStyle name="Input 2 7 2 19" xfId="36198"/>
    <cellStyle name="Input 2 7 2 2" xfId="16602"/>
    <cellStyle name="Input 2 7 2 20" xfId="37137"/>
    <cellStyle name="Input 2 7 2 3" xfId="17581"/>
    <cellStyle name="Input 2 7 2 4" xfId="18608"/>
    <cellStyle name="Input 2 7 2 5" xfId="19640"/>
    <cellStyle name="Input 2 7 2 6" xfId="20662"/>
    <cellStyle name="Input 2 7 2 7" xfId="21673"/>
    <cellStyle name="Input 2 7 2 8" xfId="22644"/>
    <cellStyle name="Input 2 7 2 9" xfId="23649"/>
    <cellStyle name="Input 2 7 20" xfId="36197"/>
    <cellStyle name="Input 2 7 21" xfId="37136"/>
    <cellStyle name="Input 2 7 3" xfId="16601"/>
    <cellStyle name="Input 2 7 4" xfId="17580"/>
    <cellStyle name="Input 2 7 5" xfId="18607"/>
    <cellStyle name="Input 2 7 6" xfId="19639"/>
    <cellStyle name="Input 2 7 7" xfId="20661"/>
    <cellStyle name="Input 2 7 8" xfId="21672"/>
    <cellStyle name="Input 2 7 9" xfId="22643"/>
    <cellStyle name="Input 2 8" xfId="4803"/>
    <cellStyle name="Input 2 8 10" xfId="23650"/>
    <cellStyle name="Input 2 8 11" xfId="24622"/>
    <cellStyle name="Input 2 8 12" xfId="25621"/>
    <cellStyle name="Input 2 8 13" xfId="28568"/>
    <cellStyle name="Input 2 8 14" xfId="29535"/>
    <cellStyle name="Input 2 8 15" xfId="30577"/>
    <cellStyle name="Input 2 8 16" xfId="31568"/>
    <cellStyle name="Input 2 8 17" xfId="32576"/>
    <cellStyle name="Input 2 8 18" xfId="33579"/>
    <cellStyle name="Input 2 8 19" xfId="34578"/>
    <cellStyle name="Input 2 8 2" xfId="4804"/>
    <cellStyle name="Input 2 8 2 10" xfId="24623"/>
    <cellStyle name="Input 2 8 2 11" xfId="25622"/>
    <cellStyle name="Input 2 8 2 12" xfId="28569"/>
    <cellStyle name="Input 2 8 2 13" xfId="29536"/>
    <cellStyle name="Input 2 8 2 14" xfId="30578"/>
    <cellStyle name="Input 2 8 2 15" xfId="31569"/>
    <cellStyle name="Input 2 8 2 16" xfId="32577"/>
    <cellStyle name="Input 2 8 2 17" xfId="33580"/>
    <cellStyle name="Input 2 8 2 18" xfId="34579"/>
    <cellStyle name="Input 2 8 2 19" xfId="36200"/>
    <cellStyle name="Input 2 8 2 2" xfId="16604"/>
    <cellStyle name="Input 2 8 2 20" xfId="37139"/>
    <cellStyle name="Input 2 8 2 3" xfId="17583"/>
    <cellStyle name="Input 2 8 2 4" xfId="18610"/>
    <cellStyle name="Input 2 8 2 5" xfId="19642"/>
    <cellStyle name="Input 2 8 2 6" xfId="20664"/>
    <cellStyle name="Input 2 8 2 7" xfId="21675"/>
    <cellStyle name="Input 2 8 2 8" xfId="22646"/>
    <cellStyle name="Input 2 8 2 9" xfId="23651"/>
    <cellStyle name="Input 2 8 20" xfId="36199"/>
    <cellStyle name="Input 2 8 21" xfId="37138"/>
    <cellStyle name="Input 2 8 3" xfId="16603"/>
    <cellStyle name="Input 2 8 4" xfId="17582"/>
    <cellStyle name="Input 2 8 5" xfId="18609"/>
    <cellStyle name="Input 2 8 6" xfId="19641"/>
    <cellStyle name="Input 2 8 7" xfId="20663"/>
    <cellStyle name="Input 2 8 8" xfId="21674"/>
    <cellStyle name="Input 2 8 9" xfId="22645"/>
    <cellStyle name="Input 2 9" xfId="4805"/>
    <cellStyle name="Input 2 9 10" xfId="24624"/>
    <cellStyle name="Input 2 9 11" xfId="25623"/>
    <cellStyle name="Input 2 9 12" xfId="28570"/>
    <cellStyle name="Input 2 9 13" xfId="29537"/>
    <cellStyle name="Input 2 9 14" xfId="30579"/>
    <cellStyle name="Input 2 9 15" xfId="31570"/>
    <cellStyle name="Input 2 9 16" xfId="32578"/>
    <cellStyle name="Input 2 9 17" xfId="33581"/>
    <cellStyle name="Input 2 9 18" xfId="34580"/>
    <cellStyle name="Input 2 9 19" xfId="36201"/>
    <cellStyle name="Input 2 9 2" xfId="16605"/>
    <cellStyle name="Input 2 9 20" xfId="37140"/>
    <cellStyle name="Input 2 9 3" xfId="17584"/>
    <cellStyle name="Input 2 9 4" xfId="18611"/>
    <cellStyle name="Input 2 9 5" xfId="19643"/>
    <cellStyle name="Input 2 9 6" xfId="20665"/>
    <cellStyle name="Input 2 9 7" xfId="21676"/>
    <cellStyle name="Input 2 9 8" xfId="22647"/>
    <cellStyle name="Input 2 9 9" xfId="23652"/>
    <cellStyle name="Input 3" xfId="142"/>
    <cellStyle name="Input 3 10" xfId="4806"/>
    <cellStyle name="Input 3 11" xfId="34887"/>
    <cellStyle name="Input 3 12" xfId="37396"/>
    <cellStyle name="Input 3 13" xfId="37427"/>
    <cellStyle name="Input 3 14" xfId="37481"/>
    <cellStyle name="Input 3 15" xfId="37557"/>
    <cellStyle name="Input 3 2" xfId="4807"/>
    <cellStyle name="Input 3 2 10" xfId="19917"/>
    <cellStyle name="Input 3 2 11" xfId="20956"/>
    <cellStyle name="Input 3 2 12" xfId="21900"/>
    <cellStyle name="Input 3 2 13" xfId="23907"/>
    <cellStyle name="Input 3 2 14" xfId="25990"/>
    <cellStyle name="Input 3 2 15" xfId="27289"/>
    <cellStyle name="Input 3 2 16" xfId="28790"/>
    <cellStyle name="Input 3 2 17" xfId="30846"/>
    <cellStyle name="Input 3 2 18" xfId="31831"/>
    <cellStyle name="Input 3 2 19" xfId="25954"/>
    <cellStyle name="Input 3 2 2" xfId="4808"/>
    <cellStyle name="Input 3 2 2 10" xfId="14357"/>
    <cellStyle name="Input 3 2 2 11" xfId="13655"/>
    <cellStyle name="Input 3 2 2 12" xfId="14973"/>
    <cellStyle name="Input 3 2 2 13" xfId="14577"/>
    <cellStyle name="Input 3 2 2 14" xfId="14685"/>
    <cellStyle name="Input 3 2 2 15" xfId="15619"/>
    <cellStyle name="Input 3 2 2 16" xfId="26095"/>
    <cellStyle name="Input 3 2 2 17" xfId="27775"/>
    <cellStyle name="Input 3 2 2 18" xfId="27209"/>
    <cellStyle name="Input 3 2 2 19" xfId="27391"/>
    <cellStyle name="Input 3 2 2 2" xfId="4809"/>
    <cellStyle name="Input 3 2 2 2 10" xfId="13909"/>
    <cellStyle name="Input 3 2 2 2 11" xfId="14083"/>
    <cellStyle name="Input 3 2 2 2 12" xfId="26316"/>
    <cellStyle name="Input 3 2 2 2 13" xfId="27169"/>
    <cellStyle name="Input 3 2 2 2 14" xfId="26816"/>
    <cellStyle name="Input 3 2 2 2 15" xfId="26537"/>
    <cellStyle name="Input 3 2 2 2 16" xfId="27599"/>
    <cellStyle name="Input 3 2 2 2 17" xfId="26803"/>
    <cellStyle name="Input 3 2 2 2 18" xfId="35012"/>
    <cellStyle name="Input 3 2 2 2 19" xfId="35323"/>
    <cellStyle name="Input 3 2 2 2 2" xfId="4810"/>
    <cellStyle name="Input 3 2 2 2 2 10" xfId="23653"/>
    <cellStyle name="Input 3 2 2 2 2 11" xfId="24625"/>
    <cellStyle name="Input 3 2 2 2 2 12" xfId="25624"/>
    <cellStyle name="Input 3 2 2 2 2 13" xfId="28571"/>
    <cellStyle name="Input 3 2 2 2 2 14" xfId="29538"/>
    <cellStyle name="Input 3 2 2 2 2 15" xfId="30580"/>
    <cellStyle name="Input 3 2 2 2 2 16" xfId="31571"/>
    <cellStyle name="Input 3 2 2 2 2 17" xfId="32579"/>
    <cellStyle name="Input 3 2 2 2 2 18" xfId="33582"/>
    <cellStyle name="Input 3 2 2 2 2 19" xfId="34581"/>
    <cellStyle name="Input 3 2 2 2 2 2" xfId="4811"/>
    <cellStyle name="Input 3 2 2 2 2 2 10" xfId="24626"/>
    <cellStyle name="Input 3 2 2 2 2 2 11" xfId="25625"/>
    <cellStyle name="Input 3 2 2 2 2 2 12" xfId="28572"/>
    <cellStyle name="Input 3 2 2 2 2 2 13" xfId="29539"/>
    <cellStyle name="Input 3 2 2 2 2 2 14" xfId="30581"/>
    <cellStyle name="Input 3 2 2 2 2 2 15" xfId="31572"/>
    <cellStyle name="Input 3 2 2 2 2 2 16" xfId="32580"/>
    <cellStyle name="Input 3 2 2 2 2 2 17" xfId="33583"/>
    <cellStyle name="Input 3 2 2 2 2 2 18" xfId="34582"/>
    <cellStyle name="Input 3 2 2 2 2 2 19" xfId="36203"/>
    <cellStyle name="Input 3 2 2 2 2 2 2" xfId="16607"/>
    <cellStyle name="Input 3 2 2 2 2 2 20" xfId="37142"/>
    <cellStyle name="Input 3 2 2 2 2 2 3" xfId="17586"/>
    <cellStyle name="Input 3 2 2 2 2 2 4" xfId="18613"/>
    <cellStyle name="Input 3 2 2 2 2 2 5" xfId="19645"/>
    <cellStyle name="Input 3 2 2 2 2 2 6" xfId="20667"/>
    <cellStyle name="Input 3 2 2 2 2 2 7" xfId="21678"/>
    <cellStyle name="Input 3 2 2 2 2 2 8" xfId="22649"/>
    <cellStyle name="Input 3 2 2 2 2 2 9" xfId="23654"/>
    <cellStyle name="Input 3 2 2 2 2 20" xfId="36202"/>
    <cellStyle name="Input 3 2 2 2 2 21" xfId="37141"/>
    <cellStyle name="Input 3 2 2 2 2 3" xfId="16606"/>
    <cellStyle name="Input 3 2 2 2 2 4" xfId="17585"/>
    <cellStyle name="Input 3 2 2 2 2 5" xfId="18612"/>
    <cellStyle name="Input 3 2 2 2 2 6" xfId="19644"/>
    <cellStyle name="Input 3 2 2 2 2 7" xfId="20666"/>
    <cellStyle name="Input 3 2 2 2 2 8" xfId="21677"/>
    <cellStyle name="Input 3 2 2 2 2 9" xfId="22648"/>
    <cellStyle name="Input 3 2 2 2 3" xfId="4812"/>
    <cellStyle name="Input 3 2 2 2 3 10" xfId="23655"/>
    <cellStyle name="Input 3 2 2 2 3 11" xfId="24627"/>
    <cellStyle name="Input 3 2 2 2 3 12" xfId="25626"/>
    <cellStyle name="Input 3 2 2 2 3 13" xfId="28573"/>
    <cellStyle name="Input 3 2 2 2 3 14" xfId="29540"/>
    <cellStyle name="Input 3 2 2 2 3 15" xfId="30582"/>
    <cellStyle name="Input 3 2 2 2 3 16" xfId="31573"/>
    <cellStyle name="Input 3 2 2 2 3 17" xfId="32581"/>
    <cellStyle name="Input 3 2 2 2 3 18" xfId="33584"/>
    <cellStyle name="Input 3 2 2 2 3 19" xfId="34583"/>
    <cellStyle name="Input 3 2 2 2 3 2" xfId="4813"/>
    <cellStyle name="Input 3 2 2 2 3 2 10" xfId="24628"/>
    <cellStyle name="Input 3 2 2 2 3 2 11" xfId="25627"/>
    <cellStyle name="Input 3 2 2 2 3 2 12" xfId="28574"/>
    <cellStyle name="Input 3 2 2 2 3 2 13" xfId="29541"/>
    <cellStyle name="Input 3 2 2 2 3 2 14" xfId="30583"/>
    <cellStyle name="Input 3 2 2 2 3 2 15" xfId="31574"/>
    <cellStyle name="Input 3 2 2 2 3 2 16" xfId="32582"/>
    <cellStyle name="Input 3 2 2 2 3 2 17" xfId="33585"/>
    <cellStyle name="Input 3 2 2 2 3 2 18" xfId="34584"/>
    <cellStyle name="Input 3 2 2 2 3 2 19" xfId="36205"/>
    <cellStyle name="Input 3 2 2 2 3 2 2" xfId="16609"/>
    <cellStyle name="Input 3 2 2 2 3 2 20" xfId="37144"/>
    <cellStyle name="Input 3 2 2 2 3 2 3" xfId="17588"/>
    <cellStyle name="Input 3 2 2 2 3 2 4" xfId="18615"/>
    <cellStyle name="Input 3 2 2 2 3 2 5" xfId="19647"/>
    <cellStyle name="Input 3 2 2 2 3 2 6" xfId="20669"/>
    <cellStyle name="Input 3 2 2 2 3 2 7" xfId="21680"/>
    <cellStyle name="Input 3 2 2 2 3 2 8" xfId="22651"/>
    <cellStyle name="Input 3 2 2 2 3 2 9" xfId="23656"/>
    <cellStyle name="Input 3 2 2 2 3 20" xfId="36204"/>
    <cellStyle name="Input 3 2 2 2 3 21" xfId="37143"/>
    <cellStyle name="Input 3 2 2 2 3 3" xfId="16608"/>
    <cellStyle name="Input 3 2 2 2 3 4" xfId="17587"/>
    <cellStyle name="Input 3 2 2 2 3 5" xfId="18614"/>
    <cellStyle name="Input 3 2 2 2 3 6" xfId="19646"/>
    <cellStyle name="Input 3 2 2 2 3 7" xfId="20668"/>
    <cellStyle name="Input 3 2 2 2 3 8" xfId="21679"/>
    <cellStyle name="Input 3 2 2 2 3 9" xfId="22650"/>
    <cellStyle name="Input 3 2 2 2 4" xfId="4814"/>
    <cellStyle name="Input 3 2 2 2 4 10" xfId="23657"/>
    <cellStyle name="Input 3 2 2 2 4 11" xfId="24629"/>
    <cellStyle name="Input 3 2 2 2 4 12" xfId="25628"/>
    <cellStyle name="Input 3 2 2 2 4 13" xfId="28575"/>
    <cellStyle name="Input 3 2 2 2 4 14" xfId="29542"/>
    <cellStyle name="Input 3 2 2 2 4 15" xfId="30584"/>
    <cellStyle name="Input 3 2 2 2 4 16" xfId="31575"/>
    <cellStyle name="Input 3 2 2 2 4 17" xfId="32583"/>
    <cellStyle name="Input 3 2 2 2 4 18" xfId="33586"/>
    <cellStyle name="Input 3 2 2 2 4 19" xfId="34585"/>
    <cellStyle name="Input 3 2 2 2 4 2" xfId="4815"/>
    <cellStyle name="Input 3 2 2 2 4 2 10" xfId="24630"/>
    <cellStyle name="Input 3 2 2 2 4 2 11" xfId="25629"/>
    <cellStyle name="Input 3 2 2 2 4 2 12" xfId="28576"/>
    <cellStyle name="Input 3 2 2 2 4 2 13" xfId="29543"/>
    <cellStyle name="Input 3 2 2 2 4 2 14" xfId="30585"/>
    <cellStyle name="Input 3 2 2 2 4 2 15" xfId="31576"/>
    <cellStyle name="Input 3 2 2 2 4 2 16" xfId="32584"/>
    <cellStyle name="Input 3 2 2 2 4 2 17" xfId="33587"/>
    <cellStyle name="Input 3 2 2 2 4 2 18" xfId="34586"/>
    <cellStyle name="Input 3 2 2 2 4 2 19" xfId="36207"/>
    <cellStyle name="Input 3 2 2 2 4 2 2" xfId="16611"/>
    <cellStyle name="Input 3 2 2 2 4 2 20" xfId="37146"/>
    <cellStyle name="Input 3 2 2 2 4 2 3" xfId="17590"/>
    <cellStyle name="Input 3 2 2 2 4 2 4" xfId="18617"/>
    <cellStyle name="Input 3 2 2 2 4 2 5" xfId="19649"/>
    <cellStyle name="Input 3 2 2 2 4 2 6" xfId="20671"/>
    <cellStyle name="Input 3 2 2 2 4 2 7" xfId="21682"/>
    <cellStyle name="Input 3 2 2 2 4 2 8" xfId="22653"/>
    <cellStyle name="Input 3 2 2 2 4 2 9" xfId="23658"/>
    <cellStyle name="Input 3 2 2 2 4 20" xfId="36206"/>
    <cellStyle name="Input 3 2 2 2 4 21" xfId="37145"/>
    <cellStyle name="Input 3 2 2 2 4 3" xfId="16610"/>
    <cellStyle name="Input 3 2 2 2 4 4" xfId="17589"/>
    <cellStyle name="Input 3 2 2 2 4 5" xfId="18616"/>
    <cellStyle name="Input 3 2 2 2 4 6" xfId="19648"/>
    <cellStyle name="Input 3 2 2 2 4 7" xfId="20670"/>
    <cellStyle name="Input 3 2 2 2 4 8" xfId="21681"/>
    <cellStyle name="Input 3 2 2 2 4 9" xfId="22652"/>
    <cellStyle name="Input 3 2 2 2 5" xfId="4816"/>
    <cellStyle name="Input 3 2 2 2 5 10" xfId="24631"/>
    <cellStyle name="Input 3 2 2 2 5 11" xfId="25630"/>
    <cellStyle name="Input 3 2 2 2 5 12" xfId="28577"/>
    <cellStyle name="Input 3 2 2 2 5 13" xfId="29544"/>
    <cellStyle name="Input 3 2 2 2 5 14" xfId="30586"/>
    <cellStyle name="Input 3 2 2 2 5 15" xfId="31577"/>
    <cellStyle name="Input 3 2 2 2 5 16" xfId="32585"/>
    <cellStyle name="Input 3 2 2 2 5 17" xfId="33588"/>
    <cellStyle name="Input 3 2 2 2 5 18" xfId="34587"/>
    <cellStyle name="Input 3 2 2 2 5 19" xfId="36208"/>
    <cellStyle name="Input 3 2 2 2 5 2" xfId="16612"/>
    <cellStyle name="Input 3 2 2 2 5 20" xfId="37147"/>
    <cellStyle name="Input 3 2 2 2 5 3" xfId="17591"/>
    <cellStyle name="Input 3 2 2 2 5 4" xfId="18618"/>
    <cellStyle name="Input 3 2 2 2 5 5" xfId="19650"/>
    <cellStyle name="Input 3 2 2 2 5 6" xfId="20672"/>
    <cellStyle name="Input 3 2 2 2 5 7" xfId="21683"/>
    <cellStyle name="Input 3 2 2 2 5 8" xfId="22654"/>
    <cellStyle name="Input 3 2 2 2 5 9" xfId="23659"/>
    <cellStyle name="Input 3 2 2 2 6" xfId="13727"/>
    <cellStyle name="Input 3 2 2 2 7" xfId="15141"/>
    <cellStyle name="Input 3 2 2 2 8" xfId="14863"/>
    <cellStyle name="Input 3 2 2 2 9" xfId="14287"/>
    <cellStyle name="Input 3 2 2 20" xfId="27380"/>
    <cellStyle name="Input 3 2 2 21" xfId="26859"/>
    <cellStyle name="Input 3 2 2 22" xfId="34955"/>
    <cellStyle name="Input 3 2 2 23" xfId="35363"/>
    <cellStyle name="Input 3 2 2 3" xfId="4817"/>
    <cellStyle name="Input 3 2 2 3 10" xfId="14513"/>
    <cellStyle name="Input 3 2 2 3 11" xfId="15271"/>
    <cellStyle name="Input 3 2 2 3 12" xfId="26396"/>
    <cellStyle name="Input 3 2 2 3 13" xfId="26028"/>
    <cellStyle name="Input 3 2 2 3 14" xfId="26143"/>
    <cellStyle name="Input 3 2 2 3 15" xfId="26513"/>
    <cellStyle name="Input 3 2 2 3 16" xfId="27598"/>
    <cellStyle name="Input 3 2 2 3 17" xfId="26996"/>
    <cellStyle name="Input 3 2 2 3 18" xfId="35087"/>
    <cellStyle name="Input 3 2 2 3 19" xfId="35272"/>
    <cellStyle name="Input 3 2 2 3 2" xfId="4818"/>
    <cellStyle name="Input 3 2 2 3 2 10" xfId="23660"/>
    <cellStyle name="Input 3 2 2 3 2 11" xfId="24632"/>
    <cellStyle name="Input 3 2 2 3 2 12" xfId="25631"/>
    <cellStyle name="Input 3 2 2 3 2 13" xfId="28578"/>
    <cellStyle name="Input 3 2 2 3 2 14" xfId="29545"/>
    <cellStyle name="Input 3 2 2 3 2 15" xfId="30587"/>
    <cellStyle name="Input 3 2 2 3 2 16" xfId="31578"/>
    <cellStyle name="Input 3 2 2 3 2 17" xfId="32586"/>
    <cellStyle name="Input 3 2 2 3 2 18" xfId="33589"/>
    <cellStyle name="Input 3 2 2 3 2 19" xfId="34588"/>
    <cellStyle name="Input 3 2 2 3 2 2" xfId="4819"/>
    <cellStyle name="Input 3 2 2 3 2 2 10" xfId="24633"/>
    <cellStyle name="Input 3 2 2 3 2 2 11" xfId="25632"/>
    <cellStyle name="Input 3 2 2 3 2 2 12" xfId="28579"/>
    <cellStyle name="Input 3 2 2 3 2 2 13" xfId="29546"/>
    <cellStyle name="Input 3 2 2 3 2 2 14" xfId="30588"/>
    <cellStyle name="Input 3 2 2 3 2 2 15" xfId="31579"/>
    <cellStyle name="Input 3 2 2 3 2 2 16" xfId="32587"/>
    <cellStyle name="Input 3 2 2 3 2 2 17" xfId="33590"/>
    <cellStyle name="Input 3 2 2 3 2 2 18" xfId="34589"/>
    <cellStyle name="Input 3 2 2 3 2 2 19" xfId="36210"/>
    <cellStyle name="Input 3 2 2 3 2 2 2" xfId="16614"/>
    <cellStyle name="Input 3 2 2 3 2 2 20" xfId="37149"/>
    <cellStyle name="Input 3 2 2 3 2 2 3" xfId="17593"/>
    <cellStyle name="Input 3 2 2 3 2 2 4" xfId="18620"/>
    <cellStyle name="Input 3 2 2 3 2 2 5" xfId="19652"/>
    <cellStyle name="Input 3 2 2 3 2 2 6" xfId="20674"/>
    <cellStyle name="Input 3 2 2 3 2 2 7" xfId="21685"/>
    <cellStyle name="Input 3 2 2 3 2 2 8" xfId="22656"/>
    <cellStyle name="Input 3 2 2 3 2 2 9" xfId="23661"/>
    <cellStyle name="Input 3 2 2 3 2 20" xfId="36209"/>
    <cellStyle name="Input 3 2 2 3 2 21" xfId="37148"/>
    <cellStyle name="Input 3 2 2 3 2 3" xfId="16613"/>
    <cellStyle name="Input 3 2 2 3 2 4" xfId="17592"/>
    <cellStyle name="Input 3 2 2 3 2 5" xfId="18619"/>
    <cellStyle name="Input 3 2 2 3 2 6" xfId="19651"/>
    <cellStyle name="Input 3 2 2 3 2 7" xfId="20673"/>
    <cellStyle name="Input 3 2 2 3 2 8" xfId="21684"/>
    <cellStyle name="Input 3 2 2 3 2 9" xfId="22655"/>
    <cellStyle name="Input 3 2 2 3 3" xfId="4820"/>
    <cellStyle name="Input 3 2 2 3 3 10" xfId="23662"/>
    <cellStyle name="Input 3 2 2 3 3 11" xfId="24634"/>
    <cellStyle name="Input 3 2 2 3 3 12" xfId="25633"/>
    <cellStyle name="Input 3 2 2 3 3 13" xfId="28580"/>
    <cellStyle name="Input 3 2 2 3 3 14" xfId="29547"/>
    <cellStyle name="Input 3 2 2 3 3 15" xfId="30589"/>
    <cellStyle name="Input 3 2 2 3 3 16" xfId="31580"/>
    <cellStyle name="Input 3 2 2 3 3 17" xfId="32588"/>
    <cellStyle name="Input 3 2 2 3 3 18" xfId="33591"/>
    <cellStyle name="Input 3 2 2 3 3 19" xfId="34590"/>
    <cellStyle name="Input 3 2 2 3 3 2" xfId="4821"/>
    <cellStyle name="Input 3 2 2 3 3 2 10" xfId="24635"/>
    <cellStyle name="Input 3 2 2 3 3 2 11" xfId="25634"/>
    <cellStyle name="Input 3 2 2 3 3 2 12" xfId="28581"/>
    <cellStyle name="Input 3 2 2 3 3 2 13" xfId="29548"/>
    <cellStyle name="Input 3 2 2 3 3 2 14" xfId="30590"/>
    <cellStyle name="Input 3 2 2 3 3 2 15" xfId="31581"/>
    <cellStyle name="Input 3 2 2 3 3 2 16" xfId="32589"/>
    <cellStyle name="Input 3 2 2 3 3 2 17" xfId="33592"/>
    <cellStyle name="Input 3 2 2 3 3 2 18" xfId="34591"/>
    <cellStyle name="Input 3 2 2 3 3 2 19" xfId="36212"/>
    <cellStyle name="Input 3 2 2 3 3 2 2" xfId="16616"/>
    <cellStyle name="Input 3 2 2 3 3 2 20" xfId="37151"/>
    <cellStyle name="Input 3 2 2 3 3 2 3" xfId="17595"/>
    <cellStyle name="Input 3 2 2 3 3 2 4" xfId="18622"/>
    <cellStyle name="Input 3 2 2 3 3 2 5" xfId="19654"/>
    <cellStyle name="Input 3 2 2 3 3 2 6" xfId="20676"/>
    <cellStyle name="Input 3 2 2 3 3 2 7" xfId="21687"/>
    <cellStyle name="Input 3 2 2 3 3 2 8" xfId="22658"/>
    <cellStyle name="Input 3 2 2 3 3 2 9" xfId="23663"/>
    <cellStyle name="Input 3 2 2 3 3 20" xfId="36211"/>
    <cellStyle name="Input 3 2 2 3 3 21" xfId="37150"/>
    <cellStyle name="Input 3 2 2 3 3 3" xfId="16615"/>
    <cellStyle name="Input 3 2 2 3 3 4" xfId="17594"/>
    <cellStyle name="Input 3 2 2 3 3 5" xfId="18621"/>
    <cellStyle name="Input 3 2 2 3 3 6" xfId="19653"/>
    <cellStyle name="Input 3 2 2 3 3 7" xfId="20675"/>
    <cellStyle name="Input 3 2 2 3 3 8" xfId="21686"/>
    <cellStyle name="Input 3 2 2 3 3 9" xfId="22657"/>
    <cellStyle name="Input 3 2 2 3 4" xfId="4822"/>
    <cellStyle name="Input 3 2 2 3 4 10" xfId="23664"/>
    <cellStyle name="Input 3 2 2 3 4 11" xfId="24636"/>
    <cellStyle name="Input 3 2 2 3 4 12" xfId="25635"/>
    <cellStyle name="Input 3 2 2 3 4 13" xfId="28582"/>
    <cellStyle name="Input 3 2 2 3 4 14" xfId="29549"/>
    <cellStyle name="Input 3 2 2 3 4 15" xfId="30591"/>
    <cellStyle name="Input 3 2 2 3 4 16" xfId="31582"/>
    <cellStyle name="Input 3 2 2 3 4 17" xfId="32590"/>
    <cellStyle name="Input 3 2 2 3 4 18" xfId="33593"/>
    <cellStyle name="Input 3 2 2 3 4 19" xfId="34592"/>
    <cellStyle name="Input 3 2 2 3 4 2" xfId="4823"/>
    <cellStyle name="Input 3 2 2 3 4 2 10" xfId="24637"/>
    <cellStyle name="Input 3 2 2 3 4 2 11" xfId="25636"/>
    <cellStyle name="Input 3 2 2 3 4 2 12" xfId="28583"/>
    <cellStyle name="Input 3 2 2 3 4 2 13" xfId="29550"/>
    <cellStyle name="Input 3 2 2 3 4 2 14" xfId="30592"/>
    <cellStyle name="Input 3 2 2 3 4 2 15" xfId="31583"/>
    <cellStyle name="Input 3 2 2 3 4 2 16" xfId="32591"/>
    <cellStyle name="Input 3 2 2 3 4 2 17" xfId="33594"/>
    <cellStyle name="Input 3 2 2 3 4 2 18" xfId="34593"/>
    <cellStyle name="Input 3 2 2 3 4 2 19" xfId="36214"/>
    <cellStyle name="Input 3 2 2 3 4 2 2" xfId="16618"/>
    <cellStyle name="Input 3 2 2 3 4 2 20" xfId="37153"/>
    <cellStyle name="Input 3 2 2 3 4 2 3" xfId="17597"/>
    <cellStyle name="Input 3 2 2 3 4 2 4" xfId="18624"/>
    <cellStyle name="Input 3 2 2 3 4 2 5" xfId="19656"/>
    <cellStyle name="Input 3 2 2 3 4 2 6" xfId="20678"/>
    <cellStyle name="Input 3 2 2 3 4 2 7" xfId="21689"/>
    <cellStyle name="Input 3 2 2 3 4 2 8" xfId="22660"/>
    <cellStyle name="Input 3 2 2 3 4 2 9" xfId="23665"/>
    <cellStyle name="Input 3 2 2 3 4 20" xfId="36213"/>
    <cellStyle name="Input 3 2 2 3 4 21" xfId="37152"/>
    <cellStyle name="Input 3 2 2 3 4 3" xfId="16617"/>
    <cellStyle name="Input 3 2 2 3 4 4" xfId="17596"/>
    <cellStyle name="Input 3 2 2 3 4 5" xfId="18623"/>
    <cellStyle name="Input 3 2 2 3 4 6" xfId="19655"/>
    <cellStyle name="Input 3 2 2 3 4 7" xfId="20677"/>
    <cellStyle name="Input 3 2 2 3 4 8" xfId="21688"/>
    <cellStyle name="Input 3 2 2 3 4 9" xfId="22659"/>
    <cellStyle name="Input 3 2 2 3 5" xfId="4824"/>
    <cellStyle name="Input 3 2 2 3 5 10" xfId="24638"/>
    <cellStyle name="Input 3 2 2 3 5 11" xfId="25637"/>
    <cellStyle name="Input 3 2 2 3 5 12" xfId="28584"/>
    <cellStyle name="Input 3 2 2 3 5 13" xfId="29551"/>
    <cellStyle name="Input 3 2 2 3 5 14" xfId="30593"/>
    <cellStyle name="Input 3 2 2 3 5 15" xfId="31584"/>
    <cellStyle name="Input 3 2 2 3 5 16" xfId="32592"/>
    <cellStyle name="Input 3 2 2 3 5 17" xfId="33595"/>
    <cellStyle name="Input 3 2 2 3 5 18" xfId="34594"/>
    <cellStyle name="Input 3 2 2 3 5 19" xfId="36215"/>
    <cellStyle name="Input 3 2 2 3 5 2" xfId="16619"/>
    <cellStyle name="Input 3 2 2 3 5 20" xfId="37154"/>
    <cellStyle name="Input 3 2 2 3 5 3" xfId="17598"/>
    <cellStyle name="Input 3 2 2 3 5 4" xfId="18625"/>
    <cellStyle name="Input 3 2 2 3 5 5" xfId="19657"/>
    <cellStyle name="Input 3 2 2 3 5 6" xfId="20679"/>
    <cellStyle name="Input 3 2 2 3 5 7" xfId="21690"/>
    <cellStyle name="Input 3 2 2 3 5 8" xfId="22661"/>
    <cellStyle name="Input 3 2 2 3 5 9" xfId="23666"/>
    <cellStyle name="Input 3 2 2 3 6" xfId="14052"/>
    <cellStyle name="Input 3 2 2 3 7" xfId="13521"/>
    <cellStyle name="Input 3 2 2 3 8" xfId="13611"/>
    <cellStyle name="Input 3 2 2 3 9" xfId="15329"/>
    <cellStyle name="Input 3 2 2 4" xfId="4825"/>
    <cellStyle name="Input 3 2 2 4 10" xfId="14326"/>
    <cellStyle name="Input 3 2 2 4 11" xfId="15781"/>
    <cellStyle name="Input 3 2 2 4 12" xfId="26412"/>
    <cellStyle name="Input 3 2 2 4 13" xfId="27693"/>
    <cellStyle name="Input 3 2 2 4 14" xfId="26150"/>
    <cellStyle name="Input 3 2 2 4 15" xfId="27268"/>
    <cellStyle name="Input 3 2 2 4 16" xfId="26939"/>
    <cellStyle name="Input 3 2 2 4 17" xfId="26697"/>
    <cellStyle name="Input 3 2 2 4 18" xfId="35102"/>
    <cellStyle name="Input 3 2 2 4 19" xfId="35260"/>
    <cellStyle name="Input 3 2 2 4 2" xfId="4826"/>
    <cellStyle name="Input 3 2 2 4 2 10" xfId="23667"/>
    <cellStyle name="Input 3 2 2 4 2 11" xfId="24639"/>
    <cellStyle name="Input 3 2 2 4 2 12" xfId="25638"/>
    <cellStyle name="Input 3 2 2 4 2 13" xfId="28585"/>
    <cellStyle name="Input 3 2 2 4 2 14" xfId="29552"/>
    <cellStyle name="Input 3 2 2 4 2 15" xfId="30594"/>
    <cellStyle name="Input 3 2 2 4 2 16" xfId="31585"/>
    <cellStyle name="Input 3 2 2 4 2 17" xfId="32593"/>
    <cellStyle name="Input 3 2 2 4 2 18" xfId="33596"/>
    <cellStyle name="Input 3 2 2 4 2 19" xfId="34595"/>
    <cellStyle name="Input 3 2 2 4 2 2" xfId="4827"/>
    <cellStyle name="Input 3 2 2 4 2 2 10" xfId="24640"/>
    <cellStyle name="Input 3 2 2 4 2 2 11" xfId="25639"/>
    <cellStyle name="Input 3 2 2 4 2 2 12" xfId="28586"/>
    <cellStyle name="Input 3 2 2 4 2 2 13" xfId="29553"/>
    <cellStyle name="Input 3 2 2 4 2 2 14" xfId="30595"/>
    <cellStyle name="Input 3 2 2 4 2 2 15" xfId="31586"/>
    <cellStyle name="Input 3 2 2 4 2 2 16" xfId="32594"/>
    <cellStyle name="Input 3 2 2 4 2 2 17" xfId="33597"/>
    <cellStyle name="Input 3 2 2 4 2 2 18" xfId="34596"/>
    <cellStyle name="Input 3 2 2 4 2 2 19" xfId="36217"/>
    <cellStyle name="Input 3 2 2 4 2 2 2" xfId="16621"/>
    <cellStyle name="Input 3 2 2 4 2 2 20" xfId="37156"/>
    <cellStyle name="Input 3 2 2 4 2 2 3" xfId="17600"/>
    <cellStyle name="Input 3 2 2 4 2 2 4" xfId="18627"/>
    <cellStyle name="Input 3 2 2 4 2 2 5" xfId="19659"/>
    <cellStyle name="Input 3 2 2 4 2 2 6" xfId="20681"/>
    <cellStyle name="Input 3 2 2 4 2 2 7" xfId="21692"/>
    <cellStyle name="Input 3 2 2 4 2 2 8" xfId="22663"/>
    <cellStyle name="Input 3 2 2 4 2 2 9" xfId="23668"/>
    <cellStyle name="Input 3 2 2 4 2 20" xfId="36216"/>
    <cellStyle name="Input 3 2 2 4 2 21" xfId="37155"/>
    <cellStyle name="Input 3 2 2 4 2 3" xfId="16620"/>
    <cellStyle name="Input 3 2 2 4 2 4" xfId="17599"/>
    <cellStyle name="Input 3 2 2 4 2 5" xfId="18626"/>
    <cellStyle name="Input 3 2 2 4 2 6" xfId="19658"/>
    <cellStyle name="Input 3 2 2 4 2 7" xfId="20680"/>
    <cellStyle name="Input 3 2 2 4 2 8" xfId="21691"/>
    <cellStyle name="Input 3 2 2 4 2 9" xfId="22662"/>
    <cellStyle name="Input 3 2 2 4 3" xfId="4828"/>
    <cellStyle name="Input 3 2 2 4 3 10" xfId="23669"/>
    <cellStyle name="Input 3 2 2 4 3 11" xfId="24641"/>
    <cellStyle name="Input 3 2 2 4 3 12" xfId="25640"/>
    <cellStyle name="Input 3 2 2 4 3 13" xfId="28587"/>
    <cellStyle name="Input 3 2 2 4 3 14" xfId="29554"/>
    <cellStyle name="Input 3 2 2 4 3 15" xfId="30596"/>
    <cellStyle name="Input 3 2 2 4 3 16" xfId="31587"/>
    <cellStyle name="Input 3 2 2 4 3 17" xfId="32595"/>
    <cellStyle name="Input 3 2 2 4 3 18" xfId="33598"/>
    <cellStyle name="Input 3 2 2 4 3 19" xfId="34597"/>
    <cellStyle name="Input 3 2 2 4 3 2" xfId="4829"/>
    <cellStyle name="Input 3 2 2 4 3 2 10" xfId="24642"/>
    <cellStyle name="Input 3 2 2 4 3 2 11" xfId="25641"/>
    <cellStyle name="Input 3 2 2 4 3 2 12" xfId="28588"/>
    <cellStyle name="Input 3 2 2 4 3 2 13" xfId="29555"/>
    <cellStyle name="Input 3 2 2 4 3 2 14" xfId="30597"/>
    <cellStyle name="Input 3 2 2 4 3 2 15" xfId="31588"/>
    <cellStyle name="Input 3 2 2 4 3 2 16" xfId="32596"/>
    <cellStyle name="Input 3 2 2 4 3 2 17" xfId="33599"/>
    <cellStyle name="Input 3 2 2 4 3 2 18" xfId="34598"/>
    <cellStyle name="Input 3 2 2 4 3 2 19" xfId="36219"/>
    <cellStyle name="Input 3 2 2 4 3 2 2" xfId="16623"/>
    <cellStyle name="Input 3 2 2 4 3 2 20" xfId="37158"/>
    <cellStyle name="Input 3 2 2 4 3 2 3" xfId="17602"/>
    <cellStyle name="Input 3 2 2 4 3 2 4" xfId="18629"/>
    <cellStyle name="Input 3 2 2 4 3 2 5" xfId="19661"/>
    <cellStyle name="Input 3 2 2 4 3 2 6" xfId="20683"/>
    <cellStyle name="Input 3 2 2 4 3 2 7" xfId="21694"/>
    <cellStyle name="Input 3 2 2 4 3 2 8" xfId="22665"/>
    <cellStyle name="Input 3 2 2 4 3 2 9" xfId="23670"/>
    <cellStyle name="Input 3 2 2 4 3 20" xfId="36218"/>
    <cellStyle name="Input 3 2 2 4 3 21" xfId="37157"/>
    <cellStyle name="Input 3 2 2 4 3 3" xfId="16622"/>
    <cellStyle name="Input 3 2 2 4 3 4" xfId="17601"/>
    <cellStyle name="Input 3 2 2 4 3 5" xfId="18628"/>
    <cellStyle name="Input 3 2 2 4 3 6" xfId="19660"/>
    <cellStyle name="Input 3 2 2 4 3 7" xfId="20682"/>
    <cellStyle name="Input 3 2 2 4 3 8" xfId="21693"/>
    <cellStyle name="Input 3 2 2 4 3 9" xfId="22664"/>
    <cellStyle name="Input 3 2 2 4 4" xfId="4830"/>
    <cellStyle name="Input 3 2 2 4 4 10" xfId="23671"/>
    <cellStyle name="Input 3 2 2 4 4 11" xfId="24643"/>
    <cellStyle name="Input 3 2 2 4 4 12" xfId="25642"/>
    <cellStyle name="Input 3 2 2 4 4 13" xfId="28589"/>
    <cellStyle name="Input 3 2 2 4 4 14" xfId="29556"/>
    <cellStyle name="Input 3 2 2 4 4 15" xfId="30598"/>
    <cellStyle name="Input 3 2 2 4 4 16" xfId="31589"/>
    <cellStyle name="Input 3 2 2 4 4 17" xfId="32597"/>
    <cellStyle name="Input 3 2 2 4 4 18" xfId="33600"/>
    <cellStyle name="Input 3 2 2 4 4 19" xfId="34599"/>
    <cellStyle name="Input 3 2 2 4 4 2" xfId="4831"/>
    <cellStyle name="Input 3 2 2 4 4 2 10" xfId="24644"/>
    <cellStyle name="Input 3 2 2 4 4 2 11" xfId="25643"/>
    <cellStyle name="Input 3 2 2 4 4 2 12" xfId="28590"/>
    <cellStyle name="Input 3 2 2 4 4 2 13" xfId="29557"/>
    <cellStyle name="Input 3 2 2 4 4 2 14" xfId="30599"/>
    <cellStyle name="Input 3 2 2 4 4 2 15" xfId="31590"/>
    <cellStyle name="Input 3 2 2 4 4 2 16" xfId="32598"/>
    <cellStyle name="Input 3 2 2 4 4 2 17" xfId="33601"/>
    <cellStyle name="Input 3 2 2 4 4 2 18" xfId="34600"/>
    <cellStyle name="Input 3 2 2 4 4 2 19" xfId="36221"/>
    <cellStyle name="Input 3 2 2 4 4 2 2" xfId="16625"/>
    <cellStyle name="Input 3 2 2 4 4 2 20" xfId="37160"/>
    <cellStyle name="Input 3 2 2 4 4 2 3" xfId="17604"/>
    <cellStyle name="Input 3 2 2 4 4 2 4" xfId="18631"/>
    <cellStyle name="Input 3 2 2 4 4 2 5" xfId="19663"/>
    <cellStyle name="Input 3 2 2 4 4 2 6" xfId="20685"/>
    <cellStyle name="Input 3 2 2 4 4 2 7" xfId="21696"/>
    <cellStyle name="Input 3 2 2 4 4 2 8" xfId="22667"/>
    <cellStyle name="Input 3 2 2 4 4 2 9" xfId="23672"/>
    <cellStyle name="Input 3 2 2 4 4 20" xfId="36220"/>
    <cellStyle name="Input 3 2 2 4 4 21" xfId="37159"/>
    <cellStyle name="Input 3 2 2 4 4 3" xfId="16624"/>
    <cellStyle name="Input 3 2 2 4 4 4" xfId="17603"/>
    <cellStyle name="Input 3 2 2 4 4 5" xfId="18630"/>
    <cellStyle name="Input 3 2 2 4 4 6" xfId="19662"/>
    <cellStyle name="Input 3 2 2 4 4 7" xfId="20684"/>
    <cellStyle name="Input 3 2 2 4 4 8" xfId="21695"/>
    <cellStyle name="Input 3 2 2 4 4 9" xfId="22666"/>
    <cellStyle name="Input 3 2 2 4 5" xfId="4832"/>
    <cellStyle name="Input 3 2 2 4 5 10" xfId="24645"/>
    <cellStyle name="Input 3 2 2 4 5 11" xfId="25644"/>
    <cellStyle name="Input 3 2 2 4 5 12" xfId="28591"/>
    <cellStyle name="Input 3 2 2 4 5 13" xfId="29558"/>
    <cellStyle name="Input 3 2 2 4 5 14" xfId="30600"/>
    <cellStyle name="Input 3 2 2 4 5 15" xfId="31591"/>
    <cellStyle name="Input 3 2 2 4 5 16" xfId="32599"/>
    <cellStyle name="Input 3 2 2 4 5 17" xfId="33602"/>
    <cellStyle name="Input 3 2 2 4 5 18" xfId="34601"/>
    <cellStyle name="Input 3 2 2 4 5 19" xfId="36222"/>
    <cellStyle name="Input 3 2 2 4 5 2" xfId="16626"/>
    <cellStyle name="Input 3 2 2 4 5 20" xfId="37161"/>
    <cellStyle name="Input 3 2 2 4 5 3" xfId="17605"/>
    <cellStyle name="Input 3 2 2 4 5 4" xfId="18632"/>
    <cellStyle name="Input 3 2 2 4 5 5" xfId="19664"/>
    <cellStyle name="Input 3 2 2 4 5 6" xfId="20686"/>
    <cellStyle name="Input 3 2 2 4 5 7" xfId="21697"/>
    <cellStyle name="Input 3 2 2 4 5 8" xfId="22668"/>
    <cellStyle name="Input 3 2 2 4 5 9" xfId="23673"/>
    <cellStyle name="Input 3 2 2 4 6" xfId="14055"/>
    <cellStyle name="Input 3 2 2 4 7" xfId="14088"/>
    <cellStyle name="Input 3 2 2 4 8" xfId="14833"/>
    <cellStyle name="Input 3 2 2 4 9" xfId="14754"/>
    <cellStyle name="Input 3 2 2 5" xfId="4833"/>
    <cellStyle name="Input 3 2 2 5 10" xfId="14765"/>
    <cellStyle name="Input 3 2 2 5 11" xfId="19905"/>
    <cellStyle name="Input 3 2 2 5 12" xfId="26460"/>
    <cellStyle name="Input 3 2 2 5 13" xfId="26024"/>
    <cellStyle name="Input 3 2 2 5 14" xfId="26171"/>
    <cellStyle name="Input 3 2 2 5 15" xfId="26746"/>
    <cellStyle name="Input 3 2 2 5 16" xfId="27420"/>
    <cellStyle name="Input 3 2 2 5 17" xfId="27615"/>
    <cellStyle name="Input 3 2 2 5 18" xfId="35143"/>
    <cellStyle name="Input 3 2 2 5 19" xfId="35230"/>
    <cellStyle name="Input 3 2 2 5 2" xfId="4834"/>
    <cellStyle name="Input 3 2 2 5 2 10" xfId="23674"/>
    <cellStyle name="Input 3 2 2 5 2 11" xfId="24646"/>
    <cellStyle name="Input 3 2 2 5 2 12" xfId="25645"/>
    <cellStyle name="Input 3 2 2 5 2 13" xfId="28592"/>
    <cellStyle name="Input 3 2 2 5 2 14" xfId="29559"/>
    <cellStyle name="Input 3 2 2 5 2 15" xfId="30601"/>
    <cellStyle name="Input 3 2 2 5 2 16" xfId="31592"/>
    <cellStyle name="Input 3 2 2 5 2 17" xfId="32600"/>
    <cellStyle name="Input 3 2 2 5 2 18" xfId="33603"/>
    <cellStyle name="Input 3 2 2 5 2 19" xfId="34602"/>
    <cellStyle name="Input 3 2 2 5 2 2" xfId="4835"/>
    <cellStyle name="Input 3 2 2 5 2 2 10" xfId="24647"/>
    <cellStyle name="Input 3 2 2 5 2 2 11" xfId="25646"/>
    <cellStyle name="Input 3 2 2 5 2 2 12" xfId="28593"/>
    <cellStyle name="Input 3 2 2 5 2 2 13" xfId="29560"/>
    <cellStyle name="Input 3 2 2 5 2 2 14" xfId="30602"/>
    <cellStyle name="Input 3 2 2 5 2 2 15" xfId="31593"/>
    <cellStyle name="Input 3 2 2 5 2 2 16" xfId="32601"/>
    <cellStyle name="Input 3 2 2 5 2 2 17" xfId="33604"/>
    <cellStyle name="Input 3 2 2 5 2 2 18" xfId="34603"/>
    <cellStyle name="Input 3 2 2 5 2 2 19" xfId="36224"/>
    <cellStyle name="Input 3 2 2 5 2 2 2" xfId="16628"/>
    <cellStyle name="Input 3 2 2 5 2 2 20" xfId="37163"/>
    <cellStyle name="Input 3 2 2 5 2 2 3" xfId="17607"/>
    <cellStyle name="Input 3 2 2 5 2 2 4" xfId="18634"/>
    <cellStyle name="Input 3 2 2 5 2 2 5" xfId="19666"/>
    <cellStyle name="Input 3 2 2 5 2 2 6" xfId="20688"/>
    <cellStyle name="Input 3 2 2 5 2 2 7" xfId="21699"/>
    <cellStyle name="Input 3 2 2 5 2 2 8" xfId="22670"/>
    <cellStyle name="Input 3 2 2 5 2 2 9" xfId="23675"/>
    <cellStyle name="Input 3 2 2 5 2 20" xfId="36223"/>
    <cellStyle name="Input 3 2 2 5 2 21" xfId="37162"/>
    <cellStyle name="Input 3 2 2 5 2 3" xfId="16627"/>
    <cellStyle name="Input 3 2 2 5 2 4" xfId="17606"/>
    <cellStyle name="Input 3 2 2 5 2 5" xfId="18633"/>
    <cellStyle name="Input 3 2 2 5 2 6" xfId="19665"/>
    <cellStyle name="Input 3 2 2 5 2 7" xfId="20687"/>
    <cellStyle name="Input 3 2 2 5 2 8" xfId="21698"/>
    <cellStyle name="Input 3 2 2 5 2 9" xfId="22669"/>
    <cellStyle name="Input 3 2 2 5 3" xfId="4836"/>
    <cellStyle name="Input 3 2 2 5 3 10" xfId="23676"/>
    <cellStyle name="Input 3 2 2 5 3 11" xfId="24648"/>
    <cellStyle name="Input 3 2 2 5 3 12" xfId="25647"/>
    <cellStyle name="Input 3 2 2 5 3 13" xfId="28594"/>
    <cellStyle name="Input 3 2 2 5 3 14" xfId="29561"/>
    <cellStyle name="Input 3 2 2 5 3 15" xfId="30603"/>
    <cellStyle name="Input 3 2 2 5 3 16" xfId="31594"/>
    <cellStyle name="Input 3 2 2 5 3 17" xfId="32602"/>
    <cellStyle name="Input 3 2 2 5 3 18" xfId="33605"/>
    <cellStyle name="Input 3 2 2 5 3 19" xfId="34604"/>
    <cellStyle name="Input 3 2 2 5 3 2" xfId="4837"/>
    <cellStyle name="Input 3 2 2 5 3 2 10" xfId="24649"/>
    <cellStyle name="Input 3 2 2 5 3 2 11" xfId="25648"/>
    <cellStyle name="Input 3 2 2 5 3 2 12" xfId="28595"/>
    <cellStyle name="Input 3 2 2 5 3 2 13" xfId="29562"/>
    <cellStyle name="Input 3 2 2 5 3 2 14" xfId="30604"/>
    <cellStyle name="Input 3 2 2 5 3 2 15" xfId="31595"/>
    <cellStyle name="Input 3 2 2 5 3 2 16" xfId="32603"/>
    <cellStyle name="Input 3 2 2 5 3 2 17" xfId="33606"/>
    <cellStyle name="Input 3 2 2 5 3 2 18" xfId="34605"/>
    <cellStyle name="Input 3 2 2 5 3 2 19" xfId="36226"/>
    <cellStyle name="Input 3 2 2 5 3 2 2" xfId="16630"/>
    <cellStyle name="Input 3 2 2 5 3 2 20" xfId="37165"/>
    <cellStyle name="Input 3 2 2 5 3 2 3" xfId="17609"/>
    <cellStyle name="Input 3 2 2 5 3 2 4" xfId="18636"/>
    <cellStyle name="Input 3 2 2 5 3 2 5" xfId="19668"/>
    <cellStyle name="Input 3 2 2 5 3 2 6" xfId="20690"/>
    <cellStyle name="Input 3 2 2 5 3 2 7" xfId="21701"/>
    <cellStyle name="Input 3 2 2 5 3 2 8" xfId="22672"/>
    <cellStyle name="Input 3 2 2 5 3 2 9" xfId="23677"/>
    <cellStyle name="Input 3 2 2 5 3 20" xfId="36225"/>
    <cellStyle name="Input 3 2 2 5 3 21" xfId="37164"/>
    <cellStyle name="Input 3 2 2 5 3 3" xfId="16629"/>
    <cellStyle name="Input 3 2 2 5 3 4" xfId="17608"/>
    <cellStyle name="Input 3 2 2 5 3 5" xfId="18635"/>
    <cellStyle name="Input 3 2 2 5 3 6" xfId="19667"/>
    <cellStyle name="Input 3 2 2 5 3 7" xfId="20689"/>
    <cellStyle name="Input 3 2 2 5 3 8" xfId="21700"/>
    <cellStyle name="Input 3 2 2 5 3 9" xfId="22671"/>
    <cellStyle name="Input 3 2 2 5 4" xfId="4838"/>
    <cellStyle name="Input 3 2 2 5 4 10" xfId="23678"/>
    <cellStyle name="Input 3 2 2 5 4 11" xfId="24650"/>
    <cellStyle name="Input 3 2 2 5 4 12" xfId="25649"/>
    <cellStyle name="Input 3 2 2 5 4 13" xfId="28596"/>
    <cellStyle name="Input 3 2 2 5 4 14" xfId="29563"/>
    <cellStyle name="Input 3 2 2 5 4 15" xfId="30605"/>
    <cellStyle name="Input 3 2 2 5 4 16" xfId="31596"/>
    <cellStyle name="Input 3 2 2 5 4 17" xfId="32604"/>
    <cellStyle name="Input 3 2 2 5 4 18" xfId="33607"/>
    <cellStyle name="Input 3 2 2 5 4 19" xfId="34606"/>
    <cellStyle name="Input 3 2 2 5 4 2" xfId="4839"/>
    <cellStyle name="Input 3 2 2 5 4 2 10" xfId="24651"/>
    <cellStyle name="Input 3 2 2 5 4 2 11" xfId="25650"/>
    <cellStyle name="Input 3 2 2 5 4 2 12" xfId="28597"/>
    <cellStyle name="Input 3 2 2 5 4 2 13" xfId="29564"/>
    <cellStyle name="Input 3 2 2 5 4 2 14" xfId="30606"/>
    <cellStyle name="Input 3 2 2 5 4 2 15" xfId="31597"/>
    <cellStyle name="Input 3 2 2 5 4 2 16" xfId="32605"/>
    <cellStyle name="Input 3 2 2 5 4 2 17" xfId="33608"/>
    <cellStyle name="Input 3 2 2 5 4 2 18" xfId="34607"/>
    <cellStyle name="Input 3 2 2 5 4 2 19" xfId="36228"/>
    <cellStyle name="Input 3 2 2 5 4 2 2" xfId="16632"/>
    <cellStyle name="Input 3 2 2 5 4 2 20" xfId="37167"/>
    <cellStyle name="Input 3 2 2 5 4 2 3" xfId="17611"/>
    <cellStyle name="Input 3 2 2 5 4 2 4" xfId="18638"/>
    <cellStyle name="Input 3 2 2 5 4 2 5" xfId="19670"/>
    <cellStyle name="Input 3 2 2 5 4 2 6" xfId="20692"/>
    <cellStyle name="Input 3 2 2 5 4 2 7" xfId="21703"/>
    <cellStyle name="Input 3 2 2 5 4 2 8" xfId="22674"/>
    <cellStyle name="Input 3 2 2 5 4 2 9" xfId="23679"/>
    <cellStyle name="Input 3 2 2 5 4 20" xfId="36227"/>
    <cellStyle name="Input 3 2 2 5 4 21" xfId="37166"/>
    <cellStyle name="Input 3 2 2 5 4 3" xfId="16631"/>
    <cellStyle name="Input 3 2 2 5 4 4" xfId="17610"/>
    <cellStyle name="Input 3 2 2 5 4 5" xfId="18637"/>
    <cellStyle name="Input 3 2 2 5 4 6" xfId="19669"/>
    <cellStyle name="Input 3 2 2 5 4 7" xfId="20691"/>
    <cellStyle name="Input 3 2 2 5 4 8" xfId="21702"/>
    <cellStyle name="Input 3 2 2 5 4 9" xfId="22673"/>
    <cellStyle name="Input 3 2 2 5 5" xfId="4840"/>
    <cellStyle name="Input 3 2 2 5 5 10" xfId="24652"/>
    <cellStyle name="Input 3 2 2 5 5 11" xfId="25651"/>
    <cellStyle name="Input 3 2 2 5 5 12" xfId="28598"/>
    <cellStyle name="Input 3 2 2 5 5 13" xfId="29565"/>
    <cellStyle name="Input 3 2 2 5 5 14" xfId="30607"/>
    <cellStyle name="Input 3 2 2 5 5 15" xfId="31598"/>
    <cellStyle name="Input 3 2 2 5 5 16" xfId="32606"/>
    <cellStyle name="Input 3 2 2 5 5 17" xfId="33609"/>
    <cellStyle name="Input 3 2 2 5 5 18" xfId="34608"/>
    <cellStyle name="Input 3 2 2 5 5 19" xfId="36229"/>
    <cellStyle name="Input 3 2 2 5 5 2" xfId="16633"/>
    <cellStyle name="Input 3 2 2 5 5 20" xfId="37168"/>
    <cellStyle name="Input 3 2 2 5 5 3" xfId="17612"/>
    <cellStyle name="Input 3 2 2 5 5 4" xfId="18639"/>
    <cellStyle name="Input 3 2 2 5 5 5" xfId="19671"/>
    <cellStyle name="Input 3 2 2 5 5 6" xfId="20693"/>
    <cellStyle name="Input 3 2 2 5 5 7" xfId="21704"/>
    <cellStyle name="Input 3 2 2 5 5 8" xfId="22675"/>
    <cellStyle name="Input 3 2 2 5 5 9" xfId="23680"/>
    <cellStyle name="Input 3 2 2 5 6" xfId="14066"/>
    <cellStyle name="Input 3 2 2 5 7" xfId="13818"/>
    <cellStyle name="Input 3 2 2 5 8" xfId="14658"/>
    <cellStyle name="Input 3 2 2 5 9" xfId="14714"/>
    <cellStyle name="Input 3 2 2 6" xfId="4841"/>
    <cellStyle name="Input 3 2 2 6 10" xfId="23681"/>
    <cellStyle name="Input 3 2 2 6 11" xfId="24653"/>
    <cellStyle name="Input 3 2 2 6 12" xfId="25652"/>
    <cellStyle name="Input 3 2 2 6 13" xfId="28599"/>
    <cellStyle name="Input 3 2 2 6 14" xfId="29566"/>
    <cellStyle name="Input 3 2 2 6 15" xfId="30608"/>
    <cellStyle name="Input 3 2 2 6 16" xfId="31599"/>
    <cellStyle name="Input 3 2 2 6 17" xfId="32607"/>
    <cellStyle name="Input 3 2 2 6 18" xfId="33610"/>
    <cellStyle name="Input 3 2 2 6 19" xfId="34609"/>
    <cellStyle name="Input 3 2 2 6 2" xfId="4842"/>
    <cellStyle name="Input 3 2 2 6 2 10" xfId="24654"/>
    <cellStyle name="Input 3 2 2 6 2 11" xfId="25653"/>
    <cellStyle name="Input 3 2 2 6 2 12" xfId="28600"/>
    <cellStyle name="Input 3 2 2 6 2 13" xfId="29567"/>
    <cellStyle name="Input 3 2 2 6 2 14" xfId="30609"/>
    <cellStyle name="Input 3 2 2 6 2 15" xfId="31600"/>
    <cellStyle name="Input 3 2 2 6 2 16" xfId="32608"/>
    <cellStyle name="Input 3 2 2 6 2 17" xfId="33611"/>
    <cellStyle name="Input 3 2 2 6 2 18" xfId="34610"/>
    <cellStyle name="Input 3 2 2 6 2 19" xfId="36231"/>
    <cellStyle name="Input 3 2 2 6 2 2" xfId="16635"/>
    <cellStyle name="Input 3 2 2 6 2 20" xfId="37170"/>
    <cellStyle name="Input 3 2 2 6 2 3" xfId="17614"/>
    <cellStyle name="Input 3 2 2 6 2 4" xfId="18641"/>
    <cellStyle name="Input 3 2 2 6 2 5" xfId="19673"/>
    <cellStyle name="Input 3 2 2 6 2 6" xfId="20695"/>
    <cellStyle name="Input 3 2 2 6 2 7" xfId="21706"/>
    <cellStyle name="Input 3 2 2 6 2 8" xfId="22677"/>
    <cellStyle name="Input 3 2 2 6 2 9" xfId="23682"/>
    <cellStyle name="Input 3 2 2 6 20" xfId="36230"/>
    <cellStyle name="Input 3 2 2 6 21" xfId="37169"/>
    <cellStyle name="Input 3 2 2 6 3" xfId="16634"/>
    <cellStyle name="Input 3 2 2 6 4" xfId="17613"/>
    <cellStyle name="Input 3 2 2 6 5" xfId="18640"/>
    <cellStyle name="Input 3 2 2 6 6" xfId="19672"/>
    <cellStyle name="Input 3 2 2 6 7" xfId="20694"/>
    <cellStyle name="Input 3 2 2 6 8" xfId="21705"/>
    <cellStyle name="Input 3 2 2 6 9" xfId="22676"/>
    <cellStyle name="Input 3 2 2 7" xfId="4843"/>
    <cellStyle name="Input 3 2 2 7 10" xfId="23683"/>
    <cellStyle name="Input 3 2 2 7 11" xfId="24655"/>
    <cellStyle name="Input 3 2 2 7 12" xfId="25654"/>
    <cellStyle name="Input 3 2 2 7 13" xfId="28601"/>
    <cellStyle name="Input 3 2 2 7 14" xfId="29568"/>
    <cellStyle name="Input 3 2 2 7 15" xfId="30610"/>
    <cellStyle name="Input 3 2 2 7 16" xfId="31601"/>
    <cellStyle name="Input 3 2 2 7 17" xfId="32609"/>
    <cellStyle name="Input 3 2 2 7 18" xfId="33612"/>
    <cellStyle name="Input 3 2 2 7 19" xfId="34611"/>
    <cellStyle name="Input 3 2 2 7 2" xfId="4844"/>
    <cellStyle name="Input 3 2 2 7 2 10" xfId="24656"/>
    <cellStyle name="Input 3 2 2 7 2 11" xfId="25655"/>
    <cellStyle name="Input 3 2 2 7 2 12" xfId="28602"/>
    <cellStyle name="Input 3 2 2 7 2 13" xfId="29569"/>
    <cellStyle name="Input 3 2 2 7 2 14" xfId="30611"/>
    <cellStyle name="Input 3 2 2 7 2 15" xfId="31602"/>
    <cellStyle name="Input 3 2 2 7 2 16" xfId="32610"/>
    <cellStyle name="Input 3 2 2 7 2 17" xfId="33613"/>
    <cellStyle name="Input 3 2 2 7 2 18" xfId="34612"/>
    <cellStyle name="Input 3 2 2 7 2 19" xfId="36233"/>
    <cellStyle name="Input 3 2 2 7 2 2" xfId="16637"/>
    <cellStyle name="Input 3 2 2 7 2 20" xfId="37172"/>
    <cellStyle name="Input 3 2 2 7 2 3" xfId="17616"/>
    <cellStyle name="Input 3 2 2 7 2 4" xfId="18643"/>
    <cellStyle name="Input 3 2 2 7 2 5" xfId="19675"/>
    <cellStyle name="Input 3 2 2 7 2 6" xfId="20697"/>
    <cellStyle name="Input 3 2 2 7 2 7" xfId="21708"/>
    <cellStyle name="Input 3 2 2 7 2 8" xfId="22679"/>
    <cellStyle name="Input 3 2 2 7 2 9" xfId="23684"/>
    <cellStyle name="Input 3 2 2 7 20" xfId="36232"/>
    <cellStyle name="Input 3 2 2 7 21" xfId="37171"/>
    <cellStyle name="Input 3 2 2 7 3" xfId="16636"/>
    <cellStyle name="Input 3 2 2 7 4" xfId="17615"/>
    <cellStyle name="Input 3 2 2 7 5" xfId="18642"/>
    <cellStyle name="Input 3 2 2 7 6" xfId="19674"/>
    <cellStyle name="Input 3 2 2 7 7" xfId="20696"/>
    <cellStyle name="Input 3 2 2 7 8" xfId="21707"/>
    <cellStyle name="Input 3 2 2 7 9" xfId="22678"/>
    <cellStyle name="Input 3 2 2 8" xfId="4845"/>
    <cellStyle name="Input 3 2 2 8 10" xfId="23685"/>
    <cellStyle name="Input 3 2 2 8 11" xfId="24657"/>
    <cellStyle name="Input 3 2 2 8 12" xfId="25656"/>
    <cellStyle name="Input 3 2 2 8 13" xfId="28603"/>
    <cellStyle name="Input 3 2 2 8 14" xfId="29570"/>
    <cellStyle name="Input 3 2 2 8 15" xfId="30612"/>
    <cellStyle name="Input 3 2 2 8 16" xfId="31603"/>
    <cellStyle name="Input 3 2 2 8 17" xfId="32611"/>
    <cellStyle name="Input 3 2 2 8 18" xfId="33614"/>
    <cellStyle name="Input 3 2 2 8 19" xfId="34613"/>
    <cellStyle name="Input 3 2 2 8 2" xfId="4846"/>
    <cellStyle name="Input 3 2 2 8 2 10" xfId="24658"/>
    <cellStyle name="Input 3 2 2 8 2 11" xfId="25657"/>
    <cellStyle name="Input 3 2 2 8 2 12" xfId="28604"/>
    <cellStyle name="Input 3 2 2 8 2 13" xfId="29571"/>
    <cellStyle name="Input 3 2 2 8 2 14" xfId="30613"/>
    <cellStyle name="Input 3 2 2 8 2 15" xfId="31604"/>
    <cellStyle name="Input 3 2 2 8 2 16" xfId="32612"/>
    <cellStyle name="Input 3 2 2 8 2 17" xfId="33615"/>
    <cellStyle name="Input 3 2 2 8 2 18" xfId="34614"/>
    <cellStyle name="Input 3 2 2 8 2 19" xfId="36235"/>
    <cellStyle name="Input 3 2 2 8 2 2" xfId="16639"/>
    <cellStyle name="Input 3 2 2 8 2 20" xfId="37174"/>
    <cellStyle name="Input 3 2 2 8 2 3" xfId="17618"/>
    <cellStyle name="Input 3 2 2 8 2 4" xfId="18645"/>
    <cellStyle name="Input 3 2 2 8 2 5" xfId="19677"/>
    <cellStyle name="Input 3 2 2 8 2 6" xfId="20699"/>
    <cellStyle name="Input 3 2 2 8 2 7" xfId="21710"/>
    <cellStyle name="Input 3 2 2 8 2 8" xfId="22681"/>
    <cellStyle name="Input 3 2 2 8 2 9" xfId="23686"/>
    <cellStyle name="Input 3 2 2 8 20" xfId="36234"/>
    <cellStyle name="Input 3 2 2 8 21" xfId="37173"/>
    <cellStyle name="Input 3 2 2 8 3" xfId="16638"/>
    <cellStyle name="Input 3 2 2 8 4" xfId="17617"/>
    <cellStyle name="Input 3 2 2 8 5" xfId="18644"/>
    <cellStyle name="Input 3 2 2 8 6" xfId="19676"/>
    <cellStyle name="Input 3 2 2 8 7" xfId="20698"/>
    <cellStyle name="Input 3 2 2 8 8" xfId="21709"/>
    <cellStyle name="Input 3 2 2 8 9" xfId="22680"/>
    <cellStyle name="Input 3 2 2 9" xfId="4847"/>
    <cellStyle name="Input 3 2 2 9 10" xfId="24659"/>
    <cellStyle name="Input 3 2 2 9 11" xfId="25658"/>
    <cellStyle name="Input 3 2 2 9 12" xfId="28605"/>
    <cellStyle name="Input 3 2 2 9 13" xfId="29572"/>
    <cellStyle name="Input 3 2 2 9 14" xfId="30614"/>
    <cellStyle name="Input 3 2 2 9 15" xfId="31605"/>
    <cellStyle name="Input 3 2 2 9 16" xfId="32613"/>
    <cellStyle name="Input 3 2 2 9 17" xfId="33616"/>
    <cellStyle name="Input 3 2 2 9 18" xfId="34615"/>
    <cellStyle name="Input 3 2 2 9 19" xfId="36236"/>
    <cellStyle name="Input 3 2 2 9 2" xfId="16640"/>
    <cellStyle name="Input 3 2 2 9 20" xfId="37175"/>
    <cellStyle name="Input 3 2 2 9 3" xfId="17619"/>
    <cellStyle name="Input 3 2 2 9 4" xfId="18646"/>
    <cellStyle name="Input 3 2 2 9 5" xfId="19678"/>
    <cellStyle name="Input 3 2 2 9 6" xfId="20700"/>
    <cellStyle name="Input 3 2 2 9 7" xfId="21711"/>
    <cellStyle name="Input 3 2 2 9 8" xfId="22682"/>
    <cellStyle name="Input 3 2 2 9 9" xfId="23687"/>
    <cellStyle name="Input 3 2 20" xfId="34867"/>
    <cellStyle name="Input 3 2 21" xfId="34859"/>
    <cellStyle name="Input 3 2 22" xfId="35375"/>
    <cellStyle name="Input 3 2 23" xfId="37482"/>
    <cellStyle name="Input 3 2 3" xfId="4848"/>
    <cellStyle name="Input 3 2 3 10" xfId="15178"/>
    <cellStyle name="Input 3 2 3 11" xfId="14209"/>
    <cellStyle name="Input 3 2 3 12" xfId="13923"/>
    <cellStyle name="Input 3 2 3 13" xfId="14692"/>
    <cellStyle name="Input 3 2 3 14" xfId="15362"/>
    <cellStyle name="Input 3 2 3 15" xfId="13891"/>
    <cellStyle name="Input 3 2 3 16" xfId="26518"/>
    <cellStyle name="Input 3 2 3 17" xfId="27044"/>
    <cellStyle name="Input 3 2 3 18" xfId="26199"/>
    <cellStyle name="Input 3 2 3 19" xfId="26703"/>
    <cellStyle name="Input 3 2 3 2" xfId="4849"/>
    <cellStyle name="Input 3 2 3 2 10" xfId="23688"/>
    <cellStyle name="Input 3 2 3 2 11" xfId="24660"/>
    <cellStyle name="Input 3 2 3 2 12" xfId="25659"/>
    <cellStyle name="Input 3 2 3 2 13" xfId="28606"/>
    <cellStyle name="Input 3 2 3 2 14" xfId="29573"/>
    <cellStyle name="Input 3 2 3 2 15" xfId="30615"/>
    <cellStyle name="Input 3 2 3 2 16" xfId="31606"/>
    <cellStyle name="Input 3 2 3 2 17" xfId="32614"/>
    <cellStyle name="Input 3 2 3 2 18" xfId="33617"/>
    <cellStyle name="Input 3 2 3 2 19" xfId="34616"/>
    <cellStyle name="Input 3 2 3 2 2" xfId="4850"/>
    <cellStyle name="Input 3 2 3 2 2 10" xfId="24661"/>
    <cellStyle name="Input 3 2 3 2 2 11" xfId="25660"/>
    <cellStyle name="Input 3 2 3 2 2 12" xfId="28607"/>
    <cellStyle name="Input 3 2 3 2 2 13" xfId="29574"/>
    <cellStyle name="Input 3 2 3 2 2 14" xfId="30616"/>
    <cellStyle name="Input 3 2 3 2 2 15" xfId="31607"/>
    <cellStyle name="Input 3 2 3 2 2 16" xfId="32615"/>
    <cellStyle name="Input 3 2 3 2 2 17" xfId="33618"/>
    <cellStyle name="Input 3 2 3 2 2 18" xfId="34617"/>
    <cellStyle name="Input 3 2 3 2 2 19" xfId="36238"/>
    <cellStyle name="Input 3 2 3 2 2 2" xfId="16642"/>
    <cellStyle name="Input 3 2 3 2 2 20" xfId="37177"/>
    <cellStyle name="Input 3 2 3 2 2 3" xfId="17621"/>
    <cellStyle name="Input 3 2 3 2 2 4" xfId="18648"/>
    <cellStyle name="Input 3 2 3 2 2 5" xfId="19680"/>
    <cellStyle name="Input 3 2 3 2 2 6" xfId="20702"/>
    <cellStyle name="Input 3 2 3 2 2 7" xfId="21713"/>
    <cellStyle name="Input 3 2 3 2 2 8" xfId="22684"/>
    <cellStyle name="Input 3 2 3 2 2 9" xfId="23689"/>
    <cellStyle name="Input 3 2 3 2 20" xfId="36237"/>
    <cellStyle name="Input 3 2 3 2 21" xfId="37176"/>
    <cellStyle name="Input 3 2 3 2 3" xfId="16641"/>
    <cellStyle name="Input 3 2 3 2 4" xfId="17620"/>
    <cellStyle name="Input 3 2 3 2 5" xfId="18647"/>
    <cellStyle name="Input 3 2 3 2 6" xfId="19679"/>
    <cellStyle name="Input 3 2 3 2 7" xfId="20701"/>
    <cellStyle name="Input 3 2 3 2 8" xfId="21712"/>
    <cellStyle name="Input 3 2 3 2 9" xfId="22683"/>
    <cellStyle name="Input 3 2 3 20" xfId="26614"/>
    <cellStyle name="Input 3 2 3 21" xfId="26273"/>
    <cellStyle name="Input 3 2 3 22" xfId="26800"/>
    <cellStyle name="Input 3 2 3 23" xfId="35186"/>
    <cellStyle name="Input 3 2 3 24" xfId="35384"/>
    <cellStyle name="Input 3 2 3 3" xfId="4851"/>
    <cellStyle name="Input 3 2 3 3 10" xfId="23690"/>
    <cellStyle name="Input 3 2 3 3 11" xfId="24662"/>
    <cellStyle name="Input 3 2 3 3 12" xfId="25661"/>
    <cellStyle name="Input 3 2 3 3 13" xfId="28608"/>
    <cellStyle name="Input 3 2 3 3 14" xfId="29575"/>
    <cellStyle name="Input 3 2 3 3 15" xfId="30617"/>
    <cellStyle name="Input 3 2 3 3 16" xfId="31608"/>
    <cellStyle name="Input 3 2 3 3 17" xfId="32616"/>
    <cellStyle name="Input 3 2 3 3 18" xfId="33619"/>
    <cellStyle name="Input 3 2 3 3 19" xfId="34618"/>
    <cellStyle name="Input 3 2 3 3 2" xfId="4852"/>
    <cellStyle name="Input 3 2 3 3 2 10" xfId="24663"/>
    <cellStyle name="Input 3 2 3 3 2 11" xfId="25662"/>
    <cellStyle name="Input 3 2 3 3 2 12" xfId="28609"/>
    <cellStyle name="Input 3 2 3 3 2 13" xfId="29576"/>
    <cellStyle name="Input 3 2 3 3 2 14" xfId="30618"/>
    <cellStyle name="Input 3 2 3 3 2 15" xfId="31609"/>
    <cellStyle name="Input 3 2 3 3 2 16" xfId="32617"/>
    <cellStyle name="Input 3 2 3 3 2 17" xfId="33620"/>
    <cellStyle name="Input 3 2 3 3 2 18" xfId="34619"/>
    <cellStyle name="Input 3 2 3 3 2 19" xfId="36240"/>
    <cellStyle name="Input 3 2 3 3 2 2" xfId="16644"/>
    <cellStyle name="Input 3 2 3 3 2 20" xfId="37179"/>
    <cellStyle name="Input 3 2 3 3 2 3" xfId="17623"/>
    <cellStyle name="Input 3 2 3 3 2 4" xfId="18650"/>
    <cellStyle name="Input 3 2 3 3 2 5" xfId="19682"/>
    <cellStyle name="Input 3 2 3 3 2 6" xfId="20704"/>
    <cellStyle name="Input 3 2 3 3 2 7" xfId="21715"/>
    <cellStyle name="Input 3 2 3 3 2 8" xfId="22686"/>
    <cellStyle name="Input 3 2 3 3 2 9" xfId="23691"/>
    <cellStyle name="Input 3 2 3 3 20" xfId="36239"/>
    <cellStyle name="Input 3 2 3 3 21" xfId="37178"/>
    <cellStyle name="Input 3 2 3 3 3" xfId="16643"/>
    <cellStyle name="Input 3 2 3 3 4" xfId="17622"/>
    <cellStyle name="Input 3 2 3 3 5" xfId="18649"/>
    <cellStyle name="Input 3 2 3 3 6" xfId="19681"/>
    <cellStyle name="Input 3 2 3 3 7" xfId="20703"/>
    <cellStyle name="Input 3 2 3 3 8" xfId="21714"/>
    <cellStyle name="Input 3 2 3 3 9" xfId="22685"/>
    <cellStyle name="Input 3 2 3 4" xfId="4853"/>
    <cellStyle name="Input 3 2 3 4 10" xfId="23692"/>
    <cellStyle name="Input 3 2 3 4 11" xfId="24664"/>
    <cellStyle name="Input 3 2 3 4 12" xfId="25663"/>
    <cellStyle name="Input 3 2 3 4 13" xfId="28610"/>
    <cellStyle name="Input 3 2 3 4 14" xfId="29577"/>
    <cellStyle name="Input 3 2 3 4 15" xfId="30619"/>
    <cellStyle name="Input 3 2 3 4 16" xfId="31610"/>
    <cellStyle name="Input 3 2 3 4 17" xfId="32618"/>
    <cellStyle name="Input 3 2 3 4 18" xfId="33621"/>
    <cellStyle name="Input 3 2 3 4 19" xfId="34620"/>
    <cellStyle name="Input 3 2 3 4 2" xfId="4854"/>
    <cellStyle name="Input 3 2 3 4 2 10" xfId="24665"/>
    <cellStyle name="Input 3 2 3 4 2 11" xfId="25664"/>
    <cellStyle name="Input 3 2 3 4 2 12" xfId="28611"/>
    <cellStyle name="Input 3 2 3 4 2 13" xfId="29578"/>
    <cellStyle name="Input 3 2 3 4 2 14" xfId="30620"/>
    <cellStyle name="Input 3 2 3 4 2 15" xfId="31611"/>
    <cellStyle name="Input 3 2 3 4 2 16" xfId="32619"/>
    <cellStyle name="Input 3 2 3 4 2 17" xfId="33622"/>
    <cellStyle name="Input 3 2 3 4 2 18" xfId="34621"/>
    <cellStyle name="Input 3 2 3 4 2 19" xfId="36242"/>
    <cellStyle name="Input 3 2 3 4 2 2" xfId="16646"/>
    <cellStyle name="Input 3 2 3 4 2 20" xfId="37181"/>
    <cellStyle name="Input 3 2 3 4 2 3" xfId="17625"/>
    <cellStyle name="Input 3 2 3 4 2 4" xfId="18652"/>
    <cellStyle name="Input 3 2 3 4 2 5" xfId="19684"/>
    <cellStyle name="Input 3 2 3 4 2 6" xfId="20706"/>
    <cellStyle name="Input 3 2 3 4 2 7" xfId="21717"/>
    <cellStyle name="Input 3 2 3 4 2 8" xfId="22688"/>
    <cellStyle name="Input 3 2 3 4 2 9" xfId="23693"/>
    <cellStyle name="Input 3 2 3 4 20" xfId="36241"/>
    <cellStyle name="Input 3 2 3 4 21" xfId="37180"/>
    <cellStyle name="Input 3 2 3 4 3" xfId="16645"/>
    <cellStyle name="Input 3 2 3 4 4" xfId="17624"/>
    <cellStyle name="Input 3 2 3 4 5" xfId="18651"/>
    <cellStyle name="Input 3 2 3 4 6" xfId="19683"/>
    <cellStyle name="Input 3 2 3 4 7" xfId="20705"/>
    <cellStyle name="Input 3 2 3 4 8" xfId="21716"/>
    <cellStyle name="Input 3 2 3 4 9" xfId="22687"/>
    <cellStyle name="Input 3 2 3 5" xfId="4855"/>
    <cellStyle name="Input 3 2 3 5 10" xfId="24666"/>
    <cellStyle name="Input 3 2 3 5 11" xfId="25665"/>
    <cellStyle name="Input 3 2 3 5 12" xfId="28612"/>
    <cellStyle name="Input 3 2 3 5 13" xfId="29579"/>
    <cellStyle name="Input 3 2 3 5 14" xfId="30621"/>
    <cellStyle name="Input 3 2 3 5 15" xfId="31612"/>
    <cellStyle name="Input 3 2 3 5 16" xfId="32620"/>
    <cellStyle name="Input 3 2 3 5 17" xfId="33623"/>
    <cellStyle name="Input 3 2 3 5 18" xfId="34622"/>
    <cellStyle name="Input 3 2 3 5 19" xfId="36243"/>
    <cellStyle name="Input 3 2 3 5 2" xfId="16647"/>
    <cellStyle name="Input 3 2 3 5 20" xfId="37182"/>
    <cellStyle name="Input 3 2 3 5 3" xfId="17626"/>
    <cellStyle name="Input 3 2 3 5 4" xfId="18653"/>
    <cellStyle name="Input 3 2 3 5 5" xfId="19685"/>
    <cellStyle name="Input 3 2 3 5 6" xfId="20707"/>
    <cellStyle name="Input 3 2 3 5 7" xfId="21718"/>
    <cellStyle name="Input 3 2 3 5 8" xfId="22689"/>
    <cellStyle name="Input 3 2 3 5 9" xfId="23694"/>
    <cellStyle name="Input 3 2 3 6" xfId="13958"/>
    <cellStyle name="Input 3 2 3 7" xfId="13963"/>
    <cellStyle name="Input 3 2 3 8" xfId="15425"/>
    <cellStyle name="Input 3 2 3 9" xfId="14997"/>
    <cellStyle name="Input 3 2 4" xfId="4856"/>
    <cellStyle name="Input 3 2 4 10" xfId="23695"/>
    <cellStyle name="Input 3 2 4 11" xfId="24667"/>
    <cellStyle name="Input 3 2 4 12" xfId="25666"/>
    <cellStyle name="Input 3 2 4 13" xfId="28613"/>
    <cellStyle name="Input 3 2 4 14" xfId="29580"/>
    <cellStyle name="Input 3 2 4 15" xfId="30622"/>
    <cellStyle name="Input 3 2 4 16" xfId="31613"/>
    <cellStyle name="Input 3 2 4 17" xfId="32621"/>
    <cellStyle name="Input 3 2 4 18" xfId="33624"/>
    <cellStyle name="Input 3 2 4 19" xfId="34623"/>
    <cellStyle name="Input 3 2 4 2" xfId="4857"/>
    <cellStyle name="Input 3 2 4 2 10" xfId="24668"/>
    <cellStyle name="Input 3 2 4 2 11" xfId="25667"/>
    <cellStyle name="Input 3 2 4 2 12" xfId="28614"/>
    <cellStyle name="Input 3 2 4 2 13" xfId="29581"/>
    <cellStyle name="Input 3 2 4 2 14" xfId="30623"/>
    <cellStyle name="Input 3 2 4 2 15" xfId="31614"/>
    <cellStyle name="Input 3 2 4 2 16" xfId="32622"/>
    <cellStyle name="Input 3 2 4 2 17" xfId="33625"/>
    <cellStyle name="Input 3 2 4 2 18" xfId="34624"/>
    <cellStyle name="Input 3 2 4 2 19" xfId="36245"/>
    <cellStyle name="Input 3 2 4 2 2" xfId="16649"/>
    <cellStyle name="Input 3 2 4 2 20" xfId="37184"/>
    <cellStyle name="Input 3 2 4 2 3" xfId="17628"/>
    <cellStyle name="Input 3 2 4 2 4" xfId="18655"/>
    <cellStyle name="Input 3 2 4 2 5" xfId="19687"/>
    <cellStyle name="Input 3 2 4 2 6" xfId="20709"/>
    <cellStyle name="Input 3 2 4 2 7" xfId="21720"/>
    <cellStyle name="Input 3 2 4 2 8" xfId="22691"/>
    <cellStyle name="Input 3 2 4 2 9" xfId="23696"/>
    <cellStyle name="Input 3 2 4 20" xfId="36244"/>
    <cellStyle name="Input 3 2 4 21" xfId="37183"/>
    <cellStyle name="Input 3 2 4 3" xfId="16648"/>
    <cellStyle name="Input 3 2 4 4" xfId="17627"/>
    <cellStyle name="Input 3 2 4 5" xfId="18654"/>
    <cellStyle name="Input 3 2 4 6" xfId="19686"/>
    <cellStyle name="Input 3 2 4 7" xfId="20708"/>
    <cellStyle name="Input 3 2 4 8" xfId="21719"/>
    <cellStyle name="Input 3 2 4 9" xfId="22690"/>
    <cellStyle name="Input 3 2 5" xfId="4858"/>
    <cellStyle name="Input 3 2 5 10" xfId="23697"/>
    <cellStyle name="Input 3 2 5 11" xfId="24669"/>
    <cellStyle name="Input 3 2 5 12" xfId="25668"/>
    <cellStyle name="Input 3 2 5 13" xfId="28615"/>
    <cellStyle name="Input 3 2 5 14" xfId="29582"/>
    <cellStyle name="Input 3 2 5 15" xfId="30624"/>
    <cellStyle name="Input 3 2 5 16" xfId="31615"/>
    <cellStyle name="Input 3 2 5 17" xfId="32623"/>
    <cellStyle name="Input 3 2 5 18" xfId="33626"/>
    <cellStyle name="Input 3 2 5 19" xfId="34625"/>
    <cellStyle name="Input 3 2 5 2" xfId="4859"/>
    <cellStyle name="Input 3 2 5 2 10" xfId="24670"/>
    <cellStyle name="Input 3 2 5 2 11" xfId="25669"/>
    <cellStyle name="Input 3 2 5 2 12" xfId="28616"/>
    <cellStyle name="Input 3 2 5 2 13" xfId="29583"/>
    <cellStyle name="Input 3 2 5 2 14" xfId="30625"/>
    <cellStyle name="Input 3 2 5 2 15" xfId="31616"/>
    <cellStyle name="Input 3 2 5 2 16" xfId="32624"/>
    <cellStyle name="Input 3 2 5 2 17" xfId="33627"/>
    <cellStyle name="Input 3 2 5 2 18" xfId="34626"/>
    <cellStyle name="Input 3 2 5 2 19" xfId="36247"/>
    <cellStyle name="Input 3 2 5 2 2" xfId="16651"/>
    <cellStyle name="Input 3 2 5 2 20" xfId="37186"/>
    <cellStyle name="Input 3 2 5 2 3" xfId="17630"/>
    <cellStyle name="Input 3 2 5 2 4" xfId="18657"/>
    <cellStyle name="Input 3 2 5 2 5" xfId="19689"/>
    <cellStyle name="Input 3 2 5 2 6" xfId="20711"/>
    <cellStyle name="Input 3 2 5 2 7" xfId="21722"/>
    <cellStyle name="Input 3 2 5 2 8" xfId="22693"/>
    <cellStyle name="Input 3 2 5 2 9" xfId="23698"/>
    <cellStyle name="Input 3 2 5 20" xfId="36246"/>
    <cellStyle name="Input 3 2 5 21" xfId="37185"/>
    <cellStyle name="Input 3 2 5 3" xfId="16650"/>
    <cellStyle name="Input 3 2 5 4" xfId="17629"/>
    <cellStyle name="Input 3 2 5 5" xfId="18656"/>
    <cellStyle name="Input 3 2 5 6" xfId="19688"/>
    <cellStyle name="Input 3 2 5 7" xfId="20710"/>
    <cellStyle name="Input 3 2 5 8" xfId="21721"/>
    <cellStyle name="Input 3 2 5 9" xfId="22692"/>
    <cellStyle name="Input 3 2 6" xfId="4860"/>
    <cellStyle name="Input 3 2 6 10" xfId="23699"/>
    <cellStyle name="Input 3 2 6 11" xfId="24671"/>
    <cellStyle name="Input 3 2 6 12" xfId="25670"/>
    <cellStyle name="Input 3 2 6 13" xfId="28617"/>
    <cellStyle name="Input 3 2 6 14" xfId="29584"/>
    <cellStyle name="Input 3 2 6 15" xfId="30626"/>
    <cellStyle name="Input 3 2 6 16" xfId="31617"/>
    <cellStyle name="Input 3 2 6 17" xfId="32625"/>
    <cellStyle name="Input 3 2 6 18" xfId="33628"/>
    <cellStyle name="Input 3 2 6 19" xfId="34627"/>
    <cellStyle name="Input 3 2 6 2" xfId="4861"/>
    <cellStyle name="Input 3 2 6 2 10" xfId="24672"/>
    <cellStyle name="Input 3 2 6 2 11" xfId="25671"/>
    <cellStyle name="Input 3 2 6 2 12" xfId="28618"/>
    <cellStyle name="Input 3 2 6 2 13" xfId="29585"/>
    <cellStyle name="Input 3 2 6 2 14" xfId="30627"/>
    <cellStyle name="Input 3 2 6 2 15" xfId="31618"/>
    <cellStyle name="Input 3 2 6 2 16" xfId="32626"/>
    <cellStyle name="Input 3 2 6 2 17" xfId="33629"/>
    <cellStyle name="Input 3 2 6 2 18" xfId="34628"/>
    <cellStyle name="Input 3 2 6 2 19" xfId="36249"/>
    <cellStyle name="Input 3 2 6 2 2" xfId="16653"/>
    <cellStyle name="Input 3 2 6 2 20" xfId="37188"/>
    <cellStyle name="Input 3 2 6 2 3" xfId="17632"/>
    <cellStyle name="Input 3 2 6 2 4" xfId="18659"/>
    <cellStyle name="Input 3 2 6 2 5" xfId="19691"/>
    <cellStyle name="Input 3 2 6 2 6" xfId="20713"/>
    <cellStyle name="Input 3 2 6 2 7" xfId="21724"/>
    <cellStyle name="Input 3 2 6 2 8" xfId="22695"/>
    <cellStyle name="Input 3 2 6 2 9" xfId="23700"/>
    <cellStyle name="Input 3 2 6 20" xfId="36248"/>
    <cellStyle name="Input 3 2 6 21" xfId="37187"/>
    <cellStyle name="Input 3 2 6 3" xfId="16652"/>
    <cellStyle name="Input 3 2 6 4" xfId="17631"/>
    <cellStyle name="Input 3 2 6 5" xfId="18658"/>
    <cellStyle name="Input 3 2 6 6" xfId="19690"/>
    <cellStyle name="Input 3 2 6 7" xfId="20712"/>
    <cellStyle name="Input 3 2 6 8" xfId="21723"/>
    <cellStyle name="Input 3 2 6 9" xfId="22694"/>
    <cellStyle name="Input 3 2 7" xfId="4862"/>
    <cellStyle name="Input 3 2 7 10" xfId="24673"/>
    <cellStyle name="Input 3 2 7 11" xfId="25672"/>
    <cellStyle name="Input 3 2 7 12" xfId="28619"/>
    <cellStyle name="Input 3 2 7 13" xfId="29586"/>
    <cellStyle name="Input 3 2 7 14" xfId="30628"/>
    <cellStyle name="Input 3 2 7 15" xfId="31619"/>
    <cellStyle name="Input 3 2 7 16" xfId="32627"/>
    <cellStyle name="Input 3 2 7 17" xfId="33630"/>
    <cellStyle name="Input 3 2 7 18" xfId="34629"/>
    <cellStyle name="Input 3 2 7 19" xfId="36250"/>
    <cellStyle name="Input 3 2 7 2" xfId="16654"/>
    <cellStyle name="Input 3 2 7 20" xfId="37189"/>
    <cellStyle name="Input 3 2 7 3" xfId="17633"/>
    <cellStyle name="Input 3 2 7 4" xfId="18660"/>
    <cellStyle name="Input 3 2 7 5" xfId="19692"/>
    <cellStyle name="Input 3 2 7 6" xfId="20714"/>
    <cellStyle name="Input 3 2 7 7" xfId="21725"/>
    <cellStyle name="Input 3 2 7 8" xfId="22696"/>
    <cellStyle name="Input 3 2 7 9" xfId="23701"/>
    <cellStyle name="Input 3 2 8" xfId="13653"/>
    <cellStyle name="Input 3 2 9" xfId="18915"/>
    <cellStyle name="Input 3 3" xfId="4863"/>
    <cellStyle name="Input 3 3 10" xfId="14025"/>
    <cellStyle name="Input 3 3 11" xfId="13807"/>
    <cellStyle name="Input 3 3 12" xfId="15507"/>
    <cellStyle name="Input 3 3 13" xfId="14772"/>
    <cellStyle name="Input 3 3 14" xfId="14514"/>
    <cellStyle name="Input 3 3 15" xfId="15725"/>
    <cellStyle name="Input 3 3 16" xfId="26284"/>
    <cellStyle name="Input 3 3 17" xfId="27191"/>
    <cellStyle name="Input 3 3 18" xfId="27511"/>
    <cellStyle name="Input 3 3 19" xfId="26186"/>
    <cellStyle name="Input 3 3 2" xfId="4864"/>
    <cellStyle name="Input 3 3 2 10" xfId="14823"/>
    <cellStyle name="Input 3 3 2 11" xfId="14117"/>
    <cellStyle name="Input 3 3 2 12" xfId="26337"/>
    <cellStyle name="Input 3 3 2 13" xfId="27153"/>
    <cellStyle name="Input 3 3 2 14" xfId="26253"/>
    <cellStyle name="Input 3 3 2 15" xfId="26734"/>
    <cellStyle name="Input 3 3 2 16" xfId="26272"/>
    <cellStyle name="Input 3 3 2 17" xfId="27381"/>
    <cellStyle name="Input 3 3 2 18" xfId="35032"/>
    <cellStyle name="Input 3 3 2 19" xfId="35443"/>
    <cellStyle name="Input 3 3 2 2" xfId="4865"/>
    <cellStyle name="Input 3 3 2 2 10" xfId="23702"/>
    <cellStyle name="Input 3 3 2 2 11" xfId="24674"/>
    <cellStyle name="Input 3 3 2 2 12" xfId="25673"/>
    <cellStyle name="Input 3 3 2 2 13" xfId="28620"/>
    <cellStyle name="Input 3 3 2 2 14" xfId="29587"/>
    <cellStyle name="Input 3 3 2 2 15" xfId="30629"/>
    <cellStyle name="Input 3 3 2 2 16" xfId="31620"/>
    <cellStyle name="Input 3 3 2 2 17" xfId="32628"/>
    <cellStyle name="Input 3 3 2 2 18" xfId="33631"/>
    <cellStyle name="Input 3 3 2 2 19" xfId="34630"/>
    <cellStyle name="Input 3 3 2 2 2" xfId="4866"/>
    <cellStyle name="Input 3 3 2 2 2 10" xfId="24675"/>
    <cellStyle name="Input 3 3 2 2 2 11" xfId="25674"/>
    <cellStyle name="Input 3 3 2 2 2 12" xfId="28621"/>
    <cellStyle name="Input 3 3 2 2 2 13" xfId="29588"/>
    <cellStyle name="Input 3 3 2 2 2 14" xfId="30630"/>
    <cellStyle name="Input 3 3 2 2 2 15" xfId="31621"/>
    <cellStyle name="Input 3 3 2 2 2 16" xfId="32629"/>
    <cellStyle name="Input 3 3 2 2 2 17" xfId="33632"/>
    <cellStyle name="Input 3 3 2 2 2 18" xfId="34631"/>
    <cellStyle name="Input 3 3 2 2 2 19" xfId="36252"/>
    <cellStyle name="Input 3 3 2 2 2 2" xfId="16656"/>
    <cellStyle name="Input 3 3 2 2 2 20" xfId="37191"/>
    <cellStyle name="Input 3 3 2 2 2 3" xfId="17635"/>
    <cellStyle name="Input 3 3 2 2 2 4" xfId="18662"/>
    <cellStyle name="Input 3 3 2 2 2 5" xfId="19694"/>
    <cellStyle name="Input 3 3 2 2 2 6" xfId="20716"/>
    <cellStyle name="Input 3 3 2 2 2 7" xfId="21727"/>
    <cellStyle name="Input 3 3 2 2 2 8" xfId="22698"/>
    <cellStyle name="Input 3 3 2 2 2 9" xfId="23703"/>
    <cellStyle name="Input 3 3 2 2 20" xfId="36251"/>
    <cellStyle name="Input 3 3 2 2 21" xfId="37190"/>
    <cellStyle name="Input 3 3 2 2 3" xfId="16655"/>
    <cellStyle name="Input 3 3 2 2 4" xfId="17634"/>
    <cellStyle name="Input 3 3 2 2 5" xfId="18661"/>
    <cellStyle name="Input 3 3 2 2 6" xfId="19693"/>
    <cellStyle name="Input 3 3 2 2 7" xfId="20715"/>
    <cellStyle name="Input 3 3 2 2 8" xfId="21726"/>
    <cellStyle name="Input 3 3 2 2 9" xfId="22697"/>
    <cellStyle name="Input 3 3 2 3" xfId="4867"/>
    <cellStyle name="Input 3 3 2 3 10" xfId="23704"/>
    <cellStyle name="Input 3 3 2 3 11" xfId="24676"/>
    <cellStyle name="Input 3 3 2 3 12" xfId="25675"/>
    <cellStyle name="Input 3 3 2 3 13" xfId="28622"/>
    <cellStyle name="Input 3 3 2 3 14" xfId="29589"/>
    <cellStyle name="Input 3 3 2 3 15" xfId="30631"/>
    <cellStyle name="Input 3 3 2 3 16" xfId="31622"/>
    <cellStyle name="Input 3 3 2 3 17" xfId="32630"/>
    <cellStyle name="Input 3 3 2 3 18" xfId="33633"/>
    <cellStyle name="Input 3 3 2 3 19" xfId="34632"/>
    <cellStyle name="Input 3 3 2 3 2" xfId="4868"/>
    <cellStyle name="Input 3 3 2 3 2 10" xfId="24677"/>
    <cellStyle name="Input 3 3 2 3 2 11" xfId="25676"/>
    <cellStyle name="Input 3 3 2 3 2 12" xfId="28623"/>
    <cellStyle name="Input 3 3 2 3 2 13" xfId="29590"/>
    <cellStyle name="Input 3 3 2 3 2 14" xfId="30632"/>
    <cellStyle name="Input 3 3 2 3 2 15" xfId="31623"/>
    <cellStyle name="Input 3 3 2 3 2 16" xfId="32631"/>
    <cellStyle name="Input 3 3 2 3 2 17" xfId="33634"/>
    <cellStyle name="Input 3 3 2 3 2 18" xfId="34633"/>
    <cellStyle name="Input 3 3 2 3 2 19" xfId="36254"/>
    <cellStyle name="Input 3 3 2 3 2 2" xfId="16658"/>
    <cellStyle name="Input 3 3 2 3 2 20" xfId="37193"/>
    <cellStyle name="Input 3 3 2 3 2 3" xfId="17637"/>
    <cellStyle name="Input 3 3 2 3 2 4" xfId="18664"/>
    <cellStyle name="Input 3 3 2 3 2 5" xfId="19696"/>
    <cellStyle name="Input 3 3 2 3 2 6" xfId="20718"/>
    <cellStyle name="Input 3 3 2 3 2 7" xfId="21729"/>
    <cellStyle name="Input 3 3 2 3 2 8" xfId="22700"/>
    <cellStyle name="Input 3 3 2 3 2 9" xfId="23705"/>
    <cellStyle name="Input 3 3 2 3 20" xfId="36253"/>
    <cellStyle name="Input 3 3 2 3 21" xfId="37192"/>
    <cellStyle name="Input 3 3 2 3 3" xfId="16657"/>
    <cellStyle name="Input 3 3 2 3 4" xfId="17636"/>
    <cellStyle name="Input 3 3 2 3 5" xfId="18663"/>
    <cellStyle name="Input 3 3 2 3 6" xfId="19695"/>
    <cellStyle name="Input 3 3 2 3 7" xfId="20717"/>
    <cellStyle name="Input 3 3 2 3 8" xfId="21728"/>
    <cellStyle name="Input 3 3 2 3 9" xfId="22699"/>
    <cellStyle name="Input 3 3 2 4" xfId="4869"/>
    <cellStyle name="Input 3 3 2 4 10" xfId="23706"/>
    <cellStyle name="Input 3 3 2 4 11" xfId="24678"/>
    <cellStyle name="Input 3 3 2 4 12" xfId="25677"/>
    <cellStyle name="Input 3 3 2 4 13" xfId="28624"/>
    <cellStyle name="Input 3 3 2 4 14" xfId="29591"/>
    <cellStyle name="Input 3 3 2 4 15" xfId="30633"/>
    <cellStyle name="Input 3 3 2 4 16" xfId="31624"/>
    <cellStyle name="Input 3 3 2 4 17" xfId="32632"/>
    <cellStyle name="Input 3 3 2 4 18" xfId="33635"/>
    <cellStyle name="Input 3 3 2 4 19" xfId="34634"/>
    <cellStyle name="Input 3 3 2 4 2" xfId="4870"/>
    <cellStyle name="Input 3 3 2 4 2 10" xfId="24679"/>
    <cellStyle name="Input 3 3 2 4 2 11" xfId="25678"/>
    <cellStyle name="Input 3 3 2 4 2 12" xfId="28625"/>
    <cellStyle name="Input 3 3 2 4 2 13" xfId="29592"/>
    <cellStyle name="Input 3 3 2 4 2 14" xfId="30634"/>
    <cellStyle name="Input 3 3 2 4 2 15" xfId="31625"/>
    <cellStyle name="Input 3 3 2 4 2 16" xfId="32633"/>
    <cellStyle name="Input 3 3 2 4 2 17" xfId="33636"/>
    <cellStyle name="Input 3 3 2 4 2 18" xfId="34635"/>
    <cellStyle name="Input 3 3 2 4 2 19" xfId="36256"/>
    <cellStyle name="Input 3 3 2 4 2 2" xfId="16660"/>
    <cellStyle name="Input 3 3 2 4 2 20" xfId="37195"/>
    <cellStyle name="Input 3 3 2 4 2 3" xfId="17639"/>
    <cellStyle name="Input 3 3 2 4 2 4" xfId="18666"/>
    <cellStyle name="Input 3 3 2 4 2 5" xfId="19698"/>
    <cellStyle name="Input 3 3 2 4 2 6" xfId="20720"/>
    <cellStyle name="Input 3 3 2 4 2 7" xfId="21731"/>
    <cellStyle name="Input 3 3 2 4 2 8" xfId="22702"/>
    <cellStyle name="Input 3 3 2 4 2 9" xfId="23707"/>
    <cellStyle name="Input 3 3 2 4 20" xfId="36255"/>
    <cellStyle name="Input 3 3 2 4 21" xfId="37194"/>
    <cellStyle name="Input 3 3 2 4 3" xfId="16659"/>
    <cellStyle name="Input 3 3 2 4 4" xfId="17638"/>
    <cellStyle name="Input 3 3 2 4 5" xfId="18665"/>
    <cellStyle name="Input 3 3 2 4 6" xfId="19697"/>
    <cellStyle name="Input 3 3 2 4 7" xfId="20719"/>
    <cellStyle name="Input 3 3 2 4 8" xfId="21730"/>
    <cellStyle name="Input 3 3 2 4 9" xfId="22701"/>
    <cellStyle name="Input 3 3 2 5" xfId="4871"/>
    <cellStyle name="Input 3 3 2 5 10" xfId="24680"/>
    <cellStyle name="Input 3 3 2 5 11" xfId="25679"/>
    <cellStyle name="Input 3 3 2 5 12" xfId="28626"/>
    <cellStyle name="Input 3 3 2 5 13" xfId="29593"/>
    <cellStyle name="Input 3 3 2 5 14" xfId="30635"/>
    <cellStyle name="Input 3 3 2 5 15" xfId="31626"/>
    <cellStyle name="Input 3 3 2 5 16" xfId="32634"/>
    <cellStyle name="Input 3 3 2 5 17" xfId="33637"/>
    <cellStyle name="Input 3 3 2 5 18" xfId="34636"/>
    <cellStyle name="Input 3 3 2 5 19" xfId="36257"/>
    <cellStyle name="Input 3 3 2 5 2" xfId="16661"/>
    <cellStyle name="Input 3 3 2 5 20" xfId="37196"/>
    <cellStyle name="Input 3 3 2 5 3" xfId="17640"/>
    <cellStyle name="Input 3 3 2 5 4" xfId="18667"/>
    <cellStyle name="Input 3 3 2 5 5" xfId="19699"/>
    <cellStyle name="Input 3 3 2 5 6" xfId="20721"/>
    <cellStyle name="Input 3 3 2 5 7" xfId="21732"/>
    <cellStyle name="Input 3 3 2 5 8" xfId="22703"/>
    <cellStyle name="Input 3 3 2 5 9" xfId="23708"/>
    <cellStyle name="Input 3 3 2 6" xfId="15195"/>
    <cellStyle name="Input 3 3 2 7" xfId="13810"/>
    <cellStyle name="Input 3 3 2 8" xfId="14796"/>
    <cellStyle name="Input 3 3 2 9" xfId="15833"/>
    <cellStyle name="Input 3 3 20" xfId="27567"/>
    <cellStyle name="Input 3 3 21" xfId="27556"/>
    <cellStyle name="Input 3 3 22" xfId="34980"/>
    <cellStyle name="Input 3 3 23" xfId="35345"/>
    <cellStyle name="Input 3 3 24" xfId="37483"/>
    <cellStyle name="Input 3 3 3" xfId="4872"/>
    <cellStyle name="Input 3 3 3 10" xfId="15705"/>
    <cellStyle name="Input 3 3 3 11" xfId="14402"/>
    <cellStyle name="Input 3 3 3 12" xfId="26476"/>
    <cellStyle name="Input 3 3 3 13" xfId="27064"/>
    <cellStyle name="Input 3 3 3 14" xfId="26178"/>
    <cellStyle name="Input 3 3 3 15" xfId="27269"/>
    <cellStyle name="Input 3 3 3 16" xfId="25941"/>
    <cellStyle name="Input 3 3 3 17" xfId="26225"/>
    <cellStyle name="Input 3 3 3 18" xfId="35159"/>
    <cellStyle name="Input 3 3 3 19" xfId="35220"/>
    <cellStyle name="Input 3 3 3 2" xfId="4873"/>
    <cellStyle name="Input 3 3 3 2 10" xfId="23709"/>
    <cellStyle name="Input 3 3 3 2 11" xfId="24681"/>
    <cellStyle name="Input 3 3 3 2 12" xfId="25680"/>
    <cellStyle name="Input 3 3 3 2 13" xfId="28627"/>
    <cellStyle name="Input 3 3 3 2 14" xfId="29594"/>
    <cellStyle name="Input 3 3 3 2 15" xfId="30636"/>
    <cellStyle name="Input 3 3 3 2 16" xfId="31627"/>
    <cellStyle name="Input 3 3 3 2 17" xfId="32635"/>
    <cellStyle name="Input 3 3 3 2 18" xfId="33638"/>
    <cellStyle name="Input 3 3 3 2 19" xfId="34637"/>
    <cellStyle name="Input 3 3 3 2 2" xfId="4874"/>
    <cellStyle name="Input 3 3 3 2 2 10" xfId="24682"/>
    <cellStyle name="Input 3 3 3 2 2 11" xfId="25681"/>
    <cellStyle name="Input 3 3 3 2 2 12" xfId="28628"/>
    <cellStyle name="Input 3 3 3 2 2 13" xfId="29595"/>
    <cellStyle name="Input 3 3 3 2 2 14" xfId="30637"/>
    <cellStyle name="Input 3 3 3 2 2 15" xfId="31628"/>
    <cellStyle name="Input 3 3 3 2 2 16" xfId="32636"/>
    <cellStyle name="Input 3 3 3 2 2 17" xfId="33639"/>
    <cellStyle name="Input 3 3 3 2 2 18" xfId="34638"/>
    <cellStyle name="Input 3 3 3 2 2 19" xfId="36259"/>
    <cellStyle name="Input 3 3 3 2 2 2" xfId="16663"/>
    <cellStyle name="Input 3 3 3 2 2 20" xfId="37198"/>
    <cellStyle name="Input 3 3 3 2 2 3" xfId="17642"/>
    <cellStyle name="Input 3 3 3 2 2 4" xfId="18669"/>
    <cellStyle name="Input 3 3 3 2 2 5" xfId="19701"/>
    <cellStyle name="Input 3 3 3 2 2 6" xfId="20723"/>
    <cellStyle name="Input 3 3 3 2 2 7" xfId="21734"/>
    <cellStyle name="Input 3 3 3 2 2 8" xfId="22705"/>
    <cellStyle name="Input 3 3 3 2 2 9" xfId="23710"/>
    <cellStyle name="Input 3 3 3 2 20" xfId="36258"/>
    <cellStyle name="Input 3 3 3 2 21" xfId="37197"/>
    <cellStyle name="Input 3 3 3 2 3" xfId="16662"/>
    <cellStyle name="Input 3 3 3 2 4" xfId="17641"/>
    <cellStyle name="Input 3 3 3 2 5" xfId="18668"/>
    <cellStyle name="Input 3 3 3 2 6" xfId="19700"/>
    <cellStyle name="Input 3 3 3 2 7" xfId="20722"/>
    <cellStyle name="Input 3 3 3 2 8" xfId="21733"/>
    <cellStyle name="Input 3 3 3 2 9" xfId="22704"/>
    <cellStyle name="Input 3 3 3 3" xfId="4875"/>
    <cellStyle name="Input 3 3 3 3 10" xfId="23711"/>
    <cellStyle name="Input 3 3 3 3 11" xfId="24683"/>
    <cellStyle name="Input 3 3 3 3 12" xfId="25682"/>
    <cellStyle name="Input 3 3 3 3 13" xfId="28629"/>
    <cellStyle name="Input 3 3 3 3 14" xfId="29596"/>
    <cellStyle name="Input 3 3 3 3 15" xfId="30638"/>
    <cellStyle name="Input 3 3 3 3 16" xfId="31629"/>
    <cellStyle name="Input 3 3 3 3 17" xfId="32637"/>
    <cellStyle name="Input 3 3 3 3 18" xfId="33640"/>
    <cellStyle name="Input 3 3 3 3 19" xfId="34639"/>
    <cellStyle name="Input 3 3 3 3 2" xfId="4876"/>
    <cellStyle name="Input 3 3 3 3 2 10" xfId="24684"/>
    <cellStyle name="Input 3 3 3 3 2 11" xfId="25683"/>
    <cellStyle name="Input 3 3 3 3 2 12" xfId="28630"/>
    <cellStyle name="Input 3 3 3 3 2 13" xfId="29597"/>
    <cellStyle name="Input 3 3 3 3 2 14" xfId="30639"/>
    <cellStyle name="Input 3 3 3 3 2 15" xfId="31630"/>
    <cellStyle name="Input 3 3 3 3 2 16" xfId="32638"/>
    <cellStyle name="Input 3 3 3 3 2 17" xfId="33641"/>
    <cellStyle name="Input 3 3 3 3 2 18" xfId="34640"/>
    <cellStyle name="Input 3 3 3 3 2 19" xfId="36261"/>
    <cellStyle name="Input 3 3 3 3 2 2" xfId="16665"/>
    <cellStyle name="Input 3 3 3 3 2 20" xfId="37200"/>
    <cellStyle name="Input 3 3 3 3 2 3" xfId="17644"/>
    <cellStyle name="Input 3 3 3 3 2 4" xfId="18671"/>
    <cellStyle name="Input 3 3 3 3 2 5" xfId="19703"/>
    <cellStyle name="Input 3 3 3 3 2 6" xfId="20725"/>
    <cellStyle name="Input 3 3 3 3 2 7" xfId="21736"/>
    <cellStyle name="Input 3 3 3 3 2 8" xfId="22707"/>
    <cellStyle name="Input 3 3 3 3 2 9" xfId="23712"/>
    <cellStyle name="Input 3 3 3 3 20" xfId="36260"/>
    <cellStyle name="Input 3 3 3 3 21" xfId="37199"/>
    <cellStyle name="Input 3 3 3 3 3" xfId="16664"/>
    <cellStyle name="Input 3 3 3 3 4" xfId="17643"/>
    <cellStyle name="Input 3 3 3 3 5" xfId="18670"/>
    <cellStyle name="Input 3 3 3 3 6" xfId="19702"/>
    <cellStyle name="Input 3 3 3 3 7" xfId="20724"/>
    <cellStyle name="Input 3 3 3 3 8" xfId="21735"/>
    <cellStyle name="Input 3 3 3 3 9" xfId="22706"/>
    <cellStyle name="Input 3 3 3 4" xfId="4877"/>
    <cellStyle name="Input 3 3 3 4 10" xfId="23713"/>
    <cellStyle name="Input 3 3 3 4 11" xfId="24685"/>
    <cellStyle name="Input 3 3 3 4 12" xfId="25684"/>
    <cellStyle name="Input 3 3 3 4 13" xfId="28631"/>
    <cellStyle name="Input 3 3 3 4 14" xfId="29598"/>
    <cellStyle name="Input 3 3 3 4 15" xfId="30640"/>
    <cellStyle name="Input 3 3 3 4 16" xfId="31631"/>
    <cellStyle name="Input 3 3 3 4 17" xfId="32639"/>
    <cellStyle name="Input 3 3 3 4 18" xfId="33642"/>
    <cellStyle name="Input 3 3 3 4 19" xfId="34641"/>
    <cellStyle name="Input 3 3 3 4 2" xfId="4878"/>
    <cellStyle name="Input 3 3 3 4 2 10" xfId="24686"/>
    <cellStyle name="Input 3 3 3 4 2 11" xfId="25685"/>
    <cellStyle name="Input 3 3 3 4 2 12" xfId="28632"/>
    <cellStyle name="Input 3 3 3 4 2 13" xfId="29599"/>
    <cellStyle name="Input 3 3 3 4 2 14" xfId="30641"/>
    <cellStyle name="Input 3 3 3 4 2 15" xfId="31632"/>
    <cellStyle name="Input 3 3 3 4 2 16" xfId="32640"/>
    <cellStyle name="Input 3 3 3 4 2 17" xfId="33643"/>
    <cellStyle name="Input 3 3 3 4 2 18" xfId="34642"/>
    <cellStyle name="Input 3 3 3 4 2 19" xfId="36263"/>
    <cellStyle name="Input 3 3 3 4 2 2" xfId="16667"/>
    <cellStyle name="Input 3 3 3 4 2 20" xfId="37202"/>
    <cellStyle name="Input 3 3 3 4 2 3" xfId="17646"/>
    <cellStyle name="Input 3 3 3 4 2 4" xfId="18673"/>
    <cellStyle name="Input 3 3 3 4 2 5" xfId="19705"/>
    <cellStyle name="Input 3 3 3 4 2 6" xfId="20727"/>
    <cellStyle name="Input 3 3 3 4 2 7" xfId="21738"/>
    <cellStyle name="Input 3 3 3 4 2 8" xfId="22709"/>
    <cellStyle name="Input 3 3 3 4 2 9" xfId="23714"/>
    <cellStyle name="Input 3 3 3 4 20" xfId="36262"/>
    <cellStyle name="Input 3 3 3 4 21" xfId="37201"/>
    <cellStyle name="Input 3 3 3 4 3" xfId="16666"/>
    <cellStyle name="Input 3 3 3 4 4" xfId="17645"/>
    <cellStyle name="Input 3 3 3 4 5" xfId="18672"/>
    <cellStyle name="Input 3 3 3 4 6" xfId="19704"/>
    <cellStyle name="Input 3 3 3 4 7" xfId="20726"/>
    <cellStyle name="Input 3 3 3 4 8" xfId="21737"/>
    <cellStyle name="Input 3 3 3 4 9" xfId="22708"/>
    <cellStyle name="Input 3 3 3 5" xfId="4879"/>
    <cellStyle name="Input 3 3 3 5 10" xfId="24687"/>
    <cellStyle name="Input 3 3 3 5 11" xfId="25686"/>
    <cellStyle name="Input 3 3 3 5 12" xfId="28633"/>
    <cellStyle name="Input 3 3 3 5 13" xfId="29600"/>
    <cellStyle name="Input 3 3 3 5 14" xfId="30642"/>
    <cellStyle name="Input 3 3 3 5 15" xfId="31633"/>
    <cellStyle name="Input 3 3 3 5 16" xfId="32641"/>
    <cellStyle name="Input 3 3 3 5 17" xfId="33644"/>
    <cellStyle name="Input 3 3 3 5 18" xfId="34643"/>
    <cellStyle name="Input 3 3 3 5 19" xfId="36264"/>
    <cellStyle name="Input 3 3 3 5 2" xfId="16668"/>
    <cellStyle name="Input 3 3 3 5 20" xfId="37203"/>
    <cellStyle name="Input 3 3 3 5 3" xfId="17647"/>
    <cellStyle name="Input 3 3 3 5 4" xfId="18674"/>
    <cellStyle name="Input 3 3 3 5 5" xfId="19706"/>
    <cellStyle name="Input 3 3 3 5 6" xfId="20728"/>
    <cellStyle name="Input 3 3 3 5 7" xfId="21739"/>
    <cellStyle name="Input 3 3 3 5 8" xfId="22710"/>
    <cellStyle name="Input 3 3 3 5 9" xfId="23715"/>
    <cellStyle name="Input 3 3 3 6" xfId="14069"/>
    <cellStyle name="Input 3 3 3 7" xfId="13401"/>
    <cellStyle name="Input 3 3 3 8" xfId="15553"/>
    <cellStyle name="Input 3 3 3 9" xfId="13537"/>
    <cellStyle name="Input 3 3 4" xfId="4880"/>
    <cellStyle name="Input 3 3 4 10" xfId="13932"/>
    <cellStyle name="Input 3 3 4 11" xfId="14534"/>
    <cellStyle name="Input 3 3 4 12" xfId="26427"/>
    <cellStyle name="Input 3 3 4 13" xfId="26027"/>
    <cellStyle name="Input 3 3 4 14" xfId="26499"/>
    <cellStyle name="Input 3 3 4 15" xfId="26551"/>
    <cellStyle name="Input 3 3 4 16" xfId="27425"/>
    <cellStyle name="Input 3 3 4 17" xfId="25981"/>
    <cellStyle name="Input 3 3 4 18" xfId="35115"/>
    <cellStyle name="Input 3 3 4 19" xfId="35411"/>
    <cellStyle name="Input 3 3 4 2" xfId="4881"/>
    <cellStyle name="Input 3 3 4 2 10" xfId="23716"/>
    <cellStyle name="Input 3 3 4 2 11" xfId="24688"/>
    <cellStyle name="Input 3 3 4 2 12" xfId="25687"/>
    <cellStyle name="Input 3 3 4 2 13" xfId="28634"/>
    <cellStyle name="Input 3 3 4 2 14" xfId="29601"/>
    <cellStyle name="Input 3 3 4 2 15" xfId="30643"/>
    <cellStyle name="Input 3 3 4 2 16" xfId="31634"/>
    <cellStyle name="Input 3 3 4 2 17" xfId="32642"/>
    <cellStyle name="Input 3 3 4 2 18" xfId="33645"/>
    <cellStyle name="Input 3 3 4 2 19" xfId="34644"/>
    <cellStyle name="Input 3 3 4 2 2" xfId="4882"/>
    <cellStyle name="Input 3 3 4 2 2 10" xfId="24689"/>
    <cellStyle name="Input 3 3 4 2 2 11" xfId="25688"/>
    <cellStyle name="Input 3 3 4 2 2 12" xfId="28635"/>
    <cellStyle name="Input 3 3 4 2 2 13" xfId="29602"/>
    <cellStyle name="Input 3 3 4 2 2 14" xfId="30644"/>
    <cellStyle name="Input 3 3 4 2 2 15" xfId="31635"/>
    <cellStyle name="Input 3 3 4 2 2 16" xfId="32643"/>
    <cellStyle name="Input 3 3 4 2 2 17" xfId="33646"/>
    <cellStyle name="Input 3 3 4 2 2 18" xfId="34645"/>
    <cellStyle name="Input 3 3 4 2 2 19" xfId="36266"/>
    <cellStyle name="Input 3 3 4 2 2 2" xfId="16670"/>
    <cellStyle name="Input 3 3 4 2 2 20" xfId="37205"/>
    <cellStyle name="Input 3 3 4 2 2 3" xfId="17649"/>
    <cellStyle name="Input 3 3 4 2 2 4" xfId="18676"/>
    <cellStyle name="Input 3 3 4 2 2 5" xfId="19708"/>
    <cellStyle name="Input 3 3 4 2 2 6" xfId="20730"/>
    <cellStyle name="Input 3 3 4 2 2 7" xfId="21741"/>
    <cellStyle name="Input 3 3 4 2 2 8" xfId="22712"/>
    <cellStyle name="Input 3 3 4 2 2 9" xfId="23717"/>
    <cellStyle name="Input 3 3 4 2 20" xfId="36265"/>
    <cellStyle name="Input 3 3 4 2 21" xfId="37204"/>
    <cellStyle name="Input 3 3 4 2 3" xfId="16669"/>
    <cellStyle name="Input 3 3 4 2 4" xfId="17648"/>
    <cellStyle name="Input 3 3 4 2 5" xfId="18675"/>
    <cellStyle name="Input 3 3 4 2 6" xfId="19707"/>
    <cellStyle name="Input 3 3 4 2 7" xfId="20729"/>
    <cellStyle name="Input 3 3 4 2 8" xfId="21740"/>
    <cellStyle name="Input 3 3 4 2 9" xfId="22711"/>
    <cellStyle name="Input 3 3 4 3" xfId="4883"/>
    <cellStyle name="Input 3 3 4 3 10" xfId="23718"/>
    <cellStyle name="Input 3 3 4 3 11" xfId="24690"/>
    <cellStyle name="Input 3 3 4 3 12" xfId="25689"/>
    <cellStyle name="Input 3 3 4 3 13" xfId="28636"/>
    <cellStyle name="Input 3 3 4 3 14" xfId="29603"/>
    <cellStyle name="Input 3 3 4 3 15" xfId="30645"/>
    <cellStyle name="Input 3 3 4 3 16" xfId="31636"/>
    <cellStyle name="Input 3 3 4 3 17" xfId="32644"/>
    <cellStyle name="Input 3 3 4 3 18" xfId="33647"/>
    <cellStyle name="Input 3 3 4 3 19" xfId="34646"/>
    <cellStyle name="Input 3 3 4 3 2" xfId="4884"/>
    <cellStyle name="Input 3 3 4 3 2 10" xfId="24691"/>
    <cellStyle name="Input 3 3 4 3 2 11" xfId="25690"/>
    <cellStyle name="Input 3 3 4 3 2 12" xfId="28637"/>
    <cellStyle name="Input 3 3 4 3 2 13" xfId="29604"/>
    <cellStyle name="Input 3 3 4 3 2 14" xfId="30646"/>
    <cellStyle name="Input 3 3 4 3 2 15" xfId="31637"/>
    <cellStyle name="Input 3 3 4 3 2 16" xfId="32645"/>
    <cellStyle name="Input 3 3 4 3 2 17" xfId="33648"/>
    <cellStyle name="Input 3 3 4 3 2 18" xfId="34647"/>
    <cellStyle name="Input 3 3 4 3 2 19" xfId="36268"/>
    <cellStyle name="Input 3 3 4 3 2 2" xfId="16672"/>
    <cellStyle name="Input 3 3 4 3 2 20" xfId="37207"/>
    <cellStyle name="Input 3 3 4 3 2 3" xfId="17651"/>
    <cellStyle name="Input 3 3 4 3 2 4" xfId="18678"/>
    <cellStyle name="Input 3 3 4 3 2 5" xfId="19710"/>
    <cellStyle name="Input 3 3 4 3 2 6" xfId="20732"/>
    <cellStyle name="Input 3 3 4 3 2 7" xfId="21743"/>
    <cellStyle name="Input 3 3 4 3 2 8" xfId="22714"/>
    <cellStyle name="Input 3 3 4 3 2 9" xfId="23719"/>
    <cellStyle name="Input 3 3 4 3 20" xfId="36267"/>
    <cellStyle name="Input 3 3 4 3 21" xfId="37206"/>
    <cellStyle name="Input 3 3 4 3 3" xfId="16671"/>
    <cellStyle name="Input 3 3 4 3 4" xfId="17650"/>
    <cellStyle name="Input 3 3 4 3 5" xfId="18677"/>
    <cellStyle name="Input 3 3 4 3 6" xfId="19709"/>
    <cellStyle name="Input 3 3 4 3 7" xfId="20731"/>
    <cellStyle name="Input 3 3 4 3 8" xfId="21742"/>
    <cellStyle name="Input 3 3 4 3 9" xfId="22713"/>
    <cellStyle name="Input 3 3 4 4" xfId="4885"/>
    <cellStyle name="Input 3 3 4 4 10" xfId="23720"/>
    <cellStyle name="Input 3 3 4 4 11" xfId="24692"/>
    <cellStyle name="Input 3 3 4 4 12" xfId="25691"/>
    <cellStyle name="Input 3 3 4 4 13" xfId="28638"/>
    <cellStyle name="Input 3 3 4 4 14" xfId="29605"/>
    <cellStyle name="Input 3 3 4 4 15" xfId="30647"/>
    <cellStyle name="Input 3 3 4 4 16" xfId="31638"/>
    <cellStyle name="Input 3 3 4 4 17" xfId="32646"/>
    <cellStyle name="Input 3 3 4 4 18" xfId="33649"/>
    <cellStyle name="Input 3 3 4 4 19" xfId="34648"/>
    <cellStyle name="Input 3 3 4 4 2" xfId="4886"/>
    <cellStyle name="Input 3 3 4 4 2 10" xfId="24693"/>
    <cellStyle name="Input 3 3 4 4 2 11" xfId="25692"/>
    <cellStyle name="Input 3 3 4 4 2 12" xfId="28639"/>
    <cellStyle name="Input 3 3 4 4 2 13" xfId="29606"/>
    <cellStyle name="Input 3 3 4 4 2 14" xfId="30648"/>
    <cellStyle name="Input 3 3 4 4 2 15" xfId="31639"/>
    <cellStyle name="Input 3 3 4 4 2 16" xfId="32647"/>
    <cellStyle name="Input 3 3 4 4 2 17" xfId="33650"/>
    <cellStyle name="Input 3 3 4 4 2 18" xfId="34649"/>
    <cellStyle name="Input 3 3 4 4 2 19" xfId="36270"/>
    <cellStyle name="Input 3 3 4 4 2 2" xfId="16674"/>
    <cellStyle name="Input 3 3 4 4 2 20" xfId="37209"/>
    <cellStyle name="Input 3 3 4 4 2 3" xfId="17653"/>
    <cellStyle name="Input 3 3 4 4 2 4" xfId="18680"/>
    <cellStyle name="Input 3 3 4 4 2 5" xfId="19712"/>
    <cellStyle name="Input 3 3 4 4 2 6" xfId="20734"/>
    <cellStyle name="Input 3 3 4 4 2 7" xfId="21745"/>
    <cellStyle name="Input 3 3 4 4 2 8" xfId="22716"/>
    <cellStyle name="Input 3 3 4 4 2 9" xfId="23721"/>
    <cellStyle name="Input 3 3 4 4 20" xfId="36269"/>
    <cellStyle name="Input 3 3 4 4 21" xfId="37208"/>
    <cellStyle name="Input 3 3 4 4 3" xfId="16673"/>
    <cellStyle name="Input 3 3 4 4 4" xfId="17652"/>
    <cellStyle name="Input 3 3 4 4 5" xfId="18679"/>
    <cellStyle name="Input 3 3 4 4 6" xfId="19711"/>
    <cellStyle name="Input 3 3 4 4 7" xfId="20733"/>
    <cellStyle name="Input 3 3 4 4 8" xfId="21744"/>
    <cellStyle name="Input 3 3 4 4 9" xfId="22715"/>
    <cellStyle name="Input 3 3 4 5" xfId="4887"/>
    <cellStyle name="Input 3 3 4 5 10" xfId="24694"/>
    <cellStyle name="Input 3 3 4 5 11" xfId="25693"/>
    <cellStyle name="Input 3 3 4 5 12" xfId="28640"/>
    <cellStyle name="Input 3 3 4 5 13" xfId="29607"/>
    <cellStyle name="Input 3 3 4 5 14" xfId="30649"/>
    <cellStyle name="Input 3 3 4 5 15" xfId="31640"/>
    <cellStyle name="Input 3 3 4 5 16" xfId="32648"/>
    <cellStyle name="Input 3 3 4 5 17" xfId="33651"/>
    <cellStyle name="Input 3 3 4 5 18" xfId="34650"/>
    <cellStyle name="Input 3 3 4 5 19" xfId="36271"/>
    <cellStyle name="Input 3 3 4 5 2" xfId="16675"/>
    <cellStyle name="Input 3 3 4 5 20" xfId="37210"/>
    <cellStyle name="Input 3 3 4 5 3" xfId="17654"/>
    <cellStyle name="Input 3 3 4 5 4" xfId="18681"/>
    <cellStyle name="Input 3 3 4 5 5" xfId="19713"/>
    <cellStyle name="Input 3 3 4 5 6" xfId="20735"/>
    <cellStyle name="Input 3 3 4 5 7" xfId="21746"/>
    <cellStyle name="Input 3 3 4 5 8" xfId="22717"/>
    <cellStyle name="Input 3 3 4 5 9" xfId="23722"/>
    <cellStyle name="Input 3 3 4 6" xfId="13544"/>
    <cellStyle name="Input 3 3 4 7" xfId="15596"/>
    <cellStyle name="Input 3 3 4 8" xfId="13398"/>
    <cellStyle name="Input 3 3 4 9" xfId="14167"/>
    <cellStyle name="Input 3 3 5" xfId="4888"/>
    <cellStyle name="Input 3 3 5 10" xfId="17863"/>
    <cellStyle name="Input 3 3 5 11" xfId="20897"/>
    <cellStyle name="Input 3 3 5 12" xfId="26490"/>
    <cellStyle name="Input 3 3 5 13" xfId="27055"/>
    <cellStyle name="Input 3 3 5 14" xfId="26184"/>
    <cellStyle name="Input 3 3 5 15" xfId="26613"/>
    <cellStyle name="Input 3 3 5 16" xfId="26658"/>
    <cellStyle name="Input 3 3 5 17" xfId="26012"/>
    <cellStyle name="Input 3 3 5 18" xfId="35173"/>
    <cellStyle name="Input 3 3 5 19" xfId="35210"/>
    <cellStyle name="Input 3 3 5 2" xfId="4889"/>
    <cellStyle name="Input 3 3 5 2 10" xfId="23723"/>
    <cellStyle name="Input 3 3 5 2 11" xfId="24695"/>
    <cellStyle name="Input 3 3 5 2 12" xfId="25694"/>
    <cellStyle name="Input 3 3 5 2 13" xfId="28641"/>
    <cellStyle name="Input 3 3 5 2 14" xfId="29608"/>
    <cellStyle name="Input 3 3 5 2 15" xfId="30650"/>
    <cellStyle name="Input 3 3 5 2 16" xfId="31641"/>
    <cellStyle name="Input 3 3 5 2 17" xfId="32649"/>
    <cellStyle name="Input 3 3 5 2 18" xfId="33652"/>
    <cellStyle name="Input 3 3 5 2 19" xfId="34651"/>
    <cellStyle name="Input 3 3 5 2 2" xfId="4890"/>
    <cellStyle name="Input 3 3 5 2 2 10" xfId="24696"/>
    <cellStyle name="Input 3 3 5 2 2 11" xfId="25695"/>
    <cellStyle name="Input 3 3 5 2 2 12" xfId="28642"/>
    <cellStyle name="Input 3 3 5 2 2 13" xfId="29609"/>
    <cellStyle name="Input 3 3 5 2 2 14" xfId="30651"/>
    <cellStyle name="Input 3 3 5 2 2 15" xfId="31642"/>
    <cellStyle name="Input 3 3 5 2 2 16" xfId="32650"/>
    <cellStyle name="Input 3 3 5 2 2 17" xfId="33653"/>
    <cellStyle name="Input 3 3 5 2 2 18" xfId="34652"/>
    <cellStyle name="Input 3 3 5 2 2 19" xfId="36273"/>
    <cellStyle name="Input 3 3 5 2 2 2" xfId="16677"/>
    <cellStyle name="Input 3 3 5 2 2 20" xfId="37212"/>
    <cellStyle name="Input 3 3 5 2 2 3" xfId="17656"/>
    <cellStyle name="Input 3 3 5 2 2 4" xfId="18683"/>
    <cellStyle name="Input 3 3 5 2 2 5" xfId="19715"/>
    <cellStyle name="Input 3 3 5 2 2 6" xfId="20737"/>
    <cellStyle name="Input 3 3 5 2 2 7" xfId="21748"/>
    <cellStyle name="Input 3 3 5 2 2 8" xfId="22719"/>
    <cellStyle name="Input 3 3 5 2 2 9" xfId="23724"/>
    <cellStyle name="Input 3 3 5 2 20" xfId="36272"/>
    <cellStyle name="Input 3 3 5 2 21" xfId="37211"/>
    <cellStyle name="Input 3 3 5 2 3" xfId="16676"/>
    <cellStyle name="Input 3 3 5 2 4" xfId="17655"/>
    <cellStyle name="Input 3 3 5 2 5" xfId="18682"/>
    <cellStyle name="Input 3 3 5 2 6" xfId="19714"/>
    <cellStyle name="Input 3 3 5 2 7" xfId="20736"/>
    <cellStyle name="Input 3 3 5 2 8" xfId="21747"/>
    <cellStyle name="Input 3 3 5 2 9" xfId="22718"/>
    <cellStyle name="Input 3 3 5 3" xfId="4891"/>
    <cellStyle name="Input 3 3 5 3 10" xfId="23725"/>
    <cellStyle name="Input 3 3 5 3 11" xfId="24697"/>
    <cellStyle name="Input 3 3 5 3 12" xfId="25696"/>
    <cellStyle name="Input 3 3 5 3 13" xfId="28643"/>
    <cellStyle name="Input 3 3 5 3 14" xfId="29610"/>
    <cellStyle name="Input 3 3 5 3 15" xfId="30652"/>
    <cellStyle name="Input 3 3 5 3 16" xfId="31643"/>
    <cellStyle name="Input 3 3 5 3 17" xfId="32651"/>
    <cellStyle name="Input 3 3 5 3 18" xfId="33654"/>
    <cellStyle name="Input 3 3 5 3 19" xfId="34653"/>
    <cellStyle name="Input 3 3 5 3 2" xfId="4892"/>
    <cellStyle name="Input 3 3 5 3 2 10" xfId="24698"/>
    <cellStyle name="Input 3 3 5 3 2 11" xfId="25697"/>
    <cellStyle name="Input 3 3 5 3 2 12" xfId="28644"/>
    <cellStyle name="Input 3 3 5 3 2 13" xfId="29611"/>
    <cellStyle name="Input 3 3 5 3 2 14" xfId="30653"/>
    <cellStyle name="Input 3 3 5 3 2 15" xfId="31644"/>
    <cellStyle name="Input 3 3 5 3 2 16" xfId="32652"/>
    <cellStyle name="Input 3 3 5 3 2 17" xfId="33655"/>
    <cellStyle name="Input 3 3 5 3 2 18" xfId="34654"/>
    <cellStyle name="Input 3 3 5 3 2 19" xfId="36275"/>
    <cellStyle name="Input 3 3 5 3 2 2" xfId="16679"/>
    <cellStyle name="Input 3 3 5 3 2 20" xfId="37214"/>
    <cellStyle name="Input 3 3 5 3 2 3" xfId="17658"/>
    <cellStyle name="Input 3 3 5 3 2 4" xfId="18685"/>
    <cellStyle name="Input 3 3 5 3 2 5" xfId="19717"/>
    <cellStyle name="Input 3 3 5 3 2 6" xfId="20739"/>
    <cellStyle name="Input 3 3 5 3 2 7" xfId="21750"/>
    <cellStyle name="Input 3 3 5 3 2 8" xfId="22721"/>
    <cellStyle name="Input 3 3 5 3 2 9" xfId="23726"/>
    <cellStyle name="Input 3 3 5 3 20" xfId="36274"/>
    <cellStyle name="Input 3 3 5 3 21" xfId="37213"/>
    <cellStyle name="Input 3 3 5 3 3" xfId="16678"/>
    <cellStyle name="Input 3 3 5 3 4" xfId="17657"/>
    <cellStyle name="Input 3 3 5 3 5" xfId="18684"/>
    <cellStyle name="Input 3 3 5 3 6" xfId="19716"/>
    <cellStyle name="Input 3 3 5 3 7" xfId="20738"/>
    <cellStyle name="Input 3 3 5 3 8" xfId="21749"/>
    <cellStyle name="Input 3 3 5 3 9" xfId="22720"/>
    <cellStyle name="Input 3 3 5 4" xfId="4893"/>
    <cellStyle name="Input 3 3 5 4 10" xfId="23727"/>
    <cellStyle name="Input 3 3 5 4 11" xfId="24699"/>
    <cellStyle name="Input 3 3 5 4 12" xfId="25698"/>
    <cellStyle name="Input 3 3 5 4 13" xfId="28645"/>
    <cellStyle name="Input 3 3 5 4 14" xfId="29612"/>
    <cellStyle name="Input 3 3 5 4 15" xfId="30654"/>
    <cellStyle name="Input 3 3 5 4 16" xfId="31645"/>
    <cellStyle name="Input 3 3 5 4 17" xfId="32653"/>
    <cellStyle name="Input 3 3 5 4 18" xfId="33656"/>
    <cellStyle name="Input 3 3 5 4 19" xfId="34655"/>
    <cellStyle name="Input 3 3 5 4 2" xfId="4894"/>
    <cellStyle name="Input 3 3 5 4 2 10" xfId="24700"/>
    <cellStyle name="Input 3 3 5 4 2 11" xfId="25699"/>
    <cellStyle name="Input 3 3 5 4 2 12" xfId="28646"/>
    <cellStyle name="Input 3 3 5 4 2 13" xfId="29613"/>
    <cellStyle name="Input 3 3 5 4 2 14" xfId="30655"/>
    <cellStyle name="Input 3 3 5 4 2 15" xfId="31646"/>
    <cellStyle name="Input 3 3 5 4 2 16" xfId="32654"/>
    <cellStyle name="Input 3 3 5 4 2 17" xfId="33657"/>
    <cellStyle name="Input 3 3 5 4 2 18" xfId="34656"/>
    <cellStyle name="Input 3 3 5 4 2 19" xfId="36277"/>
    <cellStyle name="Input 3 3 5 4 2 2" xfId="16681"/>
    <cellStyle name="Input 3 3 5 4 2 20" xfId="37216"/>
    <cellStyle name="Input 3 3 5 4 2 3" xfId="17660"/>
    <cellStyle name="Input 3 3 5 4 2 4" xfId="18687"/>
    <cellStyle name="Input 3 3 5 4 2 5" xfId="19719"/>
    <cellStyle name="Input 3 3 5 4 2 6" xfId="20741"/>
    <cellStyle name="Input 3 3 5 4 2 7" xfId="21752"/>
    <cellStyle name="Input 3 3 5 4 2 8" xfId="22723"/>
    <cellStyle name="Input 3 3 5 4 2 9" xfId="23728"/>
    <cellStyle name="Input 3 3 5 4 20" xfId="36276"/>
    <cellStyle name="Input 3 3 5 4 21" xfId="37215"/>
    <cellStyle name="Input 3 3 5 4 3" xfId="16680"/>
    <cellStyle name="Input 3 3 5 4 4" xfId="17659"/>
    <cellStyle name="Input 3 3 5 4 5" xfId="18686"/>
    <cellStyle name="Input 3 3 5 4 6" xfId="19718"/>
    <cellStyle name="Input 3 3 5 4 7" xfId="20740"/>
    <cellStyle name="Input 3 3 5 4 8" xfId="21751"/>
    <cellStyle name="Input 3 3 5 4 9" xfId="22722"/>
    <cellStyle name="Input 3 3 5 5" xfId="4895"/>
    <cellStyle name="Input 3 3 5 5 10" xfId="24701"/>
    <cellStyle name="Input 3 3 5 5 11" xfId="25700"/>
    <cellStyle name="Input 3 3 5 5 12" xfId="28647"/>
    <cellStyle name="Input 3 3 5 5 13" xfId="29614"/>
    <cellStyle name="Input 3 3 5 5 14" xfId="30656"/>
    <cellStyle name="Input 3 3 5 5 15" xfId="31647"/>
    <cellStyle name="Input 3 3 5 5 16" xfId="32655"/>
    <cellStyle name="Input 3 3 5 5 17" xfId="33658"/>
    <cellStyle name="Input 3 3 5 5 18" xfId="34657"/>
    <cellStyle name="Input 3 3 5 5 19" xfId="36278"/>
    <cellStyle name="Input 3 3 5 5 2" xfId="16682"/>
    <cellStyle name="Input 3 3 5 5 20" xfId="37217"/>
    <cellStyle name="Input 3 3 5 5 3" xfId="17661"/>
    <cellStyle name="Input 3 3 5 5 4" xfId="18688"/>
    <cellStyle name="Input 3 3 5 5 5" xfId="19720"/>
    <cellStyle name="Input 3 3 5 5 6" xfId="20742"/>
    <cellStyle name="Input 3 3 5 5 7" xfId="21753"/>
    <cellStyle name="Input 3 3 5 5 8" xfId="22724"/>
    <cellStyle name="Input 3 3 5 5 9" xfId="23729"/>
    <cellStyle name="Input 3 3 5 6" xfId="14441"/>
    <cellStyle name="Input 3 3 5 7" xfId="14393"/>
    <cellStyle name="Input 3 3 5 8" xfId="15808"/>
    <cellStyle name="Input 3 3 5 9" xfId="14323"/>
    <cellStyle name="Input 3 3 6" xfId="4896"/>
    <cellStyle name="Input 3 3 6 10" xfId="23730"/>
    <cellStyle name="Input 3 3 6 11" xfId="24702"/>
    <cellStyle name="Input 3 3 6 12" xfId="25701"/>
    <cellStyle name="Input 3 3 6 13" xfId="28648"/>
    <cellStyle name="Input 3 3 6 14" xfId="29615"/>
    <cellStyle name="Input 3 3 6 15" xfId="30657"/>
    <cellStyle name="Input 3 3 6 16" xfId="31648"/>
    <cellStyle name="Input 3 3 6 17" xfId="32656"/>
    <cellStyle name="Input 3 3 6 18" xfId="33659"/>
    <cellStyle name="Input 3 3 6 19" xfId="34658"/>
    <cellStyle name="Input 3 3 6 2" xfId="4897"/>
    <cellStyle name="Input 3 3 6 2 10" xfId="24703"/>
    <cellStyle name="Input 3 3 6 2 11" xfId="25702"/>
    <cellStyle name="Input 3 3 6 2 12" xfId="28649"/>
    <cellStyle name="Input 3 3 6 2 13" xfId="29616"/>
    <cellStyle name="Input 3 3 6 2 14" xfId="30658"/>
    <cellStyle name="Input 3 3 6 2 15" xfId="31649"/>
    <cellStyle name="Input 3 3 6 2 16" xfId="32657"/>
    <cellStyle name="Input 3 3 6 2 17" xfId="33660"/>
    <cellStyle name="Input 3 3 6 2 18" xfId="34659"/>
    <cellStyle name="Input 3 3 6 2 19" xfId="36280"/>
    <cellStyle name="Input 3 3 6 2 2" xfId="16684"/>
    <cellStyle name="Input 3 3 6 2 20" xfId="37219"/>
    <cellStyle name="Input 3 3 6 2 3" xfId="17663"/>
    <cellStyle name="Input 3 3 6 2 4" xfId="18690"/>
    <cellStyle name="Input 3 3 6 2 5" xfId="19722"/>
    <cellStyle name="Input 3 3 6 2 6" xfId="20744"/>
    <cellStyle name="Input 3 3 6 2 7" xfId="21755"/>
    <cellStyle name="Input 3 3 6 2 8" xfId="22726"/>
    <cellStyle name="Input 3 3 6 2 9" xfId="23731"/>
    <cellStyle name="Input 3 3 6 20" xfId="36279"/>
    <cellStyle name="Input 3 3 6 21" xfId="37218"/>
    <cellStyle name="Input 3 3 6 3" xfId="16683"/>
    <cellStyle name="Input 3 3 6 4" xfId="17662"/>
    <cellStyle name="Input 3 3 6 5" xfId="18689"/>
    <cellStyle name="Input 3 3 6 6" xfId="19721"/>
    <cellStyle name="Input 3 3 6 7" xfId="20743"/>
    <cellStyle name="Input 3 3 6 8" xfId="21754"/>
    <cellStyle name="Input 3 3 6 9" xfId="22725"/>
    <cellStyle name="Input 3 3 7" xfId="4898"/>
    <cellStyle name="Input 3 3 7 10" xfId="23732"/>
    <cellStyle name="Input 3 3 7 11" xfId="24704"/>
    <cellStyle name="Input 3 3 7 12" xfId="25703"/>
    <cellStyle name="Input 3 3 7 13" xfId="28650"/>
    <cellStyle name="Input 3 3 7 14" xfId="29617"/>
    <cellStyle name="Input 3 3 7 15" xfId="30659"/>
    <cellStyle name="Input 3 3 7 16" xfId="31650"/>
    <cellStyle name="Input 3 3 7 17" xfId="32658"/>
    <cellStyle name="Input 3 3 7 18" xfId="33661"/>
    <cellStyle name="Input 3 3 7 19" xfId="34660"/>
    <cellStyle name="Input 3 3 7 2" xfId="4899"/>
    <cellStyle name="Input 3 3 7 2 10" xfId="24705"/>
    <cellStyle name="Input 3 3 7 2 11" xfId="25704"/>
    <cellStyle name="Input 3 3 7 2 12" xfId="28651"/>
    <cellStyle name="Input 3 3 7 2 13" xfId="29618"/>
    <cellStyle name="Input 3 3 7 2 14" xfId="30660"/>
    <cellStyle name="Input 3 3 7 2 15" xfId="31651"/>
    <cellStyle name="Input 3 3 7 2 16" xfId="32659"/>
    <cellStyle name="Input 3 3 7 2 17" xfId="33662"/>
    <cellStyle name="Input 3 3 7 2 18" xfId="34661"/>
    <cellStyle name="Input 3 3 7 2 19" xfId="36282"/>
    <cellStyle name="Input 3 3 7 2 2" xfId="16686"/>
    <cellStyle name="Input 3 3 7 2 20" xfId="37221"/>
    <cellStyle name="Input 3 3 7 2 3" xfId="17665"/>
    <cellStyle name="Input 3 3 7 2 4" xfId="18692"/>
    <cellStyle name="Input 3 3 7 2 5" xfId="19724"/>
    <cellStyle name="Input 3 3 7 2 6" xfId="20746"/>
    <cellStyle name="Input 3 3 7 2 7" xfId="21757"/>
    <cellStyle name="Input 3 3 7 2 8" xfId="22728"/>
    <cellStyle name="Input 3 3 7 2 9" xfId="23733"/>
    <cellStyle name="Input 3 3 7 20" xfId="36281"/>
    <cellStyle name="Input 3 3 7 21" xfId="37220"/>
    <cellStyle name="Input 3 3 7 3" xfId="16685"/>
    <cellStyle name="Input 3 3 7 4" xfId="17664"/>
    <cellStyle name="Input 3 3 7 5" xfId="18691"/>
    <cellStyle name="Input 3 3 7 6" xfId="19723"/>
    <cellStyle name="Input 3 3 7 7" xfId="20745"/>
    <cellStyle name="Input 3 3 7 8" xfId="21756"/>
    <cellStyle name="Input 3 3 7 9" xfId="22727"/>
    <cellStyle name="Input 3 3 8" xfId="4900"/>
    <cellStyle name="Input 3 3 8 10" xfId="23734"/>
    <cellStyle name="Input 3 3 8 11" xfId="24706"/>
    <cellStyle name="Input 3 3 8 12" xfId="25705"/>
    <cellStyle name="Input 3 3 8 13" xfId="28652"/>
    <cellStyle name="Input 3 3 8 14" xfId="29619"/>
    <cellStyle name="Input 3 3 8 15" xfId="30661"/>
    <cellStyle name="Input 3 3 8 16" xfId="31652"/>
    <cellStyle name="Input 3 3 8 17" xfId="32660"/>
    <cellStyle name="Input 3 3 8 18" xfId="33663"/>
    <cellStyle name="Input 3 3 8 19" xfId="34662"/>
    <cellStyle name="Input 3 3 8 2" xfId="4901"/>
    <cellStyle name="Input 3 3 8 2 10" xfId="24707"/>
    <cellStyle name="Input 3 3 8 2 11" xfId="25706"/>
    <cellStyle name="Input 3 3 8 2 12" xfId="28653"/>
    <cellStyle name="Input 3 3 8 2 13" xfId="29620"/>
    <cellStyle name="Input 3 3 8 2 14" xfId="30662"/>
    <cellStyle name="Input 3 3 8 2 15" xfId="31653"/>
    <cellStyle name="Input 3 3 8 2 16" xfId="32661"/>
    <cellStyle name="Input 3 3 8 2 17" xfId="33664"/>
    <cellStyle name="Input 3 3 8 2 18" xfId="34663"/>
    <cellStyle name="Input 3 3 8 2 19" xfId="36284"/>
    <cellStyle name="Input 3 3 8 2 2" xfId="16688"/>
    <cellStyle name="Input 3 3 8 2 20" xfId="37223"/>
    <cellStyle name="Input 3 3 8 2 3" xfId="17667"/>
    <cellStyle name="Input 3 3 8 2 4" xfId="18694"/>
    <cellStyle name="Input 3 3 8 2 5" xfId="19726"/>
    <cellStyle name="Input 3 3 8 2 6" xfId="20748"/>
    <cellStyle name="Input 3 3 8 2 7" xfId="21759"/>
    <cellStyle name="Input 3 3 8 2 8" xfId="22730"/>
    <cellStyle name="Input 3 3 8 2 9" xfId="23735"/>
    <cellStyle name="Input 3 3 8 20" xfId="36283"/>
    <cellStyle name="Input 3 3 8 21" xfId="37222"/>
    <cellStyle name="Input 3 3 8 3" xfId="16687"/>
    <cellStyle name="Input 3 3 8 4" xfId="17666"/>
    <cellStyle name="Input 3 3 8 5" xfId="18693"/>
    <cellStyle name="Input 3 3 8 6" xfId="19725"/>
    <cellStyle name="Input 3 3 8 7" xfId="20747"/>
    <cellStyle name="Input 3 3 8 8" xfId="21758"/>
    <cellStyle name="Input 3 3 8 9" xfId="22729"/>
    <cellStyle name="Input 3 3 9" xfId="4902"/>
    <cellStyle name="Input 3 3 9 10" xfId="24708"/>
    <cellStyle name="Input 3 3 9 11" xfId="25707"/>
    <cellStyle name="Input 3 3 9 12" xfId="28654"/>
    <cellStyle name="Input 3 3 9 13" xfId="29621"/>
    <cellStyle name="Input 3 3 9 14" xfId="30663"/>
    <cellStyle name="Input 3 3 9 15" xfId="31654"/>
    <cellStyle name="Input 3 3 9 16" xfId="32662"/>
    <cellStyle name="Input 3 3 9 17" xfId="33665"/>
    <cellStyle name="Input 3 3 9 18" xfId="34664"/>
    <cellStyle name="Input 3 3 9 19" xfId="36285"/>
    <cellStyle name="Input 3 3 9 2" xfId="16689"/>
    <cellStyle name="Input 3 3 9 20" xfId="37224"/>
    <cellStyle name="Input 3 3 9 3" xfId="17668"/>
    <cellStyle name="Input 3 3 9 4" xfId="18695"/>
    <cellStyle name="Input 3 3 9 5" xfId="19727"/>
    <cellStyle name="Input 3 3 9 6" xfId="20749"/>
    <cellStyle name="Input 3 3 9 7" xfId="21760"/>
    <cellStyle name="Input 3 3 9 8" xfId="22731"/>
    <cellStyle name="Input 3 3 9 9" xfId="23736"/>
    <cellStyle name="Input 3 4" xfId="4903"/>
    <cellStyle name="Input 3 4 10" xfId="15837"/>
    <cellStyle name="Input 3 4 11" xfId="13666"/>
    <cellStyle name="Input 3 4 12" xfId="18847"/>
    <cellStyle name="Input 3 4 13" xfId="18886"/>
    <cellStyle name="Input 3 4 14" xfId="15228"/>
    <cellStyle name="Input 3 4 15" xfId="15255"/>
    <cellStyle name="Input 3 4 16" xfId="26076"/>
    <cellStyle name="Input 3 4 17" xfId="26234"/>
    <cellStyle name="Input 3 4 18" xfId="25937"/>
    <cellStyle name="Input 3 4 19" xfId="25897"/>
    <cellStyle name="Input 3 4 2" xfId="4904"/>
    <cellStyle name="Input 3 4 2 10" xfId="18844"/>
    <cellStyle name="Input 3 4 2 11" xfId="13695"/>
    <cellStyle name="Input 3 4 2 12" xfId="26298"/>
    <cellStyle name="Input 3 4 2 13" xfId="27734"/>
    <cellStyle name="Input 3 4 2 14" xfId="26113"/>
    <cellStyle name="Input 3 4 2 15" xfId="26535"/>
    <cellStyle name="Input 3 4 2 16" xfId="27623"/>
    <cellStyle name="Input 3 4 2 17" xfId="26862"/>
    <cellStyle name="Input 3 4 2 18" xfId="34994"/>
    <cellStyle name="Input 3 4 2 19" xfId="35459"/>
    <cellStyle name="Input 3 4 2 2" xfId="4905"/>
    <cellStyle name="Input 3 4 2 2 10" xfId="23737"/>
    <cellStyle name="Input 3 4 2 2 11" xfId="24709"/>
    <cellStyle name="Input 3 4 2 2 12" xfId="25708"/>
    <cellStyle name="Input 3 4 2 2 13" xfId="28655"/>
    <cellStyle name="Input 3 4 2 2 14" xfId="29622"/>
    <cellStyle name="Input 3 4 2 2 15" xfId="30664"/>
    <cellStyle name="Input 3 4 2 2 16" xfId="31655"/>
    <cellStyle name="Input 3 4 2 2 17" xfId="32663"/>
    <cellStyle name="Input 3 4 2 2 18" xfId="33666"/>
    <cellStyle name="Input 3 4 2 2 19" xfId="34665"/>
    <cellStyle name="Input 3 4 2 2 2" xfId="4906"/>
    <cellStyle name="Input 3 4 2 2 2 10" xfId="24710"/>
    <cellStyle name="Input 3 4 2 2 2 11" xfId="25709"/>
    <cellStyle name="Input 3 4 2 2 2 12" xfId="28656"/>
    <cellStyle name="Input 3 4 2 2 2 13" xfId="29623"/>
    <cellStyle name="Input 3 4 2 2 2 14" xfId="30665"/>
    <cellStyle name="Input 3 4 2 2 2 15" xfId="31656"/>
    <cellStyle name="Input 3 4 2 2 2 16" xfId="32664"/>
    <cellStyle name="Input 3 4 2 2 2 17" xfId="33667"/>
    <cellStyle name="Input 3 4 2 2 2 18" xfId="34666"/>
    <cellStyle name="Input 3 4 2 2 2 19" xfId="36287"/>
    <cellStyle name="Input 3 4 2 2 2 2" xfId="16691"/>
    <cellStyle name="Input 3 4 2 2 2 20" xfId="37226"/>
    <cellStyle name="Input 3 4 2 2 2 3" xfId="17670"/>
    <cellStyle name="Input 3 4 2 2 2 4" xfId="18697"/>
    <cellStyle name="Input 3 4 2 2 2 5" xfId="19729"/>
    <cellStyle name="Input 3 4 2 2 2 6" xfId="20751"/>
    <cellStyle name="Input 3 4 2 2 2 7" xfId="21762"/>
    <cellStyle name="Input 3 4 2 2 2 8" xfId="22733"/>
    <cellStyle name="Input 3 4 2 2 2 9" xfId="23738"/>
    <cellStyle name="Input 3 4 2 2 20" xfId="36286"/>
    <cellStyle name="Input 3 4 2 2 21" xfId="37225"/>
    <cellStyle name="Input 3 4 2 2 3" xfId="16690"/>
    <cellStyle name="Input 3 4 2 2 4" xfId="17669"/>
    <cellStyle name="Input 3 4 2 2 5" xfId="18696"/>
    <cellStyle name="Input 3 4 2 2 6" xfId="19728"/>
    <cellStyle name="Input 3 4 2 2 7" xfId="20750"/>
    <cellStyle name="Input 3 4 2 2 8" xfId="21761"/>
    <cellStyle name="Input 3 4 2 2 9" xfId="22732"/>
    <cellStyle name="Input 3 4 2 3" xfId="4907"/>
    <cellStyle name="Input 3 4 2 3 10" xfId="23739"/>
    <cellStyle name="Input 3 4 2 3 11" xfId="24711"/>
    <cellStyle name="Input 3 4 2 3 12" xfId="25710"/>
    <cellStyle name="Input 3 4 2 3 13" xfId="28657"/>
    <cellStyle name="Input 3 4 2 3 14" xfId="29624"/>
    <cellStyle name="Input 3 4 2 3 15" xfId="30666"/>
    <cellStyle name="Input 3 4 2 3 16" xfId="31657"/>
    <cellStyle name="Input 3 4 2 3 17" xfId="32665"/>
    <cellStyle name="Input 3 4 2 3 18" xfId="33668"/>
    <cellStyle name="Input 3 4 2 3 19" xfId="34667"/>
    <cellStyle name="Input 3 4 2 3 2" xfId="4908"/>
    <cellStyle name="Input 3 4 2 3 2 10" xfId="24712"/>
    <cellStyle name="Input 3 4 2 3 2 11" xfId="25711"/>
    <cellStyle name="Input 3 4 2 3 2 12" xfId="28658"/>
    <cellStyle name="Input 3 4 2 3 2 13" xfId="29625"/>
    <cellStyle name="Input 3 4 2 3 2 14" xfId="30667"/>
    <cellStyle name="Input 3 4 2 3 2 15" xfId="31658"/>
    <cellStyle name="Input 3 4 2 3 2 16" xfId="32666"/>
    <cellStyle name="Input 3 4 2 3 2 17" xfId="33669"/>
    <cellStyle name="Input 3 4 2 3 2 18" xfId="34668"/>
    <cellStyle name="Input 3 4 2 3 2 19" xfId="36289"/>
    <cellStyle name="Input 3 4 2 3 2 2" xfId="16693"/>
    <cellStyle name="Input 3 4 2 3 2 20" xfId="37228"/>
    <cellStyle name="Input 3 4 2 3 2 3" xfId="17672"/>
    <cellStyle name="Input 3 4 2 3 2 4" xfId="18699"/>
    <cellStyle name="Input 3 4 2 3 2 5" xfId="19731"/>
    <cellStyle name="Input 3 4 2 3 2 6" xfId="20753"/>
    <cellStyle name="Input 3 4 2 3 2 7" xfId="21764"/>
    <cellStyle name="Input 3 4 2 3 2 8" xfId="22735"/>
    <cellStyle name="Input 3 4 2 3 2 9" xfId="23740"/>
    <cellStyle name="Input 3 4 2 3 20" xfId="36288"/>
    <cellStyle name="Input 3 4 2 3 21" xfId="37227"/>
    <cellStyle name="Input 3 4 2 3 3" xfId="16692"/>
    <cellStyle name="Input 3 4 2 3 4" xfId="17671"/>
    <cellStyle name="Input 3 4 2 3 5" xfId="18698"/>
    <cellStyle name="Input 3 4 2 3 6" xfId="19730"/>
    <cellStyle name="Input 3 4 2 3 7" xfId="20752"/>
    <cellStyle name="Input 3 4 2 3 8" xfId="21763"/>
    <cellStyle name="Input 3 4 2 3 9" xfId="22734"/>
    <cellStyle name="Input 3 4 2 4" xfId="4909"/>
    <cellStyle name="Input 3 4 2 4 10" xfId="23741"/>
    <cellStyle name="Input 3 4 2 4 11" xfId="24713"/>
    <cellStyle name="Input 3 4 2 4 12" xfId="25712"/>
    <cellStyle name="Input 3 4 2 4 13" xfId="28659"/>
    <cellStyle name="Input 3 4 2 4 14" xfId="29626"/>
    <cellStyle name="Input 3 4 2 4 15" xfId="30668"/>
    <cellStyle name="Input 3 4 2 4 16" xfId="31659"/>
    <cellStyle name="Input 3 4 2 4 17" xfId="32667"/>
    <cellStyle name="Input 3 4 2 4 18" xfId="33670"/>
    <cellStyle name="Input 3 4 2 4 19" xfId="34669"/>
    <cellStyle name="Input 3 4 2 4 2" xfId="4910"/>
    <cellStyle name="Input 3 4 2 4 2 10" xfId="24714"/>
    <cellStyle name="Input 3 4 2 4 2 11" xfId="25713"/>
    <cellStyle name="Input 3 4 2 4 2 12" xfId="28660"/>
    <cellStyle name="Input 3 4 2 4 2 13" xfId="29627"/>
    <cellStyle name="Input 3 4 2 4 2 14" xfId="30669"/>
    <cellStyle name="Input 3 4 2 4 2 15" xfId="31660"/>
    <cellStyle name="Input 3 4 2 4 2 16" xfId="32668"/>
    <cellStyle name="Input 3 4 2 4 2 17" xfId="33671"/>
    <cellStyle name="Input 3 4 2 4 2 18" xfId="34670"/>
    <cellStyle name="Input 3 4 2 4 2 19" xfId="36291"/>
    <cellStyle name="Input 3 4 2 4 2 2" xfId="16695"/>
    <cellStyle name="Input 3 4 2 4 2 20" xfId="37230"/>
    <cellStyle name="Input 3 4 2 4 2 3" xfId="17674"/>
    <cellStyle name="Input 3 4 2 4 2 4" xfId="18701"/>
    <cellStyle name="Input 3 4 2 4 2 5" xfId="19733"/>
    <cellStyle name="Input 3 4 2 4 2 6" xfId="20755"/>
    <cellStyle name="Input 3 4 2 4 2 7" xfId="21766"/>
    <cellStyle name="Input 3 4 2 4 2 8" xfId="22737"/>
    <cellStyle name="Input 3 4 2 4 2 9" xfId="23742"/>
    <cellStyle name="Input 3 4 2 4 20" xfId="36290"/>
    <cellStyle name="Input 3 4 2 4 21" xfId="37229"/>
    <cellStyle name="Input 3 4 2 4 3" xfId="16694"/>
    <cellStyle name="Input 3 4 2 4 4" xfId="17673"/>
    <cellStyle name="Input 3 4 2 4 5" xfId="18700"/>
    <cellStyle name="Input 3 4 2 4 6" xfId="19732"/>
    <cellStyle name="Input 3 4 2 4 7" xfId="20754"/>
    <cellStyle name="Input 3 4 2 4 8" xfId="21765"/>
    <cellStyle name="Input 3 4 2 4 9" xfId="22736"/>
    <cellStyle name="Input 3 4 2 5" xfId="4911"/>
    <cellStyle name="Input 3 4 2 5 10" xfId="24715"/>
    <cellStyle name="Input 3 4 2 5 11" xfId="25714"/>
    <cellStyle name="Input 3 4 2 5 12" xfId="28661"/>
    <cellStyle name="Input 3 4 2 5 13" xfId="29628"/>
    <cellStyle name="Input 3 4 2 5 14" xfId="30670"/>
    <cellStyle name="Input 3 4 2 5 15" xfId="31661"/>
    <cellStyle name="Input 3 4 2 5 16" xfId="32669"/>
    <cellStyle name="Input 3 4 2 5 17" xfId="33672"/>
    <cellStyle name="Input 3 4 2 5 18" xfId="34671"/>
    <cellStyle name="Input 3 4 2 5 19" xfId="36292"/>
    <cellStyle name="Input 3 4 2 5 2" xfId="16696"/>
    <cellStyle name="Input 3 4 2 5 20" xfId="37231"/>
    <cellStyle name="Input 3 4 2 5 3" xfId="17675"/>
    <cellStyle name="Input 3 4 2 5 4" xfId="18702"/>
    <cellStyle name="Input 3 4 2 5 5" xfId="19734"/>
    <cellStyle name="Input 3 4 2 5 6" xfId="20756"/>
    <cellStyle name="Input 3 4 2 5 7" xfId="21767"/>
    <cellStyle name="Input 3 4 2 5 8" xfId="22738"/>
    <cellStyle name="Input 3 4 2 5 9" xfId="23743"/>
    <cellStyle name="Input 3 4 2 6" xfId="13716"/>
    <cellStyle name="Input 3 4 2 7" xfId="15590"/>
    <cellStyle name="Input 3 4 2 8" xfId="15742"/>
    <cellStyle name="Input 3 4 2 9" xfId="14166"/>
    <cellStyle name="Input 3 4 20" xfId="26440"/>
    <cellStyle name="Input 3 4 21" xfId="27547"/>
    <cellStyle name="Input 3 4 22" xfId="34937"/>
    <cellStyle name="Input 3 4 23" xfId="34925"/>
    <cellStyle name="Input 3 4 3" xfId="4912"/>
    <cellStyle name="Input 3 4 3 10" xfId="14957"/>
    <cellStyle name="Input 3 4 3 11" xfId="20901"/>
    <cellStyle name="Input 3 4 3 12" xfId="26378"/>
    <cellStyle name="Input 3 4 3 13" xfId="27128"/>
    <cellStyle name="Input 3 4 3 14" xfId="25923"/>
    <cellStyle name="Input 3 4 3 15" xfId="26768"/>
    <cellStyle name="Input 3 4 3 16" xfId="26954"/>
    <cellStyle name="Input 3 4 3 17" xfId="26839"/>
    <cellStyle name="Input 3 4 3 18" xfId="35069"/>
    <cellStyle name="Input 3 4 3 19" xfId="35284"/>
    <cellStyle name="Input 3 4 3 2" xfId="4913"/>
    <cellStyle name="Input 3 4 3 2 10" xfId="23744"/>
    <cellStyle name="Input 3 4 3 2 11" xfId="24716"/>
    <cellStyle name="Input 3 4 3 2 12" xfId="25715"/>
    <cellStyle name="Input 3 4 3 2 13" xfId="28662"/>
    <cellStyle name="Input 3 4 3 2 14" xfId="29629"/>
    <cellStyle name="Input 3 4 3 2 15" xfId="30671"/>
    <cellStyle name="Input 3 4 3 2 16" xfId="31662"/>
    <cellStyle name="Input 3 4 3 2 17" xfId="32670"/>
    <cellStyle name="Input 3 4 3 2 18" xfId="33673"/>
    <cellStyle name="Input 3 4 3 2 19" xfId="34672"/>
    <cellStyle name="Input 3 4 3 2 2" xfId="4914"/>
    <cellStyle name="Input 3 4 3 2 2 10" xfId="24717"/>
    <cellStyle name="Input 3 4 3 2 2 11" xfId="25716"/>
    <cellStyle name="Input 3 4 3 2 2 12" xfId="28663"/>
    <cellStyle name="Input 3 4 3 2 2 13" xfId="29630"/>
    <cellStyle name="Input 3 4 3 2 2 14" xfId="30672"/>
    <cellStyle name="Input 3 4 3 2 2 15" xfId="31663"/>
    <cellStyle name="Input 3 4 3 2 2 16" xfId="32671"/>
    <cellStyle name="Input 3 4 3 2 2 17" xfId="33674"/>
    <cellStyle name="Input 3 4 3 2 2 18" xfId="34673"/>
    <cellStyle name="Input 3 4 3 2 2 19" xfId="36294"/>
    <cellStyle name="Input 3 4 3 2 2 2" xfId="16698"/>
    <cellStyle name="Input 3 4 3 2 2 20" xfId="37233"/>
    <cellStyle name="Input 3 4 3 2 2 3" xfId="17677"/>
    <cellStyle name="Input 3 4 3 2 2 4" xfId="18704"/>
    <cellStyle name="Input 3 4 3 2 2 5" xfId="19736"/>
    <cellStyle name="Input 3 4 3 2 2 6" xfId="20758"/>
    <cellStyle name="Input 3 4 3 2 2 7" xfId="21769"/>
    <cellStyle name="Input 3 4 3 2 2 8" xfId="22740"/>
    <cellStyle name="Input 3 4 3 2 2 9" xfId="23745"/>
    <cellStyle name="Input 3 4 3 2 20" xfId="36293"/>
    <cellStyle name="Input 3 4 3 2 21" xfId="37232"/>
    <cellStyle name="Input 3 4 3 2 3" xfId="16697"/>
    <cellStyle name="Input 3 4 3 2 4" xfId="17676"/>
    <cellStyle name="Input 3 4 3 2 5" xfId="18703"/>
    <cellStyle name="Input 3 4 3 2 6" xfId="19735"/>
    <cellStyle name="Input 3 4 3 2 7" xfId="20757"/>
    <cellStyle name="Input 3 4 3 2 8" xfId="21768"/>
    <cellStyle name="Input 3 4 3 2 9" xfId="22739"/>
    <cellStyle name="Input 3 4 3 3" xfId="4915"/>
    <cellStyle name="Input 3 4 3 3 10" xfId="23746"/>
    <cellStyle name="Input 3 4 3 3 11" xfId="24718"/>
    <cellStyle name="Input 3 4 3 3 12" xfId="25717"/>
    <cellStyle name="Input 3 4 3 3 13" xfId="28664"/>
    <cellStyle name="Input 3 4 3 3 14" xfId="29631"/>
    <cellStyle name="Input 3 4 3 3 15" xfId="30673"/>
    <cellStyle name="Input 3 4 3 3 16" xfId="31664"/>
    <cellStyle name="Input 3 4 3 3 17" xfId="32672"/>
    <cellStyle name="Input 3 4 3 3 18" xfId="33675"/>
    <cellStyle name="Input 3 4 3 3 19" xfId="34674"/>
    <cellStyle name="Input 3 4 3 3 2" xfId="4916"/>
    <cellStyle name="Input 3 4 3 3 2 10" xfId="24719"/>
    <cellStyle name="Input 3 4 3 3 2 11" xfId="25718"/>
    <cellStyle name="Input 3 4 3 3 2 12" xfId="28665"/>
    <cellStyle name="Input 3 4 3 3 2 13" xfId="29632"/>
    <cellStyle name="Input 3 4 3 3 2 14" xfId="30674"/>
    <cellStyle name="Input 3 4 3 3 2 15" xfId="31665"/>
    <cellStyle name="Input 3 4 3 3 2 16" xfId="32673"/>
    <cellStyle name="Input 3 4 3 3 2 17" xfId="33676"/>
    <cellStyle name="Input 3 4 3 3 2 18" xfId="34675"/>
    <cellStyle name="Input 3 4 3 3 2 19" xfId="36296"/>
    <cellStyle name="Input 3 4 3 3 2 2" xfId="16700"/>
    <cellStyle name="Input 3 4 3 3 2 20" xfId="37235"/>
    <cellStyle name="Input 3 4 3 3 2 3" xfId="17679"/>
    <cellStyle name="Input 3 4 3 3 2 4" xfId="18706"/>
    <cellStyle name="Input 3 4 3 3 2 5" xfId="19738"/>
    <cellStyle name="Input 3 4 3 3 2 6" xfId="20760"/>
    <cellStyle name="Input 3 4 3 3 2 7" xfId="21771"/>
    <cellStyle name="Input 3 4 3 3 2 8" xfId="22742"/>
    <cellStyle name="Input 3 4 3 3 2 9" xfId="23747"/>
    <cellStyle name="Input 3 4 3 3 20" xfId="36295"/>
    <cellStyle name="Input 3 4 3 3 21" xfId="37234"/>
    <cellStyle name="Input 3 4 3 3 3" xfId="16699"/>
    <cellStyle name="Input 3 4 3 3 4" xfId="17678"/>
    <cellStyle name="Input 3 4 3 3 5" xfId="18705"/>
    <cellStyle name="Input 3 4 3 3 6" xfId="19737"/>
    <cellStyle name="Input 3 4 3 3 7" xfId="20759"/>
    <cellStyle name="Input 3 4 3 3 8" xfId="21770"/>
    <cellStyle name="Input 3 4 3 3 9" xfId="22741"/>
    <cellStyle name="Input 3 4 3 4" xfId="4917"/>
    <cellStyle name="Input 3 4 3 4 10" xfId="23748"/>
    <cellStyle name="Input 3 4 3 4 11" xfId="24720"/>
    <cellStyle name="Input 3 4 3 4 12" xfId="25719"/>
    <cellStyle name="Input 3 4 3 4 13" xfId="28666"/>
    <cellStyle name="Input 3 4 3 4 14" xfId="29633"/>
    <cellStyle name="Input 3 4 3 4 15" xfId="30675"/>
    <cellStyle name="Input 3 4 3 4 16" xfId="31666"/>
    <cellStyle name="Input 3 4 3 4 17" xfId="32674"/>
    <cellStyle name="Input 3 4 3 4 18" xfId="33677"/>
    <cellStyle name="Input 3 4 3 4 19" xfId="34676"/>
    <cellStyle name="Input 3 4 3 4 2" xfId="4918"/>
    <cellStyle name="Input 3 4 3 4 2 10" xfId="24721"/>
    <cellStyle name="Input 3 4 3 4 2 11" xfId="25720"/>
    <cellStyle name="Input 3 4 3 4 2 12" xfId="28667"/>
    <cellStyle name="Input 3 4 3 4 2 13" xfId="29634"/>
    <cellStyle name="Input 3 4 3 4 2 14" xfId="30676"/>
    <cellStyle name="Input 3 4 3 4 2 15" xfId="31667"/>
    <cellStyle name="Input 3 4 3 4 2 16" xfId="32675"/>
    <cellStyle name="Input 3 4 3 4 2 17" xfId="33678"/>
    <cellStyle name="Input 3 4 3 4 2 18" xfId="34677"/>
    <cellStyle name="Input 3 4 3 4 2 19" xfId="36298"/>
    <cellStyle name="Input 3 4 3 4 2 2" xfId="16702"/>
    <cellStyle name="Input 3 4 3 4 2 20" xfId="37237"/>
    <cellStyle name="Input 3 4 3 4 2 3" xfId="17681"/>
    <cellStyle name="Input 3 4 3 4 2 4" xfId="18708"/>
    <cellStyle name="Input 3 4 3 4 2 5" xfId="19740"/>
    <cellStyle name="Input 3 4 3 4 2 6" xfId="20762"/>
    <cellStyle name="Input 3 4 3 4 2 7" xfId="21773"/>
    <cellStyle name="Input 3 4 3 4 2 8" xfId="22744"/>
    <cellStyle name="Input 3 4 3 4 2 9" xfId="23749"/>
    <cellStyle name="Input 3 4 3 4 20" xfId="36297"/>
    <cellStyle name="Input 3 4 3 4 21" xfId="37236"/>
    <cellStyle name="Input 3 4 3 4 3" xfId="16701"/>
    <cellStyle name="Input 3 4 3 4 4" xfId="17680"/>
    <cellStyle name="Input 3 4 3 4 5" xfId="18707"/>
    <cellStyle name="Input 3 4 3 4 6" xfId="19739"/>
    <cellStyle name="Input 3 4 3 4 7" xfId="20761"/>
    <cellStyle name="Input 3 4 3 4 8" xfId="21772"/>
    <cellStyle name="Input 3 4 3 4 9" xfId="22743"/>
    <cellStyle name="Input 3 4 3 5" xfId="4919"/>
    <cellStyle name="Input 3 4 3 5 10" xfId="24722"/>
    <cellStyle name="Input 3 4 3 5 11" xfId="25721"/>
    <cellStyle name="Input 3 4 3 5 12" xfId="28668"/>
    <cellStyle name="Input 3 4 3 5 13" xfId="29635"/>
    <cellStyle name="Input 3 4 3 5 14" xfId="30677"/>
    <cellStyle name="Input 3 4 3 5 15" xfId="31668"/>
    <cellStyle name="Input 3 4 3 5 16" xfId="32676"/>
    <cellStyle name="Input 3 4 3 5 17" xfId="33679"/>
    <cellStyle name="Input 3 4 3 5 18" xfId="34678"/>
    <cellStyle name="Input 3 4 3 5 19" xfId="36299"/>
    <cellStyle name="Input 3 4 3 5 2" xfId="16703"/>
    <cellStyle name="Input 3 4 3 5 20" xfId="37238"/>
    <cellStyle name="Input 3 4 3 5 3" xfId="17682"/>
    <cellStyle name="Input 3 4 3 5 4" xfId="18709"/>
    <cellStyle name="Input 3 4 3 5 5" xfId="19741"/>
    <cellStyle name="Input 3 4 3 5 6" xfId="20763"/>
    <cellStyle name="Input 3 4 3 5 7" xfId="21774"/>
    <cellStyle name="Input 3 4 3 5 8" xfId="22745"/>
    <cellStyle name="Input 3 4 3 5 9" xfId="23750"/>
    <cellStyle name="Input 3 4 3 6" xfId="15408"/>
    <cellStyle name="Input 3 4 3 7" xfId="14003"/>
    <cellStyle name="Input 3 4 3 8" xfId="15836"/>
    <cellStyle name="Input 3 4 3 9" xfId="14522"/>
    <cellStyle name="Input 3 4 4" xfId="4920"/>
    <cellStyle name="Input 3 4 4 10" xfId="14953"/>
    <cellStyle name="Input 3 4 4 11" xfId="15648"/>
    <cellStyle name="Input 3 4 4 12" xfId="26356"/>
    <cellStyle name="Input 3 4 4 13" xfId="26035"/>
    <cellStyle name="Input 3 4 4 14" xfId="26821"/>
    <cellStyle name="Input 3 4 4 15" xfId="26542"/>
    <cellStyle name="Input 3 4 4 16" xfId="26964"/>
    <cellStyle name="Input 3 4 4 17" xfId="27589"/>
    <cellStyle name="Input 3 4 4 18" xfId="35048"/>
    <cellStyle name="Input 3 4 4 19" xfId="35435"/>
    <cellStyle name="Input 3 4 4 2" xfId="4921"/>
    <cellStyle name="Input 3 4 4 2 10" xfId="23751"/>
    <cellStyle name="Input 3 4 4 2 11" xfId="24723"/>
    <cellStyle name="Input 3 4 4 2 12" xfId="25722"/>
    <cellStyle name="Input 3 4 4 2 13" xfId="28669"/>
    <cellStyle name="Input 3 4 4 2 14" xfId="29636"/>
    <cellStyle name="Input 3 4 4 2 15" xfId="30678"/>
    <cellStyle name="Input 3 4 4 2 16" xfId="31669"/>
    <cellStyle name="Input 3 4 4 2 17" xfId="32677"/>
    <cellStyle name="Input 3 4 4 2 18" xfId="33680"/>
    <cellStyle name="Input 3 4 4 2 19" xfId="34679"/>
    <cellStyle name="Input 3 4 4 2 2" xfId="4922"/>
    <cellStyle name="Input 3 4 4 2 2 10" xfId="24724"/>
    <cellStyle name="Input 3 4 4 2 2 11" xfId="25723"/>
    <cellStyle name="Input 3 4 4 2 2 12" xfId="28670"/>
    <cellStyle name="Input 3 4 4 2 2 13" xfId="29637"/>
    <cellStyle name="Input 3 4 4 2 2 14" xfId="30679"/>
    <cellStyle name="Input 3 4 4 2 2 15" xfId="31670"/>
    <cellStyle name="Input 3 4 4 2 2 16" xfId="32678"/>
    <cellStyle name="Input 3 4 4 2 2 17" xfId="33681"/>
    <cellStyle name="Input 3 4 4 2 2 18" xfId="34680"/>
    <cellStyle name="Input 3 4 4 2 2 19" xfId="36301"/>
    <cellStyle name="Input 3 4 4 2 2 2" xfId="16705"/>
    <cellStyle name="Input 3 4 4 2 2 20" xfId="37240"/>
    <cellStyle name="Input 3 4 4 2 2 3" xfId="17684"/>
    <cellStyle name="Input 3 4 4 2 2 4" xfId="18711"/>
    <cellStyle name="Input 3 4 4 2 2 5" xfId="19743"/>
    <cellStyle name="Input 3 4 4 2 2 6" xfId="20765"/>
    <cellStyle name="Input 3 4 4 2 2 7" xfId="21776"/>
    <cellStyle name="Input 3 4 4 2 2 8" xfId="22747"/>
    <cellStyle name="Input 3 4 4 2 2 9" xfId="23752"/>
    <cellStyle name="Input 3 4 4 2 20" xfId="36300"/>
    <cellStyle name="Input 3 4 4 2 21" xfId="37239"/>
    <cellStyle name="Input 3 4 4 2 3" xfId="16704"/>
    <cellStyle name="Input 3 4 4 2 4" xfId="17683"/>
    <cellStyle name="Input 3 4 4 2 5" xfId="18710"/>
    <cellStyle name="Input 3 4 4 2 6" xfId="19742"/>
    <cellStyle name="Input 3 4 4 2 7" xfId="20764"/>
    <cellStyle name="Input 3 4 4 2 8" xfId="21775"/>
    <cellStyle name="Input 3 4 4 2 9" xfId="22746"/>
    <cellStyle name="Input 3 4 4 3" xfId="4923"/>
    <cellStyle name="Input 3 4 4 3 10" xfId="23753"/>
    <cellStyle name="Input 3 4 4 3 11" xfId="24725"/>
    <cellStyle name="Input 3 4 4 3 12" xfId="25724"/>
    <cellStyle name="Input 3 4 4 3 13" xfId="28671"/>
    <cellStyle name="Input 3 4 4 3 14" xfId="29638"/>
    <cellStyle name="Input 3 4 4 3 15" xfId="30680"/>
    <cellStyle name="Input 3 4 4 3 16" xfId="31671"/>
    <cellStyle name="Input 3 4 4 3 17" xfId="32679"/>
    <cellStyle name="Input 3 4 4 3 18" xfId="33682"/>
    <cellStyle name="Input 3 4 4 3 19" xfId="34681"/>
    <cellStyle name="Input 3 4 4 3 2" xfId="4924"/>
    <cellStyle name="Input 3 4 4 3 2 10" xfId="24726"/>
    <cellStyle name="Input 3 4 4 3 2 11" xfId="25725"/>
    <cellStyle name="Input 3 4 4 3 2 12" xfId="28672"/>
    <cellStyle name="Input 3 4 4 3 2 13" xfId="29639"/>
    <cellStyle name="Input 3 4 4 3 2 14" xfId="30681"/>
    <cellStyle name="Input 3 4 4 3 2 15" xfId="31672"/>
    <cellStyle name="Input 3 4 4 3 2 16" xfId="32680"/>
    <cellStyle name="Input 3 4 4 3 2 17" xfId="33683"/>
    <cellStyle name="Input 3 4 4 3 2 18" xfId="34682"/>
    <cellStyle name="Input 3 4 4 3 2 19" xfId="36303"/>
    <cellStyle name="Input 3 4 4 3 2 2" xfId="16707"/>
    <cellStyle name="Input 3 4 4 3 2 20" xfId="37242"/>
    <cellStyle name="Input 3 4 4 3 2 3" xfId="17686"/>
    <cellStyle name="Input 3 4 4 3 2 4" xfId="18713"/>
    <cellStyle name="Input 3 4 4 3 2 5" xfId="19745"/>
    <cellStyle name="Input 3 4 4 3 2 6" xfId="20767"/>
    <cellStyle name="Input 3 4 4 3 2 7" xfId="21778"/>
    <cellStyle name="Input 3 4 4 3 2 8" xfId="22749"/>
    <cellStyle name="Input 3 4 4 3 2 9" xfId="23754"/>
    <cellStyle name="Input 3 4 4 3 20" xfId="36302"/>
    <cellStyle name="Input 3 4 4 3 21" xfId="37241"/>
    <cellStyle name="Input 3 4 4 3 3" xfId="16706"/>
    <cellStyle name="Input 3 4 4 3 4" xfId="17685"/>
    <cellStyle name="Input 3 4 4 3 5" xfId="18712"/>
    <cellStyle name="Input 3 4 4 3 6" xfId="19744"/>
    <cellStyle name="Input 3 4 4 3 7" xfId="20766"/>
    <cellStyle name="Input 3 4 4 3 8" xfId="21777"/>
    <cellStyle name="Input 3 4 4 3 9" xfId="22748"/>
    <cellStyle name="Input 3 4 4 4" xfId="4925"/>
    <cellStyle name="Input 3 4 4 4 10" xfId="23755"/>
    <cellStyle name="Input 3 4 4 4 11" xfId="24727"/>
    <cellStyle name="Input 3 4 4 4 12" xfId="25726"/>
    <cellStyle name="Input 3 4 4 4 13" xfId="28673"/>
    <cellStyle name="Input 3 4 4 4 14" xfId="29640"/>
    <cellStyle name="Input 3 4 4 4 15" xfId="30682"/>
    <cellStyle name="Input 3 4 4 4 16" xfId="31673"/>
    <cellStyle name="Input 3 4 4 4 17" xfId="32681"/>
    <cellStyle name="Input 3 4 4 4 18" xfId="33684"/>
    <cellStyle name="Input 3 4 4 4 19" xfId="34683"/>
    <cellStyle name="Input 3 4 4 4 2" xfId="4926"/>
    <cellStyle name="Input 3 4 4 4 2 10" xfId="24728"/>
    <cellStyle name="Input 3 4 4 4 2 11" xfId="25727"/>
    <cellStyle name="Input 3 4 4 4 2 12" xfId="28674"/>
    <cellStyle name="Input 3 4 4 4 2 13" xfId="29641"/>
    <cellStyle name="Input 3 4 4 4 2 14" xfId="30683"/>
    <cellStyle name="Input 3 4 4 4 2 15" xfId="31674"/>
    <cellStyle name="Input 3 4 4 4 2 16" xfId="32682"/>
    <cellStyle name="Input 3 4 4 4 2 17" xfId="33685"/>
    <cellStyle name="Input 3 4 4 4 2 18" xfId="34684"/>
    <cellStyle name="Input 3 4 4 4 2 19" xfId="36305"/>
    <cellStyle name="Input 3 4 4 4 2 2" xfId="16709"/>
    <cellStyle name="Input 3 4 4 4 2 20" xfId="37244"/>
    <cellStyle name="Input 3 4 4 4 2 3" xfId="17688"/>
    <cellStyle name="Input 3 4 4 4 2 4" xfId="18715"/>
    <cellStyle name="Input 3 4 4 4 2 5" xfId="19747"/>
    <cellStyle name="Input 3 4 4 4 2 6" xfId="20769"/>
    <cellStyle name="Input 3 4 4 4 2 7" xfId="21780"/>
    <cellStyle name="Input 3 4 4 4 2 8" xfId="22751"/>
    <cellStyle name="Input 3 4 4 4 2 9" xfId="23756"/>
    <cellStyle name="Input 3 4 4 4 20" xfId="36304"/>
    <cellStyle name="Input 3 4 4 4 21" xfId="37243"/>
    <cellStyle name="Input 3 4 4 4 3" xfId="16708"/>
    <cellStyle name="Input 3 4 4 4 4" xfId="17687"/>
    <cellStyle name="Input 3 4 4 4 5" xfId="18714"/>
    <cellStyle name="Input 3 4 4 4 6" xfId="19746"/>
    <cellStyle name="Input 3 4 4 4 7" xfId="20768"/>
    <cellStyle name="Input 3 4 4 4 8" xfId="21779"/>
    <cellStyle name="Input 3 4 4 4 9" xfId="22750"/>
    <cellStyle name="Input 3 4 4 5" xfId="4927"/>
    <cellStyle name="Input 3 4 4 5 10" xfId="24729"/>
    <cellStyle name="Input 3 4 4 5 11" xfId="25728"/>
    <cellStyle name="Input 3 4 4 5 12" xfId="28675"/>
    <cellStyle name="Input 3 4 4 5 13" xfId="29642"/>
    <cellStyle name="Input 3 4 4 5 14" xfId="30684"/>
    <cellStyle name="Input 3 4 4 5 15" xfId="31675"/>
    <cellStyle name="Input 3 4 4 5 16" xfId="32683"/>
    <cellStyle name="Input 3 4 4 5 17" xfId="33686"/>
    <cellStyle name="Input 3 4 4 5 18" xfId="34685"/>
    <cellStyle name="Input 3 4 4 5 19" xfId="36306"/>
    <cellStyle name="Input 3 4 4 5 2" xfId="16710"/>
    <cellStyle name="Input 3 4 4 5 20" xfId="37245"/>
    <cellStyle name="Input 3 4 4 5 3" xfId="17689"/>
    <cellStyle name="Input 3 4 4 5 4" xfId="18716"/>
    <cellStyle name="Input 3 4 4 5 5" xfId="19748"/>
    <cellStyle name="Input 3 4 4 5 6" xfId="20770"/>
    <cellStyle name="Input 3 4 4 5 7" xfId="21781"/>
    <cellStyle name="Input 3 4 4 5 8" xfId="22752"/>
    <cellStyle name="Input 3 4 4 5 9" xfId="23757"/>
    <cellStyle name="Input 3 4 4 6" xfId="13753"/>
    <cellStyle name="Input 3 4 4 7" xfId="14548"/>
    <cellStyle name="Input 3 4 4 8" xfId="13823"/>
    <cellStyle name="Input 3 4 4 9" xfId="15570"/>
    <cellStyle name="Input 3 4 5" xfId="4928"/>
    <cellStyle name="Input 3 4 5 10" xfId="13565"/>
    <cellStyle name="Input 3 4 5 11" xfId="13953"/>
    <cellStyle name="Input 3 4 5 12" xfId="26444"/>
    <cellStyle name="Input 3 4 5 13" xfId="27086"/>
    <cellStyle name="Input 3 4 5 14" xfId="27841"/>
    <cellStyle name="Input 3 4 5 15" xfId="27370"/>
    <cellStyle name="Input 3 4 5 16" xfId="30843"/>
    <cellStyle name="Input 3 4 5 17" xfId="26261"/>
    <cellStyle name="Input 3 4 5 18" xfId="35127"/>
    <cellStyle name="Input 3 4 5 19" xfId="35242"/>
    <cellStyle name="Input 3 4 5 2" xfId="4929"/>
    <cellStyle name="Input 3 4 5 2 10" xfId="23758"/>
    <cellStyle name="Input 3 4 5 2 11" xfId="24730"/>
    <cellStyle name="Input 3 4 5 2 12" xfId="25729"/>
    <cellStyle name="Input 3 4 5 2 13" xfId="28676"/>
    <cellStyle name="Input 3 4 5 2 14" xfId="29643"/>
    <cellStyle name="Input 3 4 5 2 15" xfId="30685"/>
    <cellStyle name="Input 3 4 5 2 16" xfId="31676"/>
    <cellStyle name="Input 3 4 5 2 17" xfId="32684"/>
    <cellStyle name="Input 3 4 5 2 18" xfId="33687"/>
    <cellStyle name="Input 3 4 5 2 19" xfId="34686"/>
    <cellStyle name="Input 3 4 5 2 2" xfId="4930"/>
    <cellStyle name="Input 3 4 5 2 2 10" xfId="24731"/>
    <cellStyle name="Input 3 4 5 2 2 11" xfId="25730"/>
    <cellStyle name="Input 3 4 5 2 2 12" xfId="28677"/>
    <cellStyle name="Input 3 4 5 2 2 13" xfId="29644"/>
    <cellStyle name="Input 3 4 5 2 2 14" xfId="30686"/>
    <cellStyle name="Input 3 4 5 2 2 15" xfId="31677"/>
    <cellStyle name="Input 3 4 5 2 2 16" xfId="32685"/>
    <cellStyle name="Input 3 4 5 2 2 17" xfId="33688"/>
    <cellStyle name="Input 3 4 5 2 2 18" xfId="34687"/>
    <cellStyle name="Input 3 4 5 2 2 19" xfId="36308"/>
    <cellStyle name="Input 3 4 5 2 2 2" xfId="16712"/>
    <cellStyle name="Input 3 4 5 2 2 20" xfId="37247"/>
    <cellStyle name="Input 3 4 5 2 2 3" xfId="17691"/>
    <cellStyle name="Input 3 4 5 2 2 4" xfId="18718"/>
    <cellStyle name="Input 3 4 5 2 2 5" xfId="19750"/>
    <cellStyle name="Input 3 4 5 2 2 6" xfId="20772"/>
    <cellStyle name="Input 3 4 5 2 2 7" xfId="21783"/>
    <cellStyle name="Input 3 4 5 2 2 8" xfId="22754"/>
    <cellStyle name="Input 3 4 5 2 2 9" xfId="23759"/>
    <cellStyle name="Input 3 4 5 2 20" xfId="36307"/>
    <cellStyle name="Input 3 4 5 2 21" xfId="37246"/>
    <cellStyle name="Input 3 4 5 2 3" xfId="16711"/>
    <cellStyle name="Input 3 4 5 2 4" xfId="17690"/>
    <cellStyle name="Input 3 4 5 2 5" xfId="18717"/>
    <cellStyle name="Input 3 4 5 2 6" xfId="19749"/>
    <cellStyle name="Input 3 4 5 2 7" xfId="20771"/>
    <cellStyle name="Input 3 4 5 2 8" xfId="21782"/>
    <cellStyle name="Input 3 4 5 2 9" xfId="22753"/>
    <cellStyle name="Input 3 4 5 3" xfId="4931"/>
    <cellStyle name="Input 3 4 5 3 10" xfId="23760"/>
    <cellStyle name="Input 3 4 5 3 11" xfId="24732"/>
    <cellStyle name="Input 3 4 5 3 12" xfId="25731"/>
    <cellStyle name="Input 3 4 5 3 13" xfId="28678"/>
    <cellStyle name="Input 3 4 5 3 14" xfId="29645"/>
    <cellStyle name="Input 3 4 5 3 15" xfId="30687"/>
    <cellStyle name="Input 3 4 5 3 16" xfId="31678"/>
    <cellStyle name="Input 3 4 5 3 17" xfId="32686"/>
    <cellStyle name="Input 3 4 5 3 18" xfId="33689"/>
    <cellStyle name="Input 3 4 5 3 19" xfId="34688"/>
    <cellStyle name="Input 3 4 5 3 2" xfId="4932"/>
    <cellStyle name="Input 3 4 5 3 2 10" xfId="24733"/>
    <cellStyle name="Input 3 4 5 3 2 11" xfId="25732"/>
    <cellStyle name="Input 3 4 5 3 2 12" xfId="28679"/>
    <cellStyle name="Input 3 4 5 3 2 13" xfId="29646"/>
    <cellStyle name="Input 3 4 5 3 2 14" xfId="30688"/>
    <cellStyle name="Input 3 4 5 3 2 15" xfId="31679"/>
    <cellStyle name="Input 3 4 5 3 2 16" xfId="32687"/>
    <cellStyle name="Input 3 4 5 3 2 17" xfId="33690"/>
    <cellStyle name="Input 3 4 5 3 2 18" xfId="34689"/>
    <cellStyle name="Input 3 4 5 3 2 19" xfId="36310"/>
    <cellStyle name="Input 3 4 5 3 2 2" xfId="16714"/>
    <cellStyle name="Input 3 4 5 3 2 20" xfId="37249"/>
    <cellStyle name="Input 3 4 5 3 2 3" xfId="17693"/>
    <cellStyle name="Input 3 4 5 3 2 4" xfId="18720"/>
    <cellStyle name="Input 3 4 5 3 2 5" xfId="19752"/>
    <cellStyle name="Input 3 4 5 3 2 6" xfId="20774"/>
    <cellStyle name="Input 3 4 5 3 2 7" xfId="21785"/>
    <cellStyle name="Input 3 4 5 3 2 8" xfId="22756"/>
    <cellStyle name="Input 3 4 5 3 2 9" xfId="23761"/>
    <cellStyle name="Input 3 4 5 3 20" xfId="36309"/>
    <cellStyle name="Input 3 4 5 3 21" xfId="37248"/>
    <cellStyle name="Input 3 4 5 3 3" xfId="16713"/>
    <cellStyle name="Input 3 4 5 3 4" xfId="17692"/>
    <cellStyle name="Input 3 4 5 3 5" xfId="18719"/>
    <cellStyle name="Input 3 4 5 3 6" xfId="19751"/>
    <cellStyle name="Input 3 4 5 3 7" xfId="20773"/>
    <cellStyle name="Input 3 4 5 3 8" xfId="21784"/>
    <cellStyle name="Input 3 4 5 3 9" xfId="22755"/>
    <cellStyle name="Input 3 4 5 4" xfId="4933"/>
    <cellStyle name="Input 3 4 5 4 10" xfId="23762"/>
    <cellStyle name="Input 3 4 5 4 11" xfId="24734"/>
    <cellStyle name="Input 3 4 5 4 12" xfId="25733"/>
    <cellStyle name="Input 3 4 5 4 13" xfId="28680"/>
    <cellStyle name="Input 3 4 5 4 14" xfId="29647"/>
    <cellStyle name="Input 3 4 5 4 15" xfId="30689"/>
    <cellStyle name="Input 3 4 5 4 16" xfId="31680"/>
    <cellStyle name="Input 3 4 5 4 17" xfId="32688"/>
    <cellStyle name="Input 3 4 5 4 18" xfId="33691"/>
    <cellStyle name="Input 3 4 5 4 19" xfId="34690"/>
    <cellStyle name="Input 3 4 5 4 2" xfId="4934"/>
    <cellStyle name="Input 3 4 5 4 2 10" xfId="24735"/>
    <cellStyle name="Input 3 4 5 4 2 11" xfId="25734"/>
    <cellStyle name="Input 3 4 5 4 2 12" xfId="28681"/>
    <cellStyle name="Input 3 4 5 4 2 13" xfId="29648"/>
    <cellStyle name="Input 3 4 5 4 2 14" xfId="30690"/>
    <cellStyle name="Input 3 4 5 4 2 15" xfId="31681"/>
    <cellStyle name="Input 3 4 5 4 2 16" xfId="32689"/>
    <cellStyle name="Input 3 4 5 4 2 17" xfId="33692"/>
    <cellStyle name="Input 3 4 5 4 2 18" xfId="34691"/>
    <cellStyle name="Input 3 4 5 4 2 19" xfId="36312"/>
    <cellStyle name="Input 3 4 5 4 2 2" xfId="16716"/>
    <cellStyle name="Input 3 4 5 4 2 20" xfId="37251"/>
    <cellStyle name="Input 3 4 5 4 2 3" xfId="17695"/>
    <cellStyle name="Input 3 4 5 4 2 4" xfId="18722"/>
    <cellStyle name="Input 3 4 5 4 2 5" xfId="19754"/>
    <cellStyle name="Input 3 4 5 4 2 6" xfId="20776"/>
    <cellStyle name="Input 3 4 5 4 2 7" xfId="21787"/>
    <cellStyle name="Input 3 4 5 4 2 8" xfId="22758"/>
    <cellStyle name="Input 3 4 5 4 2 9" xfId="23763"/>
    <cellStyle name="Input 3 4 5 4 20" xfId="36311"/>
    <cellStyle name="Input 3 4 5 4 21" xfId="37250"/>
    <cellStyle name="Input 3 4 5 4 3" xfId="16715"/>
    <cellStyle name="Input 3 4 5 4 4" xfId="17694"/>
    <cellStyle name="Input 3 4 5 4 5" xfId="18721"/>
    <cellStyle name="Input 3 4 5 4 6" xfId="19753"/>
    <cellStyle name="Input 3 4 5 4 7" xfId="20775"/>
    <cellStyle name="Input 3 4 5 4 8" xfId="21786"/>
    <cellStyle name="Input 3 4 5 4 9" xfId="22757"/>
    <cellStyle name="Input 3 4 5 5" xfId="4935"/>
    <cellStyle name="Input 3 4 5 5 10" xfId="24736"/>
    <cellStyle name="Input 3 4 5 5 11" xfId="25735"/>
    <cellStyle name="Input 3 4 5 5 12" xfId="28682"/>
    <cellStyle name="Input 3 4 5 5 13" xfId="29649"/>
    <cellStyle name="Input 3 4 5 5 14" xfId="30691"/>
    <cellStyle name="Input 3 4 5 5 15" xfId="31682"/>
    <cellStyle name="Input 3 4 5 5 16" xfId="32690"/>
    <cellStyle name="Input 3 4 5 5 17" xfId="33693"/>
    <cellStyle name="Input 3 4 5 5 18" xfId="34692"/>
    <cellStyle name="Input 3 4 5 5 19" xfId="36313"/>
    <cellStyle name="Input 3 4 5 5 2" xfId="16717"/>
    <cellStyle name="Input 3 4 5 5 20" xfId="37252"/>
    <cellStyle name="Input 3 4 5 5 3" xfId="17696"/>
    <cellStyle name="Input 3 4 5 5 4" xfId="18723"/>
    <cellStyle name="Input 3 4 5 5 5" xfId="19755"/>
    <cellStyle name="Input 3 4 5 5 6" xfId="20777"/>
    <cellStyle name="Input 3 4 5 5 7" xfId="21788"/>
    <cellStyle name="Input 3 4 5 5 8" xfId="22759"/>
    <cellStyle name="Input 3 4 5 5 9" xfId="23764"/>
    <cellStyle name="Input 3 4 5 6" xfId="13555"/>
    <cellStyle name="Input 3 4 5 7" xfId="15173"/>
    <cellStyle name="Input 3 4 5 8" xfId="18910"/>
    <cellStyle name="Input 3 4 5 9" xfId="15037"/>
    <cellStyle name="Input 3 4 6" xfId="4936"/>
    <cellStyle name="Input 3 4 6 10" xfId="23765"/>
    <cellStyle name="Input 3 4 6 11" xfId="24737"/>
    <cellStyle name="Input 3 4 6 12" xfId="25736"/>
    <cellStyle name="Input 3 4 6 13" xfId="28683"/>
    <cellStyle name="Input 3 4 6 14" xfId="29650"/>
    <cellStyle name="Input 3 4 6 15" xfId="30692"/>
    <cellStyle name="Input 3 4 6 16" xfId="31683"/>
    <cellStyle name="Input 3 4 6 17" xfId="32691"/>
    <cellStyle name="Input 3 4 6 18" xfId="33694"/>
    <cellStyle name="Input 3 4 6 19" xfId="34693"/>
    <cellStyle name="Input 3 4 6 2" xfId="4937"/>
    <cellStyle name="Input 3 4 6 2 10" xfId="24738"/>
    <cellStyle name="Input 3 4 6 2 11" xfId="25737"/>
    <cellStyle name="Input 3 4 6 2 12" xfId="28684"/>
    <cellStyle name="Input 3 4 6 2 13" xfId="29651"/>
    <cellStyle name="Input 3 4 6 2 14" xfId="30693"/>
    <cellStyle name="Input 3 4 6 2 15" xfId="31684"/>
    <cellStyle name="Input 3 4 6 2 16" xfId="32692"/>
    <cellStyle name="Input 3 4 6 2 17" xfId="33695"/>
    <cellStyle name="Input 3 4 6 2 18" xfId="34694"/>
    <cellStyle name="Input 3 4 6 2 19" xfId="36315"/>
    <cellStyle name="Input 3 4 6 2 2" xfId="16719"/>
    <cellStyle name="Input 3 4 6 2 20" xfId="37254"/>
    <cellStyle name="Input 3 4 6 2 3" xfId="17698"/>
    <cellStyle name="Input 3 4 6 2 4" xfId="18725"/>
    <cellStyle name="Input 3 4 6 2 5" xfId="19757"/>
    <cellStyle name="Input 3 4 6 2 6" xfId="20779"/>
    <cellStyle name="Input 3 4 6 2 7" xfId="21790"/>
    <cellStyle name="Input 3 4 6 2 8" xfId="22761"/>
    <cellStyle name="Input 3 4 6 2 9" xfId="23766"/>
    <cellStyle name="Input 3 4 6 20" xfId="36314"/>
    <cellStyle name="Input 3 4 6 21" xfId="37253"/>
    <cellStyle name="Input 3 4 6 3" xfId="16718"/>
    <cellStyle name="Input 3 4 6 4" xfId="17697"/>
    <cellStyle name="Input 3 4 6 5" xfId="18724"/>
    <cellStyle name="Input 3 4 6 6" xfId="19756"/>
    <cellStyle name="Input 3 4 6 7" xfId="20778"/>
    <cellStyle name="Input 3 4 6 8" xfId="21789"/>
    <cellStyle name="Input 3 4 6 9" xfId="22760"/>
    <cellStyle name="Input 3 4 7" xfId="4938"/>
    <cellStyle name="Input 3 4 7 10" xfId="23767"/>
    <cellStyle name="Input 3 4 7 11" xfId="24739"/>
    <cellStyle name="Input 3 4 7 12" xfId="25738"/>
    <cellStyle name="Input 3 4 7 13" xfId="28685"/>
    <cellStyle name="Input 3 4 7 14" xfId="29652"/>
    <cellStyle name="Input 3 4 7 15" xfId="30694"/>
    <cellStyle name="Input 3 4 7 16" xfId="31685"/>
    <cellStyle name="Input 3 4 7 17" xfId="32693"/>
    <cellStyle name="Input 3 4 7 18" xfId="33696"/>
    <cellStyle name="Input 3 4 7 19" xfId="34695"/>
    <cellStyle name="Input 3 4 7 2" xfId="4939"/>
    <cellStyle name="Input 3 4 7 2 10" xfId="24740"/>
    <cellStyle name="Input 3 4 7 2 11" xfId="25739"/>
    <cellStyle name="Input 3 4 7 2 12" xfId="28686"/>
    <cellStyle name="Input 3 4 7 2 13" xfId="29653"/>
    <cellStyle name="Input 3 4 7 2 14" xfId="30695"/>
    <cellStyle name="Input 3 4 7 2 15" xfId="31686"/>
    <cellStyle name="Input 3 4 7 2 16" xfId="32694"/>
    <cellStyle name="Input 3 4 7 2 17" xfId="33697"/>
    <cellStyle name="Input 3 4 7 2 18" xfId="34696"/>
    <cellStyle name="Input 3 4 7 2 19" xfId="36317"/>
    <cellStyle name="Input 3 4 7 2 2" xfId="16721"/>
    <cellStyle name="Input 3 4 7 2 20" xfId="37256"/>
    <cellStyle name="Input 3 4 7 2 3" xfId="17700"/>
    <cellStyle name="Input 3 4 7 2 4" xfId="18727"/>
    <cellStyle name="Input 3 4 7 2 5" xfId="19759"/>
    <cellStyle name="Input 3 4 7 2 6" xfId="20781"/>
    <cellStyle name="Input 3 4 7 2 7" xfId="21792"/>
    <cellStyle name="Input 3 4 7 2 8" xfId="22763"/>
    <cellStyle name="Input 3 4 7 2 9" xfId="23768"/>
    <cellStyle name="Input 3 4 7 20" xfId="36316"/>
    <cellStyle name="Input 3 4 7 21" xfId="37255"/>
    <cellStyle name="Input 3 4 7 3" xfId="16720"/>
    <cellStyle name="Input 3 4 7 4" xfId="17699"/>
    <cellStyle name="Input 3 4 7 5" xfId="18726"/>
    <cellStyle name="Input 3 4 7 6" xfId="19758"/>
    <cellStyle name="Input 3 4 7 7" xfId="20780"/>
    <cellStyle name="Input 3 4 7 8" xfId="21791"/>
    <cellStyle name="Input 3 4 7 9" xfId="22762"/>
    <cellStyle name="Input 3 4 8" xfId="4940"/>
    <cellStyle name="Input 3 4 8 10" xfId="23769"/>
    <cellStyle name="Input 3 4 8 11" xfId="24741"/>
    <cellStyle name="Input 3 4 8 12" xfId="25740"/>
    <cellStyle name="Input 3 4 8 13" xfId="28687"/>
    <cellStyle name="Input 3 4 8 14" xfId="29654"/>
    <cellStyle name="Input 3 4 8 15" xfId="30696"/>
    <cellStyle name="Input 3 4 8 16" xfId="31687"/>
    <cellStyle name="Input 3 4 8 17" xfId="32695"/>
    <cellStyle name="Input 3 4 8 18" xfId="33698"/>
    <cellStyle name="Input 3 4 8 19" xfId="34697"/>
    <cellStyle name="Input 3 4 8 2" xfId="4941"/>
    <cellStyle name="Input 3 4 8 2 10" xfId="24742"/>
    <cellStyle name="Input 3 4 8 2 11" xfId="25741"/>
    <cellStyle name="Input 3 4 8 2 12" xfId="28688"/>
    <cellStyle name="Input 3 4 8 2 13" xfId="29655"/>
    <cellStyle name="Input 3 4 8 2 14" xfId="30697"/>
    <cellStyle name="Input 3 4 8 2 15" xfId="31688"/>
    <cellStyle name="Input 3 4 8 2 16" xfId="32696"/>
    <cellStyle name="Input 3 4 8 2 17" xfId="33699"/>
    <cellStyle name="Input 3 4 8 2 18" xfId="34698"/>
    <cellStyle name="Input 3 4 8 2 19" xfId="36319"/>
    <cellStyle name="Input 3 4 8 2 2" xfId="16723"/>
    <cellStyle name="Input 3 4 8 2 20" xfId="37258"/>
    <cellStyle name="Input 3 4 8 2 3" xfId="17702"/>
    <cellStyle name="Input 3 4 8 2 4" xfId="18729"/>
    <cellStyle name="Input 3 4 8 2 5" xfId="19761"/>
    <cellStyle name="Input 3 4 8 2 6" xfId="20783"/>
    <cellStyle name="Input 3 4 8 2 7" xfId="21794"/>
    <cellStyle name="Input 3 4 8 2 8" xfId="22765"/>
    <cellStyle name="Input 3 4 8 2 9" xfId="23770"/>
    <cellStyle name="Input 3 4 8 20" xfId="36318"/>
    <cellStyle name="Input 3 4 8 21" xfId="37257"/>
    <cellStyle name="Input 3 4 8 3" xfId="16722"/>
    <cellStyle name="Input 3 4 8 4" xfId="17701"/>
    <cellStyle name="Input 3 4 8 5" xfId="18728"/>
    <cellStyle name="Input 3 4 8 6" xfId="19760"/>
    <cellStyle name="Input 3 4 8 7" xfId="20782"/>
    <cellStyle name="Input 3 4 8 8" xfId="21793"/>
    <cellStyle name="Input 3 4 8 9" xfId="22764"/>
    <cellStyle name="Input 3 4 9" xfId="4942"/>
    <cellStyle name="Input 3 4 9 10" xfId="24743"/>
    <cellStyle name="Input 3 4 9 11" xfId="25742"/>
    <cellStyle name="Input 3 4 9 12" xfId="28689"/>
    <cellStyle name="Input 3 4 9 13" xfId="29656"/>
    <cellStyle name="Input 3 4 9 14" xfId="30698"/>
    <cellStyle name="Input 3 4 9 15" xfId="31689"/>
    <cellStyle name="Input 3 4 9 16" xfId="32697"/>
    <cellStyle name="Input 3 4 9 17" xfId="33700"/>
    <cellStyle name="Input 3 4 9 18" xfId="34699"/>
    <cellStyle name="Input 3 4 9 19" xfId="36320"/>
    <cellStyle name="Input 3 4 9 2" xfId="16724"/>
    <cellStyle name="Input 3 4 9 20" xfId="37259"/>
    <cellStyle name="Input 3 4 9 3" xfId="17703"/>
    <cellStyle name="Input 3 4 9 4" xfId="18730"/>
    <cellStyle name="Input 3 4 9 5" xfId="19762"/>
    <cellStyle name="Input 3 4 9 6" xfId="20784"/>
    <cellStyle name="Input 3 4 9 7" xfId="21795"/>
    <cellStyle name="Input 3 4 9 8" xfId="22766"/>
    <cellStyle name="Input 3 4 9 9" xfId="23771"/>
    <cellStyle name="Input 3 5" xfId="4943"/>
    <cellStyle name="Input 3 5 10" xfId="23772"/>
    <cellStyle name="Input 3 5 11" xfId="24744"/>
    <cellStyle name="Input 3 5 12" xfId="25743"/>
    <cellStyle name="Input 3 5 13" xfId="28690"/>
    <cellStyle name="Input 3 5 14" xfId="29657"/>
    <cellStyle name="Input 3 5 15" xfId="30699"/>
    <cellStyle name="Input 3 5 16" xfId="31690"/>
    <cellStyle name="Input 3 5 17" xfId="32698"/>
    <cellStyle name="Input 3 5 18" xfId="33701"/>
    <cellStyle name="Input 3 5 19" xfId="34700"/>
    <cellStyle name="Input 3 5 2" xfId="4944"/>
    <cellStyle name="Input 3 5 2 10" xfId="24745"/>
    <cellStyle name="Input 3 5 2 11" xfId="25744"/>
    <cellStyle name="Input 3 5 2 12" xfId="28691"/>
    <cellStyle name="Input 3 5 2 13" xfId="29658"/>
    <cellStyle name="Input 3 5 2 14" xfId="30700"/>
    <cellStyle name="Input 3 5 2 15" xfId="31691"/>
    <cellStyle name="Input 3 5 2 16" xfId="32699"/>
    <cellStyle name="Input 3 5 2 17" xfId="33702"/>
    <cellStyle name="Input 3 5 2 18" xfId="34701"/>
    <cellStyle name="Input 3 5 2 19" xfId="36322"/>
    <cellStyle name="Input 3 5 2 2" xfId="16726"/>
    <cellStyle name="Input 3 5 2 20" xfId="37261"/>
    <cellStyle name="Input 3 5 2 3" xfId="17705"/>
    <cellStyle name="Input 3 5 2 4" xfId="18732"/>
    <cellStyle name="Input 3 5 2 5" xfId="19764"/>
    <cellStyle name="Input 3 5 2 6" xfId="20786"/>
    <cellStyle name="Input 3 5 2 7" xfId="21797"/>
    <cellStyle name="Input 3 5 2 8" xfId="22768"/>
    <cellStyle name="Input 3 5 2 9" xfId="23773"/>
    <cellStyle name="Input 3 5 20" xfId="36321"/>
    <cellStyle name="Input 3 5 21" xfId="37260"/>
    <cellStyle name="Input 3 5 3" xfId="16725"/>
    <cellStyle name="Input 3 5 4" xfId="17704"/>
    <cellStyle name="Input 3 5 5" xfId="18731"/>
    <cellStyle name="Input 3 5 6" xfId="19763"/>
    <cellStyle name="Input 3 5 7" xfId="20785"/>
    <cellStyle name="Input 3 5 8" xfId="21796"/>
    <cellStyle name="Input 3 5 9" xfId="22767"/>
    <cellStyle name="Input 3 6" xfId="4945"/>
    <cellStyle name="Input 3 6 10" xfId="23774"/>
    <cellStyle name="Input 3 6 11" xfId="24746"/>
    <cellStyle name="Input 3 6 12" xfId="25745"/>
    <cellStyle name="Input 3 6 13" xfId="28692"/>
    <cellStyle name="Input 3 6 14" xfId="29659"/>
    <cellStyle name="Input 3 6 15" xfId="30701"/>
    <cellStyle name="Input 3 6 16" xfId="31692"/>
    <cellStyle name="Input 3 6 17" xfId="32700"/>
    <cellStyle name="Input 3 6 18" xfId="33703"/>
    <cellStyle name="Input 3 6 19" xfId="34702"/>
    <cellStyle name="Input 3 6 2" xfId="4946"/>
    <cellStyle name="Input 3 6 2 10" xfId="24747"/>
    <cellStyle name="Input 3 6 2 11" xfId="25746"/>
    <cellStyle name="Input 3 6 2 12" xfId="28693"/>
    <cellStyle name="Input 3 6 2 13" xfId="29660"/>
    <cellStyle name="Input 3 6 2 14" xfId="30702"/>
    <cellStyle name="Input 3 6 2 15" xfId="31693"/>
    <cellStyle name="Input 3 6 2 16" xfId="32701"/>
    <cellStyle name="Input 3 6 2 17" xfId="33704"/>
    <cellStyle name="Input 3 6 2 18" xfId="34703"/>
    <cellStyle name="Input 3 6 2 19" xfId="36324"/>
    <cellStyle name="Input 3 6 2 2" xfId="16728"/>
    <cellStyle name="Input 3 6 2 20" xfId="37263"/>
    <cellStyle name="Input 3 6 2 3" xfId="17707"/>
    <cellStyle name="Input 3 6 2 4" xfId="18734"/>
    <cellStyle name="Input 3 6 2 5" xfId="19766"/>
    <cellStyle name="Input 3 6 2 6" xfId="20788"/>
    <cellStyle name="Input 3 6 2 7" xfId="21799"/>
    <cellStyle name="Input 3 6 2 8" xfId="22770"/>
    <cellStyle name="Input 3 6 2 9" xfId="23775"/>
    <cellStyle name="Input 3 6 20" xfId="36323"/>
    <cellStyle name="Input 3 6 21" xfId="37262"/>
    <cellStyle name="Input 3 6 3" xfId="16727"/>
    <cellStyle name="Input 3 6 4" xfId="17706"/>
    <cellStyle name="Input 3 6 5" xfId="18733"/>
    <cellStyle name="Input 3 6 6" xfId="19765"/>
    <cellStyle name="Input 3 6 7" xfId="20787"/>
    <cellStyle name="Input 3 6 8" xfId="21798"/>
    <cellStyle name="Input 3 6 9" xfId="22769"/>
    <cellStyle name="Input 3 7" xfId="4947"/>
    <cellStyle name="Input 3 7 10" xfId="23776"/>
    <cellStyle name="Input 3 7 11" xfId="24748"/>
    <cellStyle name="Input 3 7 12" xfId="25747"/>
    <cellStyle name="Input 3 7 13" xfId="28694"/>
    <cellStyle name="Input 3 7 14" xfId="29661"/>
    <cellStyle name="Input 3 7 15" xfId="30703"/>
    <cellStyle name="Input 3 7 16" xfId="31694"/>
    <cellStyle name="Input 3 7 17" xfId="32702"/>
    <cellStyle name="Input 3 7 18" xfId="33705"/>
    <cellStyle name="Input 3 7 19" xfId="34704"/>
    <cellStyle name="Input 3 7 2" xfId="4948"/>
    <cellStyle name="Input 3 7 2 10" xfId="24749"/>
    <cellStyle name="Input 3 7 2 11" xfId="25748"/>
    <cellStyle name="Input 3 7 2 12" xfId="28695"/>
    <cellStyle name="Input 3 7 2 13" xfId="29662"/>
    <cellStyle name="Input 3 7 2 14" xfId="30704"/>
    <cellStyle name="Input 3 7 2 15" xfId="31695"/>
    <cellStyle name="Input 3 7 2 16" xfId="32703"/>
    <cellStyle name="Input 3 7 2 17" xfId="33706"/>
    <cellStyle name="Input 3 7 2 18" xfId="34705"/>
    <cellStyle name="Input 3 7 2 19" xfId="36326"/>
    <cellStyle name="Input 3 7 2 2" xfId="16730"/>
    <cellStyle name="Input 3 7 2 20" xfId="37265"/>
    <cellStyle name="Input 3 7 2 3" xfId="17709"/>
    <cellStyle name="Input 3 7 2 4" xfId="18736"/>
    <cellStyle name="Input 3 7 2 5" xfId="19768"/>
    <cellStyle name="Input 3 7 2 6" xfId="20790"/>
    <cellStyle name="Input 3 7 2 7" xfId="21801"/>
    <cellStyle name="Input 3 7 2 8" xfId="22772"/>
    <cellStyle name="Input 3 7 2 9" xfId="23777"/>
    <cellStyle name="Input 3 7 20" xfId="36325"/>
    <cellStyle name="Input 3 7 21" xfId="37264"/>
    <cellStyle name="Input 3 7 3" xfId="16729"/>
    <cellStyle name="Input 3 7 4" xfId="17708"/>
    <cellStyle name="Input 3 7 5" xfId="18735"/>
    <cellStyle name="Input 3 7 6" xfId="19767"/>
    <cellStyle name="Input 3 7 7" xfId="20789"/>
    <cellStyle name="Input 3 7 8" xfId="21800"/>
    <cellStyle name="Input 3 7 9" xfId="22771"/>
    <cellStyle name="Input 3 8" xfId="4949"/>
    <cellStyle name="Input 3 8 10" xfId="24750"/>
    <cellStyle name="Input 3 8 11" xfId="25749"/>
    <cellStyle name="Input 3 8 12" xfId="28696"/>
    <cellStyle name="Input 3 8 13" xfId="29663"/>
    <cellStyle name="Input 3 8 14" xfId="30705"/>
    <cellStyle name="Input 3 8 15" xfId="31696"/>
    <cellStyle name="Input 3 8 16" xfId="32704"/>
    <cellStyle name="Input 3 8 17" xfId="33707"/>
    <cellStyle name="Input 3 8 18" xfId="34706"/>
    <cellStyle name="Input 3 8 19" xfId="36327"/>
    <cellStyle name="Input 3 8 2" xfId="16731"/>
    <cellStyle name="Input 3 8 20" xfId="37266"/>
    <cellStyle name="Input 3 8 3" xfId="17710"/>
    <cellStyle name="Input 3 8 4" xfId="18737"/>
    <cellStyle name="Input 3 8 5" xfId="19769"/>
    <cellStyle name="Input 3 8 6" xfId="20791"/>
    <cellStyle name="Input 3 8 7" xfId="21802"/>
    <cellStyle name="Input 3 8 8" xfId="22773"/>
    <cellStyle name="Input 3 8 9" xfId="23778"/>
    <cellStyle name="Input 3 9" xfId="4950"/>
    <cellStyle name="Input 3 9 10" xfId="24858"/>
    <cellStyle name="Input 3 9 11" xfId="25857"/>
    <cellStyle name="Input 3 9 12" xfId="28763"/>
    <cellStyle name="Input 3 9 13" xfId="29780"/>
    <cellStyle name="Input 3 9 14" xfId="30813"/>
    <cellStyle name="Input 3 9 15" xfId="31808"/>
    <cellStyle name="Input 3 9 16" xfId="32812"/>
    <cellStyle name="Input 3 9 17" xfId="33815"/>
    <cellStyle name="Input 3 9 18" xfId="34814"/>
    <cellStyle name="Input 3 9 19" xfId="36375"/>
    <cellStyle name="Input 3 9 2" xfId="16847"/>
    <cellStyle name="Input 3 9 20" xfId="37374"/>
    <cellStyle name="Input 3 9 3" xfId="17827"/>
    <cellStyle name="Input 3 9 4" xfId="18852"/>
    <cellStyle name="Input 3 9 5" xfId="19886"/>
    <cellStyle name="Input 3 9 6" xfId="20911"/>
    <cellStyle name="Input 3 9 7" xfId="21871"/>
    <cellStyle name="Input 3 9 8" xfId="22883"/>
    <cellStyle name="Input 3 9 9" xfId="23886"/>
    <cellStyle name="Input 4" xfId="4951"/>
    <cellStyle name="input(0)" xfId="144"/>
    <cellStyle name="Input(2)" xfId="145"/>
    <cellStyle name="Labels" xfId="4952"/>
    <cellStyle name="Labels - Style3" xfId="4953"/>
    <cellStyle name="Labels - Style3 10" xfId="4954"/>
    <cellStyle name="Labels - Style3 10 10" xfId="24751"/>
    <cellStyle name="Labels - Style3 10 11" xfId="25750"/>
    <cellStyle name="Labels - Style3 10 12" xfId="28697"/>
    <cellStyle name="Labels - Style3 10 13" xfId="29664"/>
    <cellStyle name="Labels - Style3 10 14" xfId="30706"/>
    <cellStyle name="Labels - Style3 10 15" xfId="31697"/>
    <cellStyle name="Labels - Style3 10 16" xfId="32705"/>
    <cellStyle name="Labels - Style3 10 17" xfId="33708"/>
    <cellStyle name="Labels - Style3 10 18" xfId="34707"/>
    <cellStyle name="Labels - Style3 10 19" xfId="36328"/>
    <cellStyle name="Labels - Style3 10 2" xfId="16732"/>
    <cellStyle name="Labels - Style3 10 20" xfId="37267"/>
    <cellStyle name="Labels - Style3 10 3" xfId="17711"/>
    <cellStyle name="Labels - Style3 10 4" xfId="18738"/>
    <cellStyle name="Labels - Style3 10 5" xfId="19770"/>
    <cellStyle name="Labels - Style3 10 6" xfId="20792"/>
    <cellStyle name="Labels - Style3 10 7" xfId="21803"/>
    <cellStyle name="Labels - Style3 10 8" xfId="22774"/>
    <cellStyle name="Labels - Style3 10 9" xfId="23779"/>
    <cellStyle name="Labels - Style3 11" xfId="15798"/>
    <cellStyle name="Labels - Style3 12" xfId="13826"/>
    <cellStyle name="Labels - Style3 13" xfId="14596"/>
    <cellStyle name="Labels - Style3 14" xfId="14144"/>
    <cellStyle name="Labels - Style3 15" xfId="26248"/>
    <cellStyle name="Labels - Style3 16" xfId="27748"/>
    <cellStyle name="Labels - Style3 17" xfId="31804"/>
    <cellStyle name="Labels - Style3 18" xfId="37485"/>
    <cellStyle name="Labels - Style3 2" xfId="4955"/>
    <cellStyle name="Labels - Style3 2 10" xfId="15603"/>
    <cellStyle name="Labels - Style3 2 11" xfId="27468"/>
    <cellStyle name="Labels - Style3 2 12" xfId="25934"/>
    <cellStyle name="Labels - Style3 2 13" xfId="29816"/>
    <cellStyle name="Labels - Style3 2 2" xfId="4956"/>
    <cellStyle name="Labels - Style3 2 2 10" xfId="23780"/>
    <cellStyle name="Labels - Style3 2 2 11" xfId="24752"/>
    <cellStyle name="Labels - Style3 2 2 12" xfId="25751"/>
    <cellStyle name="Labels - Style3 2 2 13" xfId="28698"/>
    <cellStyle name="Labels - Style3 2 2 14" xfId="29665"/>
    <cellStyle name="Labels - Style3 2 2 15" xfId="30707"/>
    <cellStyle name="Labels - Style3 2 2 16" xfId="31698"/>
    <cellStyle name="Labels - Style3 2 2 17" xfId="32706"/>
    <cellStyle name="Labels - Style3 2 2 18" xfId="33709"/>
    <cellStyle name="Labels - Style3 2 2 19" xfId="34708"/>
    <cellStyle name="Labels - Style3 2 2 2" xfId="4957"/>
    <cellStyle name="Labels - Style3 2 2 2 10" xfId="24753"/>
    <cellStyle name="Labels - Style3 2 2 2 11" xfId="25752"/>
    <cellStyle name="Labels - Style3 2 2 2 12" xfId="28699"/>
    <cellStyle name="Labels - Style3 2 2 2 13" xfId="29666"/>
    <cellStyle name="Labels - Style3 2 2 2 14" xfId="30708"/>
    <cellStyle name="Labels - Style3 2 2 2 15" xfId="31699"/>
    <cellStyle name="Labels - Style3 2 2 2 16" xfId="32707"/>
    <cellStyle name="Labels - Style3 2 2 2 17" xfId="33710"/>
    <cellStyle name="Labels - Style3 2 2 2 18" xfId="34709"/>
    <cellStyle name="Labels - Style3 2 2 2 19" xfId="36330"/>
    <cellStyle name="Labels - Style3 2 2 2 2" xfId="16734"/>
    <cellStyle name="Labels - Style3 2 2 2 20" xfId="37269"/>
    <cellStyle name="Labels - Style3 2 2 2 3" xfId="17713"/>
    <cellStyle name="Labels - Style3 2 2 2 4" xfId="18740"/>
    <cellStyle name="Labels - Style3 2 2 2 5" xfId="19772"/>
    <cellStyle name="Labels - Style3 2 2 2 6" xfId="20794"/>
    <cellStyle name="Labels - Style3 2 2 2 7" xfId="21805"/>
    <cellStyle name="Labels - Style3 2 2 2 8" xfId="22776"/>
    <cellStyle name="Labels - Style3 2 2 2 9" xfId="23781"/>
    <cellStyle name="Labels - Style3 2 2 20" xfId="36329"/>
    <cellStyle name="Labels - Style3 2 2 21" xfId="37268"/>
    <cellStyle name="Labels - Style3 2 2 3" xfId="16733"/>
    <cellStyle name="Labels - Style3 2 2 4" xfId="17712"/>
    <cellStyle name="Labels - Style3 2 2 5" xfId="18739"/>
    <cellStyle name="Labels - Style3 2 2 6" xfId="19771"/>
    <cellStyle name="Labels - Style3 2 2 7" xfId="20793"/>
    <cellStyle name="Labels - Style3 2 2 8" xfId="21804"/>
    <cellStyle name="Labels - Style3 2 2 9" xfId="22775"/>
    <cellStyle name="Labels - Style3 2 3" xfId="4958"/>
    <cellStyle name="Labels - Style3 2 3 10" xfId="23782"/>
    <cellStyle name="Labels - Style3 2 3 11" xfId="24754"/>
    <cellStyle name="Labels - Style3 2 3 12" xfId="25753"/>
    <cellStyle name="Labels - Style3 2 3 13" xfId="28700"/>
    <cellStyle name="Labels - Style3 2 3 14" xfId="29667"/>
    <cellStyle name="Labels - Style3 2 3 15" xfId="30709"/>
    <cellStyle name="Labels - Style3 2 3 16" xfId="31700"/>
    <cellStyle name="Labels - Style3 2 3 17" xfId="32708"/>
    <cellStyle name="Labels - Style3 2 3 18" xfId="33711"/>
    <cellStyle name="Labels - Style3 2 3 19" xfId="34710"/>
    <cellStyle name="Labels - Style3 2 3 2" xfId="4959"/>
    <cellStyle name="Labels - Style3 2 3 2 10" xfId="24755"/>
    <cellStyle name="Labels - Style3 2 3 2 11" xfId="25754"/>
    <cellStyle name="Labels - Style3 2 3 2 12" xfId="28701"/>
    <cellStyle name="Labels - Style3 2 3 2 13" xfId="29668"/>
    <cellStyle name="Labels - Style3 2 3 2 14" xfId="30710"/>
    <cellStyle name="Labels - Style3 2 3 2 15" xfId="31701"/>
    <cellStyle name="Labels - Style3 2 3 2 16" xfId="32709"/>
    <cellStyle name="Labels - Style3 2 3 2 17" xfId="33712"/>
    <cellStyle name="Labels - Style3 2 3 2 18" xfId="34711"/>
    <cellStyle name="Labels - Style3 2 3 2 19" xfId="36332"/>
    <cellStyle name="Labels - Style3 2 3 2 2" xfId="16736"/>
    <cellStyle name="Labels - Style3 2 3 2 20" xfId="37271"/>
    <cellStyle name="Labels - Style3 2 3 2 3" xfId="17715"/>
    <cellStyle name="Labels - Style3 2 3 2 4" xfId="18742"/>
    <cellStyle name="Labels - Style3 2 3 2 5" xfId="19774"/>
    <cellStyle name="Labels - Style3 2 3 2 6" xfId="20796"/>
    <cellStyle name="Labels - Style3 2 3 2 7" xfId="21807"/>
    <cellStyle name="Labels - Style3 2 3 2 8" xfId="22778"/>
    <cellStyle name="Labels - Style3 2 3 2 9" xfId="23783"/>
    <cellStyle name="Labels - Style3 2 3 20" xfId="36331"/>
    <cellStyle name="Labels - Style3 2 3 21" xfId="37270"/>
    <cellStyle name="Labels - Style3 2 3 3" xfId="16735"/>
    <cellStyle name="Labels - Style3 2 3 4" xfId="17714"/>
    <cellStyle name="Labels - Style3 2 3 5" xfId="18741"/>
    <cellStyle name="Labels - Style3 2 3 6" xfId="19773"/>
    <cellStyle name="Labels - Style3 2 3 7" xfId="20795"/>
    <cellStyle name="Labels - Style3 2 3 8" xfId="21806"/>
    <cellStyle name="Labels - Style3 2 3 9" xfId="22777"/>
    <cellStyle name="Labels - Style3 2 4" xfId="4960"/>
    <cellStyle name="Labels - Style3 2 4 10" xfId="23784"/>
    <cellStyle name="Labels - Style3 2 4 11" xfId="24756"/>
    <cellStyle name="Labels - Style3 2 4 12" xfId="25755"/>
    <cellStyle name="Labels - Style3 2 4 13" xfId="28702"/>
    <cellStyle name="Labels - Style3 2 4 14" xfId="29669"/>
    <cellStyle name="Labels - Style3 2 4 15" xfId="30711"/>
    <cellStyle name="Labels - Style3 2 4 16" xfId="31702"/>
    <cellStyle name="Labels - Style3 2 4 17" xfId="32710"/>
    <cellStyle name="Labels - Style3 2 4 18" xfId="33713"/>
    <cellStyle name="Labels - Style3 2 4 19" xfId="34712"/>
    <cellStyle name="Labels - Style3 2 4 2" xfId="4961"/>
    <cellStyle name="Labels - Style3 2 4 2 10" xfId="24757"/>
    <cellStyle name="Labels - Style3 2 4 2 11" xfId="25756"/>
    <cellStyle name="Labels - Style3 2 4 2 12" xfId="28703"/>
    <cellStyle name="Labels - Style3 2 4 2 13" xfId="29670"/>
    <cellStyle name="Labels - Style3 2 4 2 14" xfId="30712"/>
    <cellStyle name="Labels - Style3 2 4 2 15" xfId="31703"/>
    <cellStyle name="Labels - Style3 2 4 2 16" xfId="32711"/>
    <cellStyle name="Labels - Style3 2 4 2 17" xfId="33714"/>
    <cellStyle name="Labels - Style3 2 4 2 18" xfId="34713"/>
    <cellStyle name="Labels - Style3 2 4 2 19" xfId="36334"/>
    <cellStyle name="Labels - Style3 2 4 2 2" xfId="16738"/>
    <cellStyle name="Labels - Style3 2 4 2 20" xfId="37273"/>
    <cellStyle name="Labels - Style3 2 4 2 3" xfId="17717"/>
    <cellStyle name="Labels - Style3 2 4 2 4" xfId="18744"/>
    <cellStyle name="Labels - Style3 2 4 2 5" xfId="19776"/>
    <cellStyle name="Labels - Style3 2 4 2 6" xfId="20798"/>
    <cellStyle name="Labels - Style3 2 4 2 7" xfId="21809"/>
    <cellStyle name="Labels - Style3 2 4 2 8" xfId="22780"/>
    <cellStyle name="Labels - Style3 2 4 2 9" xfId="23785"/>
    <cellStyle name="Labels - Style3 2 4 20" xfId="36333"/>
    <cellStyle name="Labels - Style3 2 4 21" xfId="37272"/>
    <cellStyle name="Labels - Style3 2 4 3" xfId="16737"/>
    <cellStyle name="Labels - Style3 2 4 4" xfId="17716"/>
    <cellStyle name="Labels - Style3 2 4 5" xfId="18743"/>
    <cellStyle name="Labels - Style3 2 4 6" xfId="19775"/>
    <cellStyle name="Labels - Style3 2 4 7" xfId="20797"/>
    <cellStyle name="Labels - Style3 2 4 8" xfId="21808"/>
    <cellStyle name="Labels - Style3 2 4 9" xfId="22779"/>
    <cellStyle name="Labels - Style3 2 5" xfId="4962"/>
    <cellStyle name="Labels - Style3 2 5 10" xfId="23786"/>
    <cellStyle name="Labels - Style3 2 5 11" xfId="24758"/>
    <cellStyle name="Labels - Style3 2 5 12" xfId="25757"/>
    <cellStyle name="Labels - Style3 2 5 13" xfId="28704"/>
    <cellStyle name="Labels - Style3 2 5 14" xfId="29671"/>
    <cellStyle name="Labels - Style3 2 5 15" xfId="30713"/>
    <cellStyle name="Labels - Style3 2 5 16" xfId="31704"/>
    <cellStyle name="Labels - Style3 2 5 17" xfId="32712"/>
    <cellStyle name="Labels - Style3 2 5 18" xfId="33715"/>
    <cellStyle name="Labels - Style3 2 5 19" xfId="34714"/>
    <cellStyle name="Labels - Style3 2 5 2" xfId="4963"/>
    <cellStyle name="Labels - Style3 2 5 2 10" xfId="24759"/>
    <cellStyle name="Labels - Style3 2 5 2 11" xfId="25758"/>
    <cellStyle name="Labels - Style3 2 5 2 12" xfId="28705"/>
    <cellStyle name="Labels - Style3 2 5 2 13" xfId="29672"/>
    <cellStyle name="Labels - Style3 2 5 2 14" xfId="30714"/>
    <cellStyle name="Labels - Style3 2 5 2 15" xfId="31705"/>
    <cellStyle name="Labels - Style3 2 5 2 16" xfId="32713"/>
    <cellStyle name="Labels - Style3 2 5 2 17" xfId="33716"/>
    <cellStyle name="Labels - Style3 2 5 2 18" xfId="34715"/>
    <cellStyle name="Labels - Style3 2 5 2 19" xfId="36336"/>
    <cellStyle name="Labels - Style3 2 5 2 2" xfId="16740"/>
    <cellStyle name="Labels - Style3 2 5 2 20" xfId="37275"/>
    <cellStyle name="Labels - Style3 2 5 2 3" xfId="17719"/>
    <cellStyle name="Labels - Style3 2 5 2 4" xfId="18746"/>
    <cellStyle name="Labels - Style3 2 5 2 5" xfId="19778"/>
    <cellStyle name="Labels - Style3 2 5 2 6" xfId="20800"/>
    <cellStyle name="Labels - Style3 2 5 2 7" xfId="21811"/>
    <cellStyle name="Labels - Style3 2 5 2 8" xfId="22782"/>
    <cellStyle name="Labels - Style3 2 5 2 9" xfId="23787"/>
    <cellStyle name="Labels - Style3 2 5 20" xfId="36335"/>
    <cellStyle name="Labels - Style3 2 5 21" xfId="37274"/>
    <cellStyle name="Labels - Style3 2 5 3" xfId="16739"/>
    <cellStyle name="Labels - Style3 2 5 4" xfId="17718"/>
    <cellStyle name="Labels - Style3 2 5 5" xfId="18745"/>
    <cellStyle name="Labels - Style3 2 5 6" xfId="19777"/>
    <cellStyle name="Labels - Style3 2 5 7" xfId="20799"/>
    <cellStyle name="Labels - Style3 2 5 8" xfId="21810"/>
    <cellStyle name="Labels - Style3 2 5 9" xfId="22781"/>
    <cellStyle name="Labels - Style3 2 6" xfId="4964"/>
    <cellStyle name="Labels - Style3 2 6 10" xfId="24760"/>
    <cellStyle name="Labels - Style3 2 6 11" xfId="25759"/>
    <cellStyle name="Labels - Style3 2 6 12" xfId="28706"/>
    <cellStyle name="Labels - Style3 2 6 13" xfId="29673"/>
    <cellStyle name="Labels - Style3 2 6 14" xfId="30715"/>
    <cellStyle name="Labels - Style3 2 6 15" xfId="31706"/>
    <cellStyle name="Labels - Style3 2 6 16" xfId="32714"/>
    <cellStyle name="Labels - Style3 2 6 17" xfId="33717"/>
    <cellStyle name="Labels - Style3 2 6 18" xfId="34716"/>
    <cellStyle name="Labels - Style3 2 6 19" xfId="36337"/>
    <cellStyle name="Labels - Style3 2 6 2" xfId="16741"/>
    <cellStyle name="Labels - Style3 2 6 20" xfId="37276"/>
    <cellStyle name="Labels - Style3 2 6 3" xfId="17720"/>
    <cellStyle name="Labels - Style3 2 6 4" xfId="18747"/>
    <cellStyle name="Labels - Style3 2 6 5" xfId="19779"/>
    <cellStyle name="Labels - Style3 2 6 6" xfId="20801"/>
    <cellStyle name="Labels - Style3 2 6 7" xfId="21812"/>
    <cellStyle name="Labels - Style3 2 6 8" xfId="22783"/>
    <cellStyle name="Labels - Style3 2 6 9" xfId="23788"/>
    <cellStyle name="Labels - Style3 2 7" xfId="14037"/>
    <cellStyle name="Labels - Style3 2 8" xfId="15546"/>
    <cellStyle name="Labels - Style3 2 9" xfId="15357"/>
    <cellStyle name="Labels - Style3 3" xfId="4965"/>
    <cellStyle name="Labels - Style3 3 10" xfId="14289"/>
    <cellStyle name="Labels - Style3 3 11" xfId="27275"/>
    <cellStyle name="Labels - Style3 3 12" xfId="26963"/>
    <cellStyle name="Labels - Style3 3 13" xfId="26591"/>
    <cellStyle name="Labels - Style3 3 2" xfId="4966"/>
    <cellStyle name="Labels - Style3 3 2 10" xfId="23789"/>
    <cellStyle name="Labels - Style3 3 2 11" xfId="24761"/>
    <cellStyle name="Labels - Style3 3 2 12" xfId="25760"/>
    <cellStyle name="Labels - Style3 3 2 13" xfId="28707"/>
    <cellStyle name="Labels - Style3 3 2 14" xfId="29674"/>
    <cellStyle name="Labels - Style3 3 2 15" xfId="30716"/>
    <cellStyle name="Labels - Style3 3 2 16" xfId="31707"/>
    <cellStyle name="Labels - Style3 3 2 17" xfId="32715"/>
    <cellStyle name="Labels - Style3 3 2 18" xfId="33718"/>
    <cellStyle name="Labels - Style3 3 2 19" xfId="34717"/>
    <cellStyle name="Labels - Style3 3 2 2" xfId="4967"/>
    <cellStyle name="Labels - Style3 3 2 2 10" xfId="24762"/>
    <cellStyle name="Labels - Style3 3 2 2 11" xfId="25761"/>
    <cellStyle name="Labels - Style3 3 2 2 12" xfId="28708"/>
    <cellStyle name="Labels - Style3 3 2 2 13" xfId="29675"/>
    <cellStyle name="Labels - Style3 3 2 2 14" xfId="30717"/>
    <cellStyle name="Labels - Style3 3 2 2 15" xfId="31708"/>
    <cellStyle name="Labels - Style3 3 2 2 16" xfId="32716"/>
    <cellStyle name="Labels - Style3 3 2 2 17" xfId="33719"/>
    <cellStyle name="Labels - Style3 3 2 2 18" xfId="34718"/>
    <cellStyle name="Labels - Style3 3 2 2 19" xfId="36339"/>
    <cellStyle name="Labels - Style3 3 2 2 2" xfId="16743"/>
    <cellStyle name="Labels - Style3 3 2 2 20" xfId="37278"/>
    <cellStyle name="Labels - Style3 3 2 2 3" xfId="17722"/>
    <cellStyle name="Labels - Style3 3 2 2 4" xfId="18749"/>
    <cellStyle name="Labels - Style3 3 2 2 5" xfId="19781"/>
    <cellStyle name="Labels - Style3 3 2 2 6" xfId="20803"/>
    <cellStyle name="Labels - Style3 3 2 2 7" xfId="21814"/>
    <cellStyle name="Labels - Style3 3 2 2 8" xfId="22785"/>
    <cellStyle name="Labels - Style3 3 2 2 9" xfId="23790"/>
    <cellStyle name="Labels - Style3 3 2 20" xfId="36338"/>
    <cellStyle name="Labels - Style3 3 2 21" xfId="37277"/>
    <cellStyle name="Labels - Style3 3 2 3" xfId="16742"/>
    <cellStyle name="Labels - Style3 3 2 4" xfId="17721"/>
    <cellStyle name="Labels - Style3 3 2 5" xfId="18748"/>
    <cellStyle name="Labels - Style3 3 2 6" xfId="19780"/>
    <cellStyle name="Labels - Style3 3 2 7" xfId="20802"/>
    <cellStyle name="Labels - Style3 3 2 8" xfId="21813"/>
    <cellStyle name="Labels - Style3 3 2 9" xfId="22784"/>
    <cellStyle name="Labels - Style3 3 3" xfId="4968"/>
    <cellStyle name="Labels - Style3 3 3 10" xfId="23791"/>
    <cellStyle name="Labels - Style3 3 3 11" xfId="24763"/>
    <cellStyle name="Labels - Style3 3 3 12" xfId="25762"/>
    <cellStyle name="Labels - Style3 3 3 13" xfId="28709"/>
    <cellStyle name="Labels - Style3 3 3 14" xfId="29676"/>
    <cellStyle name="Labels - Style3 3 3 15" xfId="30718"/>
    <cellStyle name="Labels - Style3 3 3 16" xfId="31709"/>
    <cellStyle name="Labels - Style3 3 3 17" xfId="32717"/>
    <cellStyle name="Labels - Style3 3 3 18" xfId="33720"/>
    <cellStyle name="Labels - Style3 3 3 19" xfId="34719"/>
    <cellStyle name="Labels - Style3 3 3 2" xfId="4969"/>
    <cellStyle name="Labels - Style3 3 3 2 10" xfId="24764"/>
    <cellStyle name="Labels - Style3 3 3 2 11" xfId="25763"/>
    <cellStyle name="Labels - Style3 3 3 2 12" xfId="28710"/>
    <cellStyle name="Labels - Style3 3 3 2 13" xfId="29677"/>
    <cellStyle name="Labels - Style3 3 3 2 14" xfId="30719"/>
    <cellStyle name="Labels - Style3 3 3 2 15" xfId="31710"/>
    <cellStyle name="Labels - Style3 3 3 2 16" xfId="32718"/>
    <cellStyle name="Labels - Style3 3 3 2 17" xfId="33721"/>
    <cellStyle name="Labels - Style3 3 3 2 18" xfId="34720"/>
    <cellStyle name="Labels - Style3 3 3 2 19" xfId="36341"/>
    <cellStyle name="Labels - Style3 3 3 2 2" xfId="16745"/>
    <cellStyle name="Labels - Style3 3 3 2 20" xfId="37280"/>
    <cellStyle name="Labels - Style3 3 3 2 3" xfId="17724"/>
    <cellStyle name="Labels - Style3 3 3 2 4" xfId="18751"/>
    <cellStyle name="Labels - Style3 3 3 2 5" xfId="19783"/>
    <cellStyle name="Labels - Style3 3 3 2 6" xfId="20805"/>
    <cellStyle name="Labels - Style3 3 3 2 7" xfId="21816"/>
    <cellStyle name="Labels - Style3 3 3 2 8" xfId="22787"/>
    <cellStyle name="Labels - Style3 3 3 2 9" xfId="23792"/>
    <cellStyle name="Labels - Style3 3 3 20" xfId="36340"/>
    <cellStyle name="Labels - Style3 3 3 21" xfId="37279"/>
    <cellStyle name="Labels - Style3 3 3 3" xfId="16744"/>
    <cellStyle name="Labels - Style3 3 3 4" xfId="17723"/>
    <cellStyle name="Labels - Style3 3 3 5" xfId="18750"/>
    <cellStyle name="Labels - Style3 3 3 6" xfId="19782"/>
    <cellStyle name="Labels - Style3 3 3 7" xfId="20804"/>
    <cellStyle name="Labels - Style3 3 3 8" xfId="21815"/>
    <cellStyle name="Labels - Style3 3 3 9" xfId="22786"/>
    <cellStyle name="Labels - Style3 3 4" xfId="4970"/>
    <cellStyle name="Labels - Style3 3 4 10" xfId="23793"/>
    <cellStyle name="Labels - Style3 3 4 11" xfId="24765"/>
    <cellStyle name="Labels - Style3 3 4 12" xfId="25764"/>
    <cellStyle name="Labels - Style3 3 4 13" xfId="28711"/>
    <cellStyle name="Labels - Style3 3 4 14" xfId="29678"/>
    <cellStyle name="Labels - Style3 3 4 15" xfId="30720"/>
    <cellStyle name="Labels - Style3 3 4 16" xfId="31711"/>
    <cellStyle name="Labels - Style3 3 4 17" xfId="32719"/>
    <cellStyle name="Labels - Style3 3 4 18" xfId="33722"/>
    <cellStyle name="Labels - Style3 3 4 19" xfId="34721"/>
    <cellStyle name="Labels - Style3 3 4 2" xfId="4971"/>
    <cellStyle name="Labels - Style3 3 4 2 10" xfId="24766"/>
    <cellStyle name="Labels - Style3 3 4 2 11" xfId="25765"/>
    <cellStyle name="Labels - Style3 3 4 2 12" xfId="28712"/>
    <cellStyle name="Labels - Style3 3 4 2 13" xfId="29679"/>
    <cellStyle name="Labels - Style3 3 4 2 14" xfId="30721"/>
    <cellStyle name="Labels - Style3 3 4 2 15" xfId="31712"/>
    <cellStyle name="Labels - Style3 3 4 2 16" xfId="32720"/>
    <cellStyle name="Labels - Style3 3 4 2 17" xfId="33723"/>
    <cellStyle name="Labels - Style3 3 4 2 18" xfId="34722"/>
    <cellStyle name="Labels - Style3 3 4 2 19" xfId="36343"/>
    <cellStyle name="Labels - Style3 3 4 2 2" xfId="16747"/>
    <cellStyle name="Labels - Style3 3 4 2 20" xfId="37282"/>
    <cellStyle name="Labels - Style3 3 4 2 3" xfId="17726"/>
    <cellStyle name="Labels - Style3 3 4 2 4" xfId="18753"/>
    <cellStyle name="Labels - Style3 3 4 2 5" xfId="19785"/>
    <cellStyle name="Labels - Style3 3 4 2 6" xfId="20807"/>
    <cellStyle name="Labels - Style3 3 4 2 7" xfId="21818"/>
    <cellStyle name="Labels - Style3 3 4 2 8" xfId="22789"/>
    <cellStyle name="Labels - Style3 3 4 2 9" xfId="23794"/>
    <cellStyle name="Labels - Style3 3 4 20" xfId="36342"/>
    <cellStyle name="Labels - Style3 3 4 21" xfId="37281"/>
    <cellStyle name="Labels - Style3 3 4 3" xfId="16746"/>
    <cellStyle name="Labels - Style3 3 4 4" xfId="17725"/>
    <cellStyle name="Labels - Style3 3 4 5" xfId="18752"/>
    <cellStyle name="Labels - Style3 3 4 6" xfId="19784"/>
    <cellStyle name="Labels - Style3 3 4 7" xfId="20806"/>
    <cellStyle name="Labels - Style3 3 4 8" xfId="21817"/>
    <cellStyle name="Labels - Style3 3 4 9" xfId="22788"/>
    <cellStyle name="Labels - Style3 3 5" xfId="4972"/>
    <cellStyle name="Labels - Style3 3 5 10" xfId="23795"/>
    <cellStyle name="Labels - Style3 3 5 11" xfId="24767"/>
    <cellStyle name="Labels - Style3 3 5 12" xfId="25766"/>
    <cellStyle name="Labels - Style3 3 5 13" xfId="28713"/>
    <cellStyle name="Labels - Style3 3 5 14" xfId="29680"/>
    <cellStyle name="Labels - Style3 3 5 15" xfId="30722"/>
    <cellStyle name="Labels - Style3 3 5 16" xfId="31713"/>
    <cellStyle name="Labels - Style3 3 5 17" xfId="32721"/>
    <cellStyle name="Labels - Style3 3 5 18" xfId="33724"/>
    <cellStyle name="Labels - Style3 3 5 19" xfId="34723"/>
    <cellStyle name="Labels - Style3 3 5 2" xfId="4973"/>
    <cellStyle name="Labels - Style3 3 5 2 10" xfId="24768"/>
    <cellStyle name="Labels - Style3 3 5 2 11" xfId="25767"/>
    <cellStyle name="Labels - Style3 3 5 2 12" xfId="28714"/>
    <cellStyle name="Labels - Style3 3 5 2 13" xfId="29681"/>
    <cellStyle name="Labels - Style3 3 5 2 14" xfId="30723"/>
    <cellStyle name="Labels - Style3 3 5 2 15" xfId="31714"/>
    <cellStyle name="Labels - Style3 3 5 2 16" xfId="32722"/>
    <cellStyle name="Labels - Style3 3 5 2 17" xfId="33725"/>
    <cellStyle name="Labels - Style3 3 5 2 18" xfId="34724"/>
    <cellStyle name="Labels - Style3 3 5 2 19" xfId="36345"/>
    <cellStyle name="Labels - Style3 3 5 2 2" xfId="16749"/>
    <cellStyle name="Labels - Style3 3 5 2 20" xfId="37284"/>
    <cellStyle name="Labels - Style3 3 5 2 3" xfId="17728"/>
    <cellStyle name="Labels - Style3 3 5 2 4" xfId="18755"/>
    <cellStyle name="Labels - Style3 3 5 2 5" xfId="19787"/>
    <cellStyle name="Labels - Style3 3 5 2 6" xfId="20809"/>
    <cellStyle name="Labels - Style3 3 5 2 7" xfId="21820"/>
    <cellStyle name="Labels - Style3 3 5 2 8" xfId="22791"/>
    <cellStyle name="Labels - Style3 3 5 2 9" xfId="23796"/>
    <cellStyle name="Labels - Style3 3 5 20" xfId="36344"/>
    <cellStyle name="Labels - Style3 3 5 21" xfId="37283"/>
    <cellStyle name="Labels - Style3 3 5 3" xfId="16748"/>
    <cellStyle name="Labels - Style3 3 5 4" xfId="17727"/>
    <cellStyle name="Labels - Style3 3 5 5" xfId="18754"/>
    <cellStyle name="Labels - Style3 3 5 6" xfId="19786"/>
    <cellStyle name="Labels - Style3 3 5 7" xfId="20808"/>
    <cellStyle name="Labels - Style3 3 5 8" xfId="21819"/>
    <cellStyle name="Labels - Style3 3 5 9" xfId="22790"/>
    <cellStyle name="Labels - Style3 3 6" xfId="4974"/>
    <cellStyle name="Labels - Style3 3 6 10" xfId="24769"/>
    <cellStyle name="Labels - Style3 3 6 11" xfId="25768"/>
    <cellStyle name="Labels - Style3 3 6 12" xfId="28715"/>
    <cellStyle name="Labels - Style3 3 6 13" xfId="29682"/>
    <cellStyle name="Labels - Style3 3 6 14" xfId="30724"/>
    <cellStyle name="Labels - Style3 3 6 15" xfId="31715"/>
    <cellStyle name="Labels - Style3 3 6 16" xfId="32723"/>
    <cellStyle name="Labels - Style3 3 6 17" xfId="33726"/>
    <cellStyle name="Labels - Style3 3 6 18" xfId="34725"/>
    <cellStyle name="Labels - Style3 3 6 19" xfId="36346"/>
    <cellStyle name="Labels - Style3 3 6 2" xfId="16750"/>
    <cellStyle name="Labels - Style3 3 6 20" xfId="37285"/>
    <cellStyle name="Labels - Style3 3 6 3" xfId="17729"/>
    <cellStyle name="Labels - Style3 3 6 4" xfId="18756"/>
    <cellStyle name="Labels - Style3 3 6 5" xfId="19788"/>
    <cellStyle name="Labels - Style3 3 6 6" xfId="20810"/>
    <cellStyle name="Labels - Style3 3 6 7" xfId="21821"/>
    <cellStyle name="Labels - Style3 3 6 8" xfId="22792"/>
    <cellStyle name="Labels - Style3 3 6 9" xfId="23797"/>
    <cellStyle name="Labels - Style3 3 7" xfId="13540"/>
    <cellStyle name="Labels - Style3 3 8" xfId="14690"/>
    <cellStyle name="Labels - Style3 3 9" xfId="15341"/>
    <cellStyle name="Labels - Style3 4" xfId="4975"/>
    <cellStyle name="Labels - Style3 4 10" xfId="14701"/>
    <cellStyle name="Labels - Style3 4 11" xfId="25946"/>
    <cellStyle name="Labels - Style3 4 12" xfId="26965"/>
    <cellStyle name="Labels - Style3 4 13" xfId="26045"/>
    <cellStyle name="Labels - Style3 4 2" xfId="4976"/>
    <cellStyle name="Labels - Style3 4 2 10" xfId="23798"/>
    <cellStyle name="Labels - Style3 4 2 11" xfId="24770"/>
    <cellStyle name="Labels - Style3 4 2 12" xfId="25769"/>
    <cellStyle name="Labels - Style3 4 2 13" xfId="28716"/>
    <cellStyle name="Labels - Style3 4 2 14" xfId="29683"/>
    <cellStyle name="Labels - Style3 4 2 15" xfId="30725"/>
    <cellStyle name="Labels - Style3 4 2 16" xfId="31716"/>
    <cellStyle name="Labels - Style3 4 2 17" xfId="32724"/>
    <cellStyle name="Labels - Style3 4 2 18" xfId="33727"/>
    <cellStyle name="Labels - Style3 4 2 19" xfId="34726"/>
    <cellStyle name="Labels - Style3 4 2 2" xfId="4977"/>
    <cellStyle name="Labels - Style3 4 2 2 10" xfId="24771"/>
    <cellStyle name="Labels - Style3 4 2 2 11" xfId="25770"/>
    <cellStyle name="Labels - Style3 4 2 2 12" xfId="28717"/>
    <cellStyle name="Labels - Style3 4 2 2 13" xfId="29684"/>
    <cellStyle name="Labels - Style3 4 2 2 14" xfId="30726"/>
    <cellStyle name="Labels - Style3 4 2 2 15" xfId="31717"/>
    <cellStyle name="Labels - Style3 4 2 2 16" xfId="32725"/>
    <cellStyle name="Labels - Style3 4 2 2 17" xfId="33728"/>
    <cellStyle name="Labels - Style3 4 2 2 18" xfId="34727"/>
    <cellStyle name="Labels - Style3 4 2 2 19" xfId="36348"/>
    <cellStyle name="Labels - Style3 4 2 2 2" xfId="16752"/>
    <cellStyle name="Labels - Style3 4 2 2 20" xfId="37287"/>
    <cellStyle name="Labels - Style3 4 2 2 3" xfId="17731"/>
    <cellStyle name="Labels - Style3 4 2 2 4" xfId="18758"/>
    <cellStyle name="Labels - Style3 4 2 2 5" xfId="19790"/>
    <cellStyle name="Labels - Style3 4 2 2 6" xfId="20812"/>
    <cellStyle name="Labels - Style3 4 2 2 7" xfId="21823"/>
    <cellStyle name="Labels - Style3 4 2 2 8" xfId="22794"/>
    <cellStyle name="Labels - Style3 4 2 2 9" xfId="23799"/>
    <cellStyle name="Labels - Style3 4 2 20" xfId="36347"/>
    <cellStyle name="Labels - Style3 4 2 21" xfId="37286"/>
    <cellStyle name="Labels - Style3 4 2 3" xfId="16751"/>
    <cellStyle name="Labels - Style3 4 2 4" xfId="17730"/>
    <cellStyle name="Labels - Style3 4 2 5" xfId="18757"/>
    <cellStyle name="Labels - Style3 4 2 6" xfId="19789"/>
    <cellStyle name="Labels - Style3 4 2 7" xfId="20811"/>
    <cellStyle name="Labels - Style3 4 2 8" xfId="21822"/>
    <cellStyle name="Labels - Style3 4 2 9" xfId="22793"/>
    <cellStyle name="Labels - Style3 4 3" xfId="4978"/>
    <cellStyle name="Labels - Style3 4 3 10" xfId="23800"/>
    <cellStyle name="Labels - Style3 4 3 11" xfId="24772"/>
    <cellStyle name="Labels - Style3 4 3 12" xfId="25771"/>
    <cellStyle name="Labels - Style3 4 3 13" xfId="28718"/>
    <cellStyle name="Labels - Style3 4 3 14" xfId="29685"/>
    <cellStyle name="Labels - Style3 4 3 15" xfId="30727"/>
    <cellStyle name="Labels - Style3 4 3 16" xfId="31718"/>
    <cellStyle name="Labels - Style3 4 3 17" xfId="32726"/>
    <cellStyle name="Labels - Style3 4 3 18" xfId="33729"/>
    <cellStyle name="Labels - Style3 4 3 19" xfId="34728"/>
    <cellStyle name="Labels - Style3 4 3 2" xfId="4979"/>
    <cellStyle name="Labels - Style3 4 3 2 10" xfId="24773"/>
    <cellStyle name="Labels - Style3 4 3 2 11" xfId="25772"/>
    <cellStyle name="Labels - Style3 4 3 2 12" xfId="28719"/>
    <cellStyle name="Labels - Style3 4 3 2 13" xfId="29686"/>
    <cellStyle name="Labels - Style3 4 3 2 14" xfId="30728"/>
    <cellStyle name="Labels - Style3 4 3 2 15" xfId="31719"/>
    <cellStyle name="Labels - Style3 4 3 2 16" xfId="32727"/>
    <cellStyle name="Labels - Style3 4 3 2 17" xfId="33730"/>
    <cellStyle name="Labels - Style3 4 3 2 18" xfId="34729"/>
    <cellStyle name="Labels - Style3 4 3 2 19" xfId="36350"/>
    <cellStyle name="Labels - Style3 4 3 2 2" xfId="16754"/>
    <cellStyle name="Labels - Style3 4 3 2 20" xfId="37289"/>
    <cellStyle name="Labels - Style3 4 3 2 3" xfId="17733"/>
    <cellStyle name="Labels - Style3 4 3 2 4" xfId="18760"/>
    <cellStyle name="Labels - Style3 4 3 2 5" xfId="19792"/>
    <cellStyle name="Labels - Style3 4 3 2 6" xfId="20814"/>
    <cellStyle name="Labels - Style3 4 3 2 7" xfId="21825"/>
    <cellStyle name="Labels - Style3 4 3 2 8" xfId="22796"/>
    <cellStyle name="Labels - Style3 4 3 2 9" xfId="23801"/>
    <cellStyle name="Labels - Style3 4 3 20" xfId="36349"/>
    <cellStyle name="Labels - Style3 4 3 21" xfId="37288"/>
    <cellStyle name="Labels - Style3 4 3 3" xfId="16753"/>
    <cellStyle name="Labels - Style3 4 3 4" xfId="17732"/>
    <cellStyle name="Labels - Style3 4 3 5" xfId="18759"/>
    <cellStyle name="Labels - Style3 4 3 6" xfId="19791"/>
    <cellStyle name="Labels - Style3 4 3 7" xfId="20813"/>
    <cellStyle name="Labels - Style3 4 3 8" xfId="21824"/>
    <cellStyle name="Labels - Style3 4 3 9" xfId="22795"/>
    <cellStyle name="Labels - Style3 4 4" xfId="4980"/>
    <cellStyle name="Labels - Style3 4 4 10" xfId="23802"/>
    <cellStyle name="Labels - Style3 4 4 11" xfId="24774"/>
    <cellStyle name="Labels - Style3 4 4 12" xfId="25773"/>
    <cellStyle name="Labels - Style3 4 4 13" xfId="28720"/>
    <cellStyle name="Labels - Style3 4 4 14" xfId="29687"/>
    <cellStyle name="Labels - Style3 4 4 15" xfId="30729"/>
    <cellStyle name="Labels - Style3 4 4 16" xfId="31720"/>
    <cellStyle name="Labels - Style3 4 4 17" xfId="32728"/>
    <cellStyle name="Labels - Style3 4 4 18" xfId="33731"/>
    <cellStyle name="Labels - Style3 4 4 19" xfId="34730"/>
    <cellStyle name="Labels - Style3 4 4 2" xfId="4981"/>
    <cellStyle name="Labels - Style3 4 4 2 10" xfId="24775"/>
    <cellStyle name="Labels - Style3 4 4 2 11" xfId="25774"/>
    <cellStyle name="Labels - Style3 4 4 2 12" xfId="28721"/>
    <cellStyle name="Labels - Style3 4 4 2 13" xfId="29688"/>
    <cellStyle name="Labels - Style3 4 4 2 14" xfId="30730"/>
    <cellStyle name="Labels - Style3 4 4 2 15" xfId="31721"/>
    <cellStyle name="Labels - Style3 4 4 2 16" xfId="32729"/>
    <cellStyle name="Labels - Style3 4 4 2 17" xfId="33732"/>
    <cellStyle name="Labels - Style3 4 4 2 18" xfId="34731"/>
    <cellStyle name="Labels - Style3 4 4 2 19" xfId="36352"/>
    <cellStyle name="Labels - Style3 4 4 2 2" xfId="16756"/>
    <cellStyle name="Labels - Style3 4 4 2 20" xfId="37291"/>
    <cellStyle name="Labels - Style3 4 4 2 3" xfId="17735"/>
    <cellStyle name="Labels - Style3 4 4 2 4" xfId="18762"/>
    <cellStyle name="Labels - Style3 4 4 2 5" xfId="19794"/>
    <cellStyle name="Labels - Style3 4 4 2 6" xfId="20816"/>
    <cellStyle name="Labels - Style3 4 4 2 7" xfId="21827"/>
    <cellStyle name="Labels - Style3 4 4 2 8" xfId="22798"/>
    <cellStyle name="Labels - Style3 4 4 2 9" xfId="23803"/>
    <cellStyle name="Labels - Style3 4 4 20" xfId="36351"/>
    <cellStyle name="Labels - Style3 4 4 21" xfId="37290"/>
    <cellStyle name="Labels - Style3 4 4 3" xfId="16755"/>
    <cellStyle name="Labels - Style3 4 4 4" xfId="17734"/>
    <cellStyle name="Labels - Style3 4 4 5" xfId="18761"/>
    <cellStyle name="Labels - Style3 4 4 6" xfId="19793"/>
    <cellStyle name="Labels - Style3 4 4 7" xfId="20815"/>
    <cellStyle name="Labels - Style3 4 4 8" xfId="21826"/>
    <cellStyle name="Labels - Style3 4 4 9" xfId="22797"/>
    <cellStyle name="Labels - Style3 4 5" xfId="4982"/>
    <cellStyle name="Labels - Style3 4 5 10" xfId="23804"/>
    <cellStyle name="Labels - Style3 4 5 11" xfId="24776"/>
    <cellStyle name="Labels - Style3 4 5 12" xfId="25775"/>
    <cellStyle name="Labels - Style3 4 5 13" xfId="28722"/>
    <cellStyle name="Labels - Style3 4 5 14" xfId="29689"/>
    <cellStyle name="Labels - Style3 4 5 15" xfId="30731"/>
    <cellStyle name="Labels - Style3 4 5 16" xfId="31722"/>
    <cellStyle name="Labels - Style3 4 5 17" xfId="32730"/>
    <cellStyle name="Labels - Style3 4 5 18" xfId="33733"/>
    <cellStyle name="Labels - Style3 4 5 19" xfId="34732"/>
    <cellStyle name="Labels - Style3 4 5 2" xfId="4983"/>
    <cellStyle name="Labels - Style3 4 5 2 10" xfId="24777"/>
    <cellStyle name="Labels - Style3 4 5 2 11" xfId="25776"/>
    <cellStyle name="Labels - Style3 4 5 2 12" xfId="28723"/>
    <cellStyle name="Labels - Style3 4 5 2 13" xfId="29690"/>
    <cellStyle name="Labels - Style3 4 5 2 14" xfId="30732"/>
    <cellStyle name="Labels - Style3 4 5 2 15" xfId="31723"/>
    <cellStyle name="Labels - Style3 4 5 2 16" xfId="32731"/>
    <cellStyle name="Labels - Style3 4 5 2 17" xfId="33734"/>
    <cellStyle name="Labels - Style3 4 5 2 18" xfId="34733"/>
    <cellStyle name="Labels - Style3 4 5 2 19" xfId="36354"/>
    <cellStyle name="Labels - Style3 4 5 2 2" xfId="16758"/>
    <cellStyle name="Labels - Style3 4 5 2 20" xfId="37293"/>
    <cellStyle name="Labels - Style3 4 5 2 3" xfId="17737"/>
    <cellStyle name="Labels - Style3 4 5 2 4" xfId="18764"/>
    <cellStyle name="Labels - Style3 4 5 2 5" xfId="19796"/>
    <cellStyle name="Labels - Style3 4 5 2 6" xfId="20818"/>
    <cellStyle name="Labels - Style3 4 5 2 7" xfId="21829"/>
    <cellStyle name="Labels - Style3 4 5 2 8" xfId="22800"/>
    <cellStyle name="Labels - Style3 4 5 2 9" xfId="23805"/>
    <cellStyle name="Labels - Style3 4 5 20" xfId="36353"/>
    <cellStyle name="Labels - Style3 4 5 21" xfId="37292"/>
    <cellStyle name="Labels - Style3 4 5 3" xfId="16757"/>
    <cellStyle name="Labels - Style3 4 5 4" xfId="17736"/>
    <cellStyle name="Labels - Style3 4 5 5" xfId="18763"/>
    <cellStyle name="Labels - Style3 4 5 6" xfId="19795"/>
    <cellStyle name="Labels - Style3 4 5 7" xfId="20817"/>
    <cellStyle name="Labels - Style3 4 5 8" xfId="21828"/>
    <cellStyle name="Labels - Style3 4 5 9" xfId="22799"/>
    <cellStyle name="Labels - Style3 4 6" xfId="4984"/>
    <cellStyle name="Labels - Style3 4 6 10" xfId="24778"/>
    <cellStyle name="Labels - Style3 4 6 11" xfId="25777"/>
    <cellStyle name="Labels - Style3 4 6 12" xfId="28724"/>
    <cellStyle name="Labels - Style3 4 6 13" xfId="29691"/>
    <cellStyle name="Labels - Style3 4 6 14" xfId="30733"/>
    <cellStyle name="Labels - Style3 4 6 15" xfId="31724"/>
    <cellStyle name="Labels - Style3 4 6 16" xfId="32732"/>
    <cellStyle name="Labels - Style3 4 6 17" xfId="33735"/>
    <cellStyle name="Labels - Style3 4 6 18" xfId="34734"/>
    <cellStyle name="Labels - Style3 4 6 19" xfId="36355"/>
    <cellStyle name="Labels - Style3 4 6 2" xfId="16759"/>
    <cellStyle name="Labels - Style3 4 6 20" xfId="37294"/>
    <cellStyle name="Labels - Style3 4 6 3" xfId="17738"/>
    <cellStyle name="Labels - Style3 4 6 4" xfId="18765"/>
    <cellStyle name="Labels - Style3 4 6 5" xfId="19797"/>
    <cellStyle name="Labels - Style3 4 6 6" xfId="20819"/>
    <cellStyle name="Labels - Style3 4 6 7" xfId="21830"/>
    <cellStyle name="Labels - Style3 4 6 8" xfId="22801"/>
    <cellStyle name="Labels - Style3 4 6 9" xfId="23806"/>
    <cellStyle name="Labels - Style3 4 7" xfId="14041"/>
    <cellStyle name="Labels - Style3 4 8" xfId="13511"/>
    <cellStyle name="Labels - Style3 4 9" xfId="14984"/>
    <cellStyle name="Labels - Style3 5" xfId="4985"/>
    <cellStyle name="Labels - Style3 5 10" xfId="15613"/>
    <cellStyle name="Labels - Style3 5 11" xfId="29824"/>
    <cellStyle name="Labels - Style3 5 12" xfId="27527"/>
    <cellStyle name="Labels - Style3 5 13" xfId="27199"/>
    <cellStyle name="Labels - Style3 5 2" xfId="4986"/>
    <cellStyle name="Labels - Style3 5 2 10" xfId="23807"/>
    <cellStyle name="Labels - Style3 5 2 11" xfId="24779"/>
    <cellStyle name="Labels - Style3 5 2 12" xfId="25778"/>
    <cellStyle name="Labels - Style3 5 2 13" xfId="28725"/>
    <cellStyle name="Labels - Style3 5 2 14" xfId="29692"/>
    <cellStyle name="Labels - Style3 5 2 15" xfId="30734"/>
    <cellStyle name="Labels - Style3 5 2 16" xfId="31725"/>
    <cellStyle name="Labels - Style3 5 2 17" xfId="32733"/>
    <cellStyle name="Labels - Style3 5 2 18" xfId="33736"/>
    <cellStyle name="Labels - Style3 5 2 19" xfId="34735"/>
    <cellStyle name="Labels - Style3 5 2 2" xfId="4987"/>
    <cellStyle name="Labels - Style3 5 2 2 10" xfId="24780"/>
    <cellStyle name="Labels - Style3 5 2 2 11" xfId="25779"/>
    <cellStyle name="Labels - Style3 5 2 2 12" xfId="28726"/>
    <cellStyle name="Labels - Style3 5 2 2 13" xfId="29693"/>
    <cellStyle name="Labels - Style3 5 2 2 14" xfId="30735"/>
    <cellStyle name="Labels - Style3 5 2 2 15" xfId="31726"/>
    <cellStyle name="Labels - Style3 5 2 2 16" xfId="32734"/>
    <cellStyle name="Labels - Style3 5 2 2 17" xfId="33737"/>
    <cellStyle name="Labels - Style3 5 2 2 18" xfId="34736"/>
    <cellStyle name="Labels - Style3 5 2 2 19" xfId="36357"/>
    <cellStyle name="Labels - Style3 5 2 2 2" xfId="16761"/>
    <cellStyle name="Labels - Style3 5 2 2 20" xfId="37296"/>
    <cellStyle name="Labels - Style3 5 2 2 3" xfId="17740"/>
    <cellStyle name="Labels - Style3 5 2 2 4" xfId="18767"/>
    <cellStyle name="Labels - Style3 5 2 2 5" xfId="19799"/>
    <cellStyle name="Labels - Style3 5 2 2 6" xfId="20821"/>
    <cellStyle name="Labels - Style3 5 2 2 7" xfId="21832"/>
    <cellStyle name="Labels - Style3 5 2 2 8" xfId="22803"/>
    <cellStyle name="Labels - Style3 5 2 2 9" xfId="23808"/>
    <cellStyle name="Labels - Style3 5 2 20" xfId="36356"/>
    <cellStyle name="Labels - Style3 5 2 21" xfId="37295"/>
    <cellStyle name="Labels - Style3 5 2 3" xfId="16760"/>
    <cellStyle name="Labels - Style3 5 2 4" xfId="17739"/>
    <cellStyle name="Labels - Style3 5 2 5" xfId="18766"/>
    <cellStyle name="Labels - Style3 5 2 6" xfId="19798"/>
    <cellStyle name="Labels - Style3 5 2 7" xfId="20820"/>
    <cellStyle name="Labels - Style3 5 2 8" xfId="21831"/>
    <cellStyle name="Labels - Style3 5 2 9" xfId="22802"/>
    <cellStyle name="Labels - Style3 5 3" xfId="4988"/>
    <cellStyle name="Labels - Style3 5 3 10" xfId="23809"/>
    <cellStyle name="Labels - Style3 5 3 11" xfId="24781"/>
    <cellStyle name="Labels - Style3 5 3 12" xfId="25780"/>
    <cellStyle name="Labels - Style3 5 3 13" xfId="28727"/>
    <cellStyle name="Labels - Style3 5 3 14" xfId="29694"/>
    <cellStyle name="Labels - Style3 5 3 15" xfId="30736"/>
    <cellStyle name="Labels - Style3 5 3 16" xfId="31727"/>
    <cellStyle name="Labels - Style3 5 3 17" xfId="32735"/>
    <cellStyle name="Labels - Style3 5 3 18" xfId="33738"/>
    <cellStyle name="Labels - Style3 5 3 19" xfId="34737"/>
    <cellStyle name="Labels - Style3 5 3 2" xfId="4989"/>
    <cellStyle name="Labels - Style3 5 3 2 10" xfId="24782"/>
    <cellStyle name="Labels - Style3 5 3 2 11" xfId="25781"/>
    <cellStyle name="Labels - Style3 5 3 2 12" xfId="28728"/>
    <cellStyle name="Labels - Style3 5 3 2 13" xfId="29695"/>
    <cellStyle name="Labels - Style3 5 3 2 14" xfId="30737"/>
    <cellStyle name="Labels - Style3 5 3 2 15" xfId="31728"/>
    <cellStyle name="Labels - Style3 5 3 2 16" xfId="32736"/>
    <cellStyle name="Labels - Style3 5 3 2 17" xfId="33739"/>
    <cellStyle name="Labels - Style3 5 3 2 18" xfId="34738"/>
    <cellStyle name="Labels - Style3 5 3 2 19" xfId="36359"/>
    <cellStyle name="Labels - Style3 5 3 2 2" xfId="16763"/>
    <cellStyle name="Labels - Style3 5 3 2 20" xfId="37298"/>
    <cellStyle name="Labels - Style3 5 3 2 3" xfId="17742"/>
    <cellStyle name="Labels - Style3 5 3 2 4" xfId="18769"/>
    <cellStyle name="Labels - Style3 5 3 2 5" xfId="19801"/>
    <cellStyle name="Labels - Style3 5 3 2 6" xfId="20823"/>
    <cellStyle name="Labels - Style3 5 3 2 7" xfId="21834"/>
    <cellStyle name="Labels - Style3 5 3 2 8" xfId="22805"/>
    <cellStyle name="Labels - Style3 5 3 2 9" xfId="23810"/>
    <cellStyle name="Labels - Style3 5 3 20" xfId="36358"/>
    <cellStyle name="Labels - Style3 5 3 21" xfId="37297"/>
    <cellStyle name="Labels - Style3 5 3 3" xfId="16762"/>
    <cellStyle name="Labels - Style3 5 3 4" xfId="17741"/>
    <cellStyle name="Labels - Style3 5 3 5" xfId="18768"/>
    <cellStyle name="Labels - Style3 5 3 6" xfId="19800"/>
    <cellStyle name="Labels - Style3 5 3 7" xfId="20822"/>
    <cellStyle name="Labels - Style3 5 3 8" xfId="21833"/>
    <cellStyle name="Labels - Style3 5 3 9" xfId="22804"/>
    <cellStyle name="Labels - Style3 5 4" xfId="4990"/>
    <cellStyle name="Labels - Style3 5 4 10" xfId="23811"/>
    <cellStyle name="Labels - Style3 5 4 11" xfId="24783"/>
    <cellStyle name="Labels - Style3 5 4 12" xfId="25782"/>
    <cellStyle name="Labels - Style3 5 4 13" xfId="28729"/>
    <cellStyle name="Labels - Style3 5 4 14" xfId="29696"/>
    <cellStyle name="Labels - Style3 5 4 15" xfId="30738"/>
    <cellStyle name="Labels - Style3 5 4 16" xfId="31729"/>
    <cellStyle name="Labels - Style3 5 4 17" xfId="32737"/>
    <cellStyle name="Labels - Style3 5 4 18" xfId="33740"/>
    <cellStyle name="Labels - Style3 5 4 19" xfId="34739"/>
    <cellStyle name="Labels - Style3 5 4 2" xfId="4991"/>
    <cellStyle name="Labels - Style3 5 4 2 10" xfId="24784"/>
    <cellStyle name="Labels - Style3 5 4 2 11" xfId="25783"/>
    <cellStyle name="Labels - Style3 5 4 2 12" xfId="28730"/>
    <cellStyle name="Labels - Style3 5 4 2 13" xfId="29697"/>
    <cellStyle name="Labels - Style3 5 4 2 14" xfId="30739"/>
    <cellStyle name="Labels - Style3 5 4 2 15" xfId="31730"/>
    <cellStyle name="Labels - Style3 5 4 2 16" xfId="32738"/>
    <cellStyle name="Labels - Style3 5 4 2 17" xfId="33741"/>
    <cellStyle name="Labels - Style3 5 4 2 18" xfId="34740"/>
    <cellStyle name="Labels - Style3 5 4 2 19" xfId="36361"/>
    <cellStyle name="Labels - Style3 5 4 2 2" xfId="16765"/>
    <cellStyle name="Labels - Style3 5 4 2 20" xfId="37300"/>
    <cellStyle name="Labels - Style3 5 4 2 3" xfId="17744"/>
    <cellStyle name="Labels - Style3 5 4 2 4" xfId="18771"/>
    <cellStyle name="Labels - Style3 5 4 2 5" xfId="19803"/>
    <cellStyle name="Labels - Style3 5 4 2 6" xfId="20825"/>
    <cellStyle name="Labels - Style3 5 4 2 7" xfId="21836"/>
    <cellStyle name="Labels - Style3 5 4 2 8" xfId="22807"/>
    <cellStyle name="Labels - Style3 5 4 2 9" xfId="23812"/>
    <cellStyle name="Labels - Style3 5 4 20" xfId="36360"/>
    <cellStyle name="Labels - Style3 5 4 21" xfId="37299"/>
    <cellStyle name="Labels - Style3 5 4 3" xfId="16764"/>
    <cellStyle name="Labels - Style3 5 4 4" xfId="17743"/>
    <cellStyle name="Labels - Style3 5 4 5" xfId="18770"/>
    <cellStyle name="Labels - Style3 5 4 6" xfId="19802"/>
    <cellStyle name="Labels - Style3 5 4 7" xfId="20824"/>
    <cellStyle name="Labels - Style3 5 4 8" xfId="21835"/>
    <cellStyle name="Labels - Style3 5 4 9" xfId="22806"/>
    <cellStyle name="Labels - Style3 5 5" xfId="4992"/>
    <cellStyle name="Labels - Style3 5 5 10" xfId="23813"/>
    <cellStyle name="Labels - Style3 5 5 11" xfId="24785"/>
    <cellStyle name="Labels - Style3 5 5 12" xfId="25784"/>
    <cellStyle name="Labels - Style3 5 5 13" xfId="28731"/>
    <cellStyle name="Labels - Style3 5 5 14" xfId="29698"/>
    <cellStyle name="Labels - Style3 5 5 15" xfId="30740"/>
    <cellStyle name="Labels - Style3 5 5 16" xfId="31731"/>
    <cellStyle name="Labels - Style3 5 5 17" xfId="32739"/>
    <cellStyle name="Labels - Style3 5 5 18" xfId="33742"/>
    <cellStyle name="Labels - Style3 5 5 19" xfId="34741"/>
    <cellStyle name="Labels - Style3 5 5 2" xfId="4993"/>
    <cellStyle name="Labels - Style3 5 5 2 10" xfId="24786"/>
    <cellStyle name="Labels - Style3 5 5 2 11" xfId="25785"/>
    <cellStyle name="Labels - Style3 5 5 2 12" xfId="28732"/>
    <cellStyle name="Labels - Style3 5 5 2 13" xfId="29699"/>
    <cellStyle name="Labels - Style3 5 5 2 14" xfId="30741"/>
    <cellStyle name="Labels - Style3 5 5 2 15" xfId="31732"/>
    <cellStyle name="Labels - Style3 5 5 2 16" xfId="32740"/>
    <cellStyle name="Labels - Style3 5 5 2 17" xfId="33743"/>
    <cellStyle name="Labels - Style3 5 5 2 18" xfId="34742"/>
    <cellStyle name="Labels - Style3 5 5 2 19" xfId="36363"/>
    <cellStyle name="Labels - Style3 5 5 2 2" xfId="16767"/>
    <cellStyle name="Labels - Style3 5 5 2 20" xfId="37302"/>
    <cellStyle name="Labels - Style3 5 5 2 3" xfId="17746"/>
    <cellStyle name="Labels - Style3 5 5 2 4" xfId="18773"/>
    <cellStyle name="Labels - Style3 5 5 2 5" xfId="19805"/>
    <cellStyle name="Labels - Style3 5 5 2 6" xfId="20827"/>
    <cellStyle name="Labels - Style3 5 5 2 7" xfId="21838"/>
    <cellStyle name="Labels - Style3 5 5 2 8" xfId="22809"/>
    <cellStyle name="Labels - Style3 5 5 2 9" xfId="23814"/>
    <cellStyle name="Labels - Style3 5 5 20" xfId="36362"/>
    <cellStyle name="Labels - Style3 5 5 21" xfId="37301"/>
    <cellStyle name="Labels - Style3 5 5 3" xfId="16766"/>
    <cellStyle name="Labels - Style3 5 5 4" xfId="17745"/>
    <cellStyle name="Labels - Style3 5 5 5" xfId="18772"/>
    <cellStyle name="Labels - Style3 5 5 6" xfId="19804"/>
    <cellStyle name="Labels - Style3 5 5 7" xfId="20826"/>
    <cellStyle name="Labels - Style3 5 5 8" xfId="21837"/>
    <cellStyle name="Labels - Style3 5 5 9" xfId="22808"/>
    <cellStyle name="Labels - Style3 5 6" xfId="4994"/>
    <cellStyle name="Labels - Style3 5 6 10" xfId="24787"/>
    <cellStyle name="Labels - Style3 5 6 11" xfId="25786"/>
    <cellStyle name="Labels - Style3 5 6 12" xfId="28733"/>
    <cellStyle name="Labels - Style3 5 6 13" xfId="29700"/>
    <cellStyle name="Labels - Style3 5 6 14" xfId="30742"/>
    <cellStyle name="Labels - Style3 5 6 15" xfId="31733"/>
    <cellStyle name="Labels - Style3 5 6 16" xfId="32741"/>
    <cellStyle name="Labels - Style3 5 6 17" xfId="33744"/>
    <cellStyle name="Labels - Style3 5 6 18" xfId="34743"/>
    <cellStyle name="Labels - Style3 5 6 19" xfId="36364"/>
    <cellStyle name="Labels - Style3 5 6 2" xfId="16768"/>
    <cellStyle name="Labels - Style3 5 6 20" xfId="37303"/>
    <cellStyle name="Labels - Style3 5 6 3" xfId="17747"/>
    <cellStyle name="Labels - Style3 5 6 4" xfId="18774"/>
    <cellStyle name="Labels - Style3 5 6 5" xfId="19806"/>
    <cellStyle name="Labels - Style3 5 6 6" xfId="20828"/>
    <cellStyle name="Labels - Style3 5 6 7" xfId="21839"/>
    <cellStyle name="Labels - Style3 5 6 8" xfId="22810"/>
    <cellStyle name="Labels - Style3 5 6 9" xfId="23815"/>
    <cellStyle name="Labels - Style3 5 7" xfId="15162"/>
    <cellStyle name="Labels - Style3 5 8" xfId="13696"/>
    <cellStyle name="Labels - Style3 5 9" xfId="14946"/>
    <cellStyle name="Labels - Style3 6" xfId="4995"/>
    <cellStyle name="Labels - Style3 6 10" xfId="23816"/>
    <cellStyle name="Labels - Style3 6 11" xfId="24788"/>
    <cellStyle name="Labels - Style3 6 12" xfId="25787"/>
    <cellStyle name="Labels - Style3 6 13" xfId="28734"/>
    <cellStyle name="Labels - Style3 6 14" xfId="29701"/>
    <cellStyle name="Labels - Style3 6 15" xfId="30743"/>
    <cellStyle name="Labels - Style3 6 16" xfId="31734"/>
    <cellStyle name="Labels - Style3 6 17" xfId="32742"/>
    <cellStyle name="Labels - Style3 6 18" xfId="33745"/>
    <cellStyle name="Labels - Style3 6 19" xfId="34744"/>
    <cellStyle name="Labels - Style3 6 2" xfId="4996"/>
    <cellStyle name="Labels - Style3 6 2 10" xfId="24789"/>
    <cellStyle name="Labels - Style3 6 2 11" xfId="25788"/>
    <cellStyle name="Labels - Style3 6 2 12" xfId="28735"/>
    <cellStyle name="Labels - Style3 6 2 13" xfId="29702"/>
    <cellStyle name="Labels - Style3 6 2 14" xfId="30744"/>
    <cellStyle name="Labels - Style3 6 2 15" xfId="31735"/>
    <cellStyle name="Labels - Style3 6 2 16" xfId="32743"/>
    <cellStyle name="Labels - Style3 6 2 17" xfId="33746"/>
    <cellStyle name="Labels - Style3 6 2 18" xfId="34745"/>
    <cellStyle name="Labels - Style3 6 2 19" xfId="36366"/>
    <cellStyle name="Labels - Style3 6 2 2" xfId="16770"/>
    <cellStyle name="Labels - Style3 6 2 20" xfId="37305"/>
    <cellStyle name="Labels - Style3 6 2 3" xfId="17749"/>
    <cellStyle name="Labels - Style3 6 2 4" xfId="18776"/>
    <cellStyle name="Labels - Style3 6 2 5" xfId="19808"/>
    <cellStyle name="Labels - Style3 6 2 6" xfId="20830"/>
    <cellStyle name="Labels - Style3 6 2 7" xfId="21841"/>
    <cellStyle name="Labels - Style3 6 2 8" xfId="22812"/>
    <cellStyle name="Labels - Style3 6 2 9" xfId="23817"/>
    <cellStyle name="Labels - Style3 6 20" xfId="36365"/>
    <cellStyle name="Labels - Style3 6 21" xfId="37304"/>
    <cellStyle name="Labels - Style3 6 3" xfId="16769"/>
    <cellStyle name="Labels - Style3 6 4" xfId="17748"/>
    <cellStyle name="Labels - Style3 6 5" xfId="18775"/>
    <cellStyle name="Labels - Style3 6 6" xfId="19807"/>
    <cellStyle name="Labels - Style3 6 7" xfId="20829"/>
    <cellStyle name="Labels - Style3 6 8" xfId="21840"/>
    <cellStyle name="Labels - Style3 6 9" xfId="22811"/>
    <cellStyle name="Labels - Style3 7" xfId="4997"/>
    <cellStyle name="Labels - Style3 7 10" xfId="23818"/>
    <cellStyle name="Labels - Style3 7 11" xfId="24790"/>
    <cellStyle name="Labels - Style3 7 12" xfId="25789"/>
    <cellStyle name="Labels - Style3 7 13" xfId="28736"/>
    <cellStyle name="Labels - Style3 7 14" xfId="29703"/>
    <cellStyle name="Labels - Style3 7 15" xfId="30745"/>
    <cellStyle name="Labels - Style3 7 16" xfId="31736"/>
    <cellStyle name="Labels - Style3 7 17" xfId="32744"/>
    <cellStyle name="Labels - Style3 7 18" xfId="33747"/>
    <cellStyle name="Labels - Style3 7 19" xfId="34746"/>
    <cellStyle name="Labels - Style3 7 2" xfId="4998"/>
    <cellStyle name="Labels - Style3 7 2 10" xfId="24791"/>
    <cellStyle name="Labels - Style3 7 2 11" xfId="25790"/>
    <cellStyle name="Labels - Style3 7 2 12" xfId="28737"/>
    <cellStyle name="Labels - Style3 7 2 13" xfId="29704"/>
    <cellStyle name="Labels - Style3 7 2 14" xfId="30746"/>
    <cellStyle name="Labels - Style3 7 2 15" xfId="31737"/>
    <cellStyle name="Labels - Style3 7 2 16" xfId="32745"/>
    <cellStyle name="Labels - Style3 7 2 17" xfId="33748"/>
    <cellStyle name="Labels - Style3 7 2 18" xfId="34747"/>
    <cellStyle name="Labels - Style3 7 2 19" xfId="36368"/>
    <cellStyle name="Labels - Style3 7 2 2" xfId="16772"/>
    <cellStyle name="Labels - Style3 7 2 20" xfId="37307"/>
    <cellStyle name="Labels - Style3 7 2 3" xfId="17751"/>
    <cellStyle name="Labels - Style3 7 2 4" xfId="18778"/>
    <cellStyle name="Labels - Style3 7 2 5" xfId="19810"/>
    <cellStyle name="Labels - Style3 7 2 6" xfId="20832"/>
    <cellStyle name="Labels - Style3 7 2 7" xfId="21843"/>
    <cellStyle name="Labels - Style3 7 2 8" xfId="22814"/>
    <cellStyle name="Labels - Style3 7 2 9" xfId="23819"/>
    <cellStyle name="Labels - Style3 7 20" xfId="36367"/>
    <cellStyle name="Labels - Style3 7 21" xfId="37306"/>
    <cellStyle name="Labels - Style3 7 3" xfId="16771"/>
    <cellStyle name="Labels - Style3 7 4" xfId="17750"/>
    <cellStyle name="Labels - Style3 7 5" xfId="18777"/>
    <cellStyle name="Labels - Style3 7 6" xfId="19809"/>
    <cellStyle name="Labels - Style3 7 7" xfId="20831"/>
    <cellStyle name="Labels - Style3 7 8" xfId="21842"/>
    <cellStyle name="Labels - Style3 7 9" xfId="22813"/>
    <cellStyle name="Labels - Style3 8" xfId="4999"/>
    <cellStyle name="Labels - Style3 8 10" xfId="23820"/>
    <cellStyle name="Labels - Style3 8 11" xfId="24792"/>
    <cellStyle name="Labels - Style3 8 12" xfId="25791"/>
    <cellStyle name="Labels - Style3 8 13" xfId="28738"/>
    <cellStyle name="Labels - Style3 8 14" xfId="29705"/>
    <cellStyle name="Labels - Style3 8 15" xfId="30747"/>
    <cellStyle name="Labels - Style3 8 16" xfId="31738"/>
    <cellStyle name="Labels - Style3 8 17" xfId="32746"/>
    <cellStyle name="Labels - Style3 8 18" xfId="33749"/>
    <cellStyle name="Labels - Style3 8 19" xfId="34748"/>
    <cellStyle name="Labels - Style3 8 2" xfId="5000"/>
    <cellStyle name="Labels - Style3 8 2 10" xfId="24793"/>
    <cellStyle name="Labels - Style3 8 2 11" xfId="25792"/>
    <cellStyle name="Labels - Style3 8 2 12" xfId="28739"/>
    <cellStyle name="Labels - Style3 8 2 13" xfId="29706"/>
    <cellStyle name="Labels - Style3 8 2 14" xfId="30748"/>
    <cellStyle name="Labels - Style3 8 2 15" xfId="31739"/>
    <cellStyle name="Labels - Style3 8 2 16" xfId="32747"/>
    <cellStyle name="Labels - Style3 8 2 17" xfId="33750"/>
    <cellStyle name="Labels - Style3 8 2 18" xfId="34749"/>
    <cellStyle name="Labels - Style3 8 2 19" xfId="36370"/>
    <cellStyle name="Labels - Style3 8 2 2" xfId="16774"/>
    <cellStyle name="Labels - Style3 8 2 20" xfId="37309"/>
    <cellStyle name="Labels - Style3 8 2 3" xfId="17753"/>
    <cellStyle name="Labels - Style3 8 2 4" xfId="18780"/>
    <cellStyle name="Labels - Style3 8 2 5" xfId="19812"/>
    <cellStyle name="Labels - Style3 8 2 6" xfId="20834"/>
    <cellStyle name="Labels - Style3 8 2 7" xfId="21845"/>
    <cellStyle name="Labels - Style3 8 2 8" xfId="22816"/>
    <cellStyle name="Labels - Style3 8 2 9" xfId="23821"/>
    <cellStyle name="Labels - Style3 8 20" xfId="36369"/>
    <cellStyle name="Labels - Style3 8 21" xfId="37308"/>
    <cellStyle name="Labels - Style3 8 3" xfId="16773"/>
    <cellStyle name="Labels - Style3 8 4" xfId="17752"/>
    <cellStyle name="Labels - Style3 8 5" xfId="18779"/>
    <cellStyle name="Labels - Style3 8 6" xfId="19811"/>
    <cellStyle name="Labels - Style3 8 7" xfId="20833"/>
    <cellStyle name="Labels - Style3 8 8" xfId="21844"/>
    <cellStyle name="Labels - Style3 8 9" xfId="22815"/>
    <cellStyle name="Labels - Style3 9" xfId="5001"/>
    <cellStyle name="Labels - Style3 9 10" xfId="23822"/>
    <cellStyle name="Labels - Style3 9 11" xfId="24794"/>
    <cellStyle name="Labels - Style3 9 12" xfId="25793"/>
    <cellStyle name="Labels - Style3 9 13" xfId="28740"/>
    <cellStyle name="Labels - Style3 9 14" xfId="29707"/>
    <cellStyle name="Labels - Style3 9 15" xfId="30749"/>
    <cellStyle name="Labels - Style3 9 16" xfId="31740"/>
    <cellStyle name="Labels - Style3 9 17" xfId="32748"/>
    <cellStyle name="Labels - Style3 9 18" xfId="33751"/>
    <cellStyle name="Labels - Style3 9 19" xfId="34750"/>
    <cellStyle name="Labels - Style3 9 2" xfId="5002"/>
    <cellStyle name="Labels - Style3 9 2 10" xfId="24795"/>
    <cellStyle name="Labels - Style3 9 2 11" xfId="25794"/>
    <cellStyle name="Labels - Style3 9 2 12" xfId="28741"/>
    <cellStyle name="Labels - Style3 9 2 13" xfId="29708"/>
    <cellStyle name="Labels - Style3 9 2 14" xfId="30750"/>
    <cellStyle name="Labels - Style3 9 2 15" xfId="31741"/>
    <cellStyle name="Labels - Style3 9 2 16" xfId="32749"/>
    <cellStyle name="Labels - Style3 9 2 17" xfId="33752"/>
    <cellStyle name="Labels - Style3 9 2 18" xfId="34751"/>
    <cellStyle name="Labels - Style3 9 2 19" xfId="36372"/>
    <cellStyle name="Labels - Style3 9 2 2" xfId="16776"/>
    <cellStyle name="Labels - Style3 9 2 20" xfId="37311"/>
    <cellStyle name="Labels - Style3 9 2 3" xfId="17755"/>
    <cellStyle name="Labels - Style3 9 2 4" xfId="18782"/>
    <cellStyle name="Labels - Style3 9 2 5" xfId="19814"/>
    <cellStyle name="Labels - Style3 9 2 6" xfId="20836"/>
    <cellStyle name="Labels - Style3 9 2 7" xfId="21847"/>
    <cellStyle name="Labels - Style3 9 2 8" xfId="22818"/>
    <cellStyle name="Labels - Style3 9 2 9" xfId="23823"/>
    <cellStyle name="Labels - Style3 9 20" xfId="36371"/>
    <cellStyle name="Labels - Style3 9 21" xfId="37310"/>
    <cellStyle name="Labels - Style3 9 3" xfId="16775"/>
    <cellStyle name="Labels - Style3 9 4" xfId="17754"/>
    <cellStyle name="Labels - Style3 9 5" xfId="18781"/>
    <cellStyle name="Labels - Style3 9 6" xfId="19813"/>
    <cellStyle name="Labels - Style3 9 7" xfId="20835"/>
    <cellStyle name="Labels - Style3 9 8" xfId="21846"/>
    <cellStyle name="Labels - Style3 9 9" xfId="22817"/>
    <cellStyle name="Labels 10" xfId="5003"/>
    <cellStyle name="Labels 10 10" xfId="24796"/>
    <cellStyle name="Labels 10 11" xfId="25795"/>
    <cellStyle name="Labels 10 12" xfId="29709"/>
    <cellStyle name="Labels 10 13" xfId="30751"/>
    <cellStyle name="Labels 10 14" xfId="31742"/>
    <cellStyle name="Labels 10 15" xfId="32750"/>
    <cellStyle name="Labels 10 16" xfId="33753"/>
    <cellStyle name="Labels 10 17" xfId="34752"/>
    <cellStyle name="Labels 10 18" xfId="37312"/>
    <cellStyle name="Labels 10 2" xfId="5004"/>
    <cellStyle name="Labels 10 2 10" xfId="25796"/>
    <cellStyle name="Labels 10 2 11" xfId="29710"/>
    <cellStyle name="Labels 10 2 12" xfId="30752"/>
    <cellStyle name="Labels 10 2 13" xfId="31743"/>
    <cellStyle name="Labels 10 2 14" xfId="32751"/>
    <cellStyle name="Labels 10 2 15" xfId="33754"/>
    <cellStyle name="Labels 10 2 16" xfId="34753"/>
    <cellStyle name="Labels 10 2 17" xfId="37313"/>
    <cellStyle name="Labels 10 2 2" xfId="16778"/>
    <cellStyle name="Labels 10 2 3" xfId="17757"/>
    <cellStyle name="Labels 10 2 4" xfId="18784"/>
    <cellStyle name="Labels 10 2 5" xfId="19816"/>
    <cellStyle name="Labels 10 2 6" xfId="20838"/>
    <cellStyle name="Labels 10 2 7" xfId="22820"/>
    <cellStyle name="Labels 10 2 8" xfId="23825"/>
    <cellStyle name="Labels 10 2 9" xfId="24797"/>
    <cellStyle name="Labels 10 3" xfId="16777"/>
    <cellStyle name="Labels 10 4" xfId="17756"/>
    <cellStyle name="Labels 10 5" xfId="18783"/>
    <cellStyle name="Labels 10 6" xfId="19815"/>
    <cellStyle name="Labels 10 7" xfId="20837"/>
    <cellStyle name="Labels 10 8" xfId="22819"/>
    <cellStyle name="Labels 10 9" xfId="23824"/>
    <cellStyle name="Labels 11" xfId="5005"/>
    <cellStyle name="Labels 11 10" xfId="24798"/>
    <cellStyle name="Labels 11 11" xfId="25797"/>
    <cellStyle name="Labels 11 12" xfId="29711"/>
    <cellStyle name="Labels 11 13" xfId="30753"/>
    <cellStyle name="Labels 11 14" xfId="31744"/>
    <cellStyle name="Labels 11 15" xfId="32752"/>
    <cellStyle name="Labels 11 16" xfId="33755"/>
    <cellStyle name="Labels 11 17" xfId="34754"/>
    <cellStyle name="Labels 11 18" xfId="37314"/>
    <cellStyle name="Labels 11 2" xfId="5006"/>
    <cellStyle name="Labels 11 2 10" xfId="25798"/>
    <cellStyle name="Labels 11 2 11" xfId="29712"/>
    <cellStyle name="Labels 11 2 12" xfId="30754"/>
    <cellStyle name="Labels 11 2 13" xfId="31745"/>
    <cellStyle name="Labels 11 2 14" xfId="32753"/>
    <cellStyle name="Labels 11 2 15" xfId="33756"/>
    <cellStyle name="Labels 11 2 16" xfId="34755"/>
    <cellStyle name="Labels 11 2 17" xfId="37315"/>
    <cellStyle name="Labels 11 2 2" xfId="16780"/>
    <cellStyle name="Labels 11 2 3" xfId="17759"/>
    <cellStyle name="Labels 11 2 4" xfId="18786"/>
    <cellStyle name="Labels 11 2 5" xfId="19818"/>
    <cellStyle name="Labels 11 2 6" xfId="20840"/>
    <cellStyle name="Labels 11 2 7" xfId="22822"/>
    <cellStyle name="Labels 11 2 8" xfId="23827"/>
    <cellStyle name="Labels 11 2 9" xfId="24799"/>
    <cellStyle name="Labels 11 3" xfId="16779"/>
    <cellStyle name="Labels 11 4" xfId="17758"/>
    <cellStyle name="Labels 11 5" xfId="18785"/>
    <cellStyle name="Labels 11 6" xfId="19817"/>
    <cellStyle name="Labels 11 7" xfId="20839"/>
    <cellStyle name="Labels 11 8" xfId="22821"/>
    <cellStyle name="Labels 11 9" xfId="23826"/>
    <cellStyle name="Labels 12" xfId="5007"/>
    <cellStyle name="Labels 12 10" xfId="24800"/>
    <cellStyle name="Labels 12 11" xfId="25799"/>
    <cellStyle name="Labels 12 12" xfId="29713"/>
    <cellStyle name="Labels 12 13" xfId="30755"/>
    <cellStyle name="Labels 12 14" xfId="31746"/>
    <cellStyle name="Labels 12 15" xfId="32754"/>
    <cellStyle name="Labels 12 16" xfId="33757"/>
    <cellStyle name="Labels 12 17" xfId="34756"/>
    <cellStyle name="Labels 12 18" xfId="37316"/>
    <cellStyle name="Labels 12 2" xfId="5008"/>
    <cellStyle name="Labels 12 2 10" xfId="25800"/>
    <cellStyle name="Labels 12 2 11" xfId="29714"/>
    <cellStyle name="Labels 12 2 12" xfId="30756"/>
    <cellStyle name="Labels 12 2 13" xfId="31747"/>
    <cellStyle name="Labels 12 2 14" xfId="32755"/>
    <cellStyle name="Labels 12 2 15" xfId="33758"/>
    <cellStyle name="Labels 12 2 16" xfId="34757"/>
    <cellStyle name="Labels 12 2 17" xfId="37317"/>
    <cellStyle name="Labels 12 2 2" xfId="16782"/>
    <cellStyle name="Labels 12 2 3" xfId="17761"/>
    <cellStyle name="Labels 12 2 4" xfId="18788"/>
    <cellStyle name="Labels 12 2 5" xfId="19820"/>
    <cellStyle name="Labels 12 2 6" xfId="20842"/>
    <cellStyle name="Labels 12 2 7" xfId="22824"/>
    <cellStyle name="Labels 12 2 8" xfId="23829"/>
    <cellStyle name="Labels 12 2 9" xfId="24801"/>
    <cellStyle name="Labels 12 3" xfId="16781"/>
    <cellStyle name="Labels 12 4" xfId="17760"/>
    <cellStyle name="Labels 12 5" xfId="18787"/>
    <cellStyle name="Labels 12 6" xfId="19819"/>
    <cellStyle name="Labels 12 7" xfId="20841"/>
    <cellStyle name="Labels 12 8" xfId="22823"/>
    <cellStyle name="Labels 12 9" xfId="23828"/>
    <cellStyle name="Labels 13" xfId="5009"/>
    <cellStyle name="Labels 13 10" xfId="24802"/>
    <cellStyle name="Labels 13 11" xfId="25801"/>
    <cellStyle name="Labels 13 12" xfId="29715"/>
    <cellStyle name="Labels 13 13" xfId="30757"/>
    <cellStyle name="Labels 13 14" xfId="31748"/>
    <cellStyle name="Labels 13 15" xfId="32756"/>
    <cellStyle name="Labels 13 16" xfId="33759"/>
    <cellStyle name="Labels 13 17" xfId="34758"/>
    <cellStyle name="Labels 13 18" xfId="37318"/>
    <cellStyle name="Labels 13 2" xfId="5010"/>
    <cellStyle name="Labels 13 2 10" xfId="25802"/>
    <cellStyle name="Labels 13 2 11" xfId="29716"/>
    <cellStyle name="Labels 13 2 12" xfId="30758"/>
    <cellStyle name="Labels 13 2 13" xfId="31749"/>
    <cellStyle name="Labels 13 2 14" xfId="32757"/>
    <cellStyle name="Labels 13 2 15" xfId="33760"/>
    <cellStyle name="Labels 13 2 16" xfId="34759"/>
    <cellStyle name="Labels 13 2 17" xfId="37319"/>
    <cellStyle name="Labels 13 2 2" xfId="16784"/>
    <cellStyle name="Labels 13 2 3" xfId="17763"/>
    <cellStyle name="Labels 13 2 4" xfId="18790"/>
    <cellStyle name="Labels 13 2 5" xfId="19822"/>
    <cellStyle name="Labels 13 2 6" xfId="20844"/>
    <cellStyle name="Labels 13 2 7" xfId="22826"/>
    <cellStyle name="Labels 13 2 8" xfId="23831"/>
    <cellStyle name="Labels 13 2 9" xfId="24803"/>
    <cellStyle name="Labels 13 3" xfId="16783"/>
    <cellStyle name="Labels 13 4" xfId="17762"/>
    <cellStyle name="Labels 13 5" xfId="18789"/>
    <cellStyle name="Labels 13 6" xfId="19821"/>
    <cellStyle name="Labels 13 7" xfId="20843"/>
    <cellStyle name="Labels 13 8" xfId="22825"/>
    <cellStyle name="Labels 13 9" xfId="23830"/>
    <cellStyle name="Labels 14" xfId="5011"/>
    <cellStyle name="Labels 14 10" xfId="24804"/>
    <cellStyle name="Labels 14 11" xfId="25803"/>
    <cellStyle name="Labels 14 12" xfId="29717"/>
    <cellStyle name="Labels 14 13" xfId="30759"/>
    <cellStyle name="Labels 14 14" xfId="31750"/>
    <cellStyle name="Labels 14 15" xfId="32758"/>
    <cellStyle name="Labels 14 16" xfId="33761"/>
    <cellStyle name="Labels 14 17" xfId="34760"/>
    <cellStyle name="Labels 14 18" xfId="37320"/>
    <cellStyle name="Labels 14 2" xfId="5012"/>
    <cellStyle name="Labels 14 2 10" xfId="25804"/>
    <cellStyle name="Labels 14 2 11" xfId="29718"/>
    <cellStyle name="Labels 14 2 12" xfId="30760"/>
    <cellStyle name="Labels 14 2 13" xfId="31751"/>
    <cellStyle name="Labels 14 2 14" xfId="32759"/>
    <cellStyle name="Labels 14 2 15" xfId="33762"/>
    <cellStyle name="Labels 14 2 16" xfId="34761"/>
    <cellStyle name="Labels 14 2 17" xfId="37321"/>
    <cellStyle name="Labels 14 2 2" xfId="16786"/>
    <cellStyle name="Labels 14 2 3" xfId="17765"/>
    <cellStyle name="Labels 14 2 4" xfId="18792"/>
    <cellStyle name="Labels 14 2 5" xfId="19824"/>
    <cellStyle name="Labels 14 2 6" xfId="20846"/>
    <cellStyle name="Labels 14 2 7" xfId="22828"/>
    <cellStyle name="Labels 14 2 8" xfId="23833"/>
    <cellStyle name="Labels 14 2 9" xfId="24805"/>
    <cellStyle name="Labels 14 3" xfId="16785"/>
    <cellStyle name="Labels 14 4" xfId="17764"/>
    <cellStyle name="Labels 14 5" xfId="18791"/>
    <cellStyle name="Labels 14 6" xfId="19823"/>
    <cellStyle name="Labels 14 7" xfId="20845"/>
    <cellStyle name="Labels 14 8" xfId="22827"/>
    <cellStyle name="Labels 14 9" xfId="23832"/>
    <cellStyle name="Labels 15" xfId="5013"/>
    <cellStyle name="Labels 15 10" xfId="25805"/>
    <cellStyle name="Labels 15 11" xfId="29719"/>
    <cellStyle name="Labels 15 12" xfId="30761"/>
    <cellStyle name="Labels 15 13" xfId="31752"/>
    <cellStyle name="Labels 15 14" xfId="32760"/>
    <cellStyle name="Labels 15 15" xfId="33763"/>
    <cellStyle name="Labels 15 16" xfId="34762"/>
    <cellStyle name="Labels 15 17" xfId="37322"/>
    <cellStyle name="Labels 15 2" xfId="16787"/>
    <cellStyle name="Labels 15 3" xfId="17766"/>
    <cellStyle name="Labels 15 4" xfId="18793"/>
    <cellStyle name="Labels 15 5" xfId="19825"/>
    <cellStyle name="Labels 15 6" xfId="20847"/>
    <cellStyle name="Labels 15 7" xfId="22829"/>
    <cellStyle name="Labels 15 8" xfId="23834"/>
    <cellStyle name="Labels 15 9" xfId="24806"/>
    <cellStyle name="Labels 16" xfId="5014"/>
    <cellStyle name="Labels 16 10" xfId="25806"/>
    <cellStyle name="Labels 16 11" xfId="29720"/>
    <cellStyle name="Labels 16 12" xfId="30762"/>
    <cellStyle name="Labels 16 13" xfId="31753"/>
    <cellStyle name="Labels 16 14" xfId="32761"/>
    <cellStyle name="Labels 16 15" xfId="33764"/>
    <cellStyle name="Labels 16 16" xfId="34763"/>
    <cellStyle name="Labels 16 17" xfId="37323"/>
    <cellStyle name="Labels 16 2" xfId="16788"/>
    <cellStyle name="Labels 16 3" xfId="17767"/>
    <cellStyle name="Labels 16 4" xfId="18794"/>
    <cellStyle name="Labels 16 5" xfId="19826"/>
    <cellStyle name="Labels 16 6" xfId="20848"/>
    <cellStyle name="Labels 16 7" xfId="22830"/>
    <cellStyle name="Labels 16 8" xfId="23835"/>
    <cellStyle name="Labels 16 9" xfId="24807"/>
    <cellStyle name="Labels 17" xfId="5015"/>
    <cellStyle name="Labels 17 10" xfId="25807"/>
    <cellStyle name="Labels 17 11" xfId="29721"/>
    <cellStyle name="Labels 17 12" xfId="30763"/>
    <cellStyle name="Labels 17 13" xfId="31754"/>
    <cellStyle name="Labels 17 14" xfId="32762"/>
    <cellStyle name="Labels 17 15" xfId="33765"/>
    <cellStyle name="Labels 17 16" xfId="34764"/>
    <cellStyle name="Labels 17 17" xfId="37324"/>
    <cellStyle name="Labels 17 2" xfId="16789"/>
    <cellStyle name="Labels 17 3" xfId="17768"/>
    <cellStyle name="Labels 17 4" xfId="18795"/>
    <cellStyle name="Labels 17 5" xfId="19827"/>
    <cellStyle name="Labels 17 6" xfId="20849"/>
    <cellStyle name="Labels 17 7" xfId="22831"/>
    <cellStyle name="Labels 17 8" xfId="23836"/>
    <cellStyle name="Labels 17 9" xfId="24808"/>
    <cellStyle name="Labels 18" xfId="5016"/>
    <cellStyle name="Labels 18 10" xfId="25808"/>
    <cellStyle name="Labels 18 11" xfId="29722"/>
    <cellStyle name="Labels 18 12" xfId="30764"/>
    <cellStyle name="Labels 18 13" xfId="31755"/>
    <cellStyle name="Labels 18 14" xfId="32763"/>
    <cellStyle name="Labels 18 15" xfId="33766"/>
    <cellStyle name="Labels 18 16" xfId="34765"/>
    <cellStyle name="Labels 18 17" xfId="37325"/>
    <cellStyle name="Labels 18 2" xfId="16790"/>
    <cellStyle name="Labels 18 3" xfId="17769"/>
    <cellStyle name="Labels 18 4" xfId="18796"/>
    <cellStyle name="Labels 18 5" xfId="19828"/>
    <cellStyle name="Labels 18 6" xfId="20850"/>
    <cellStyle name="Labels 18 7" xfId="22832"/>
    <cellStyle name="Labels 18 8" xfId="23837"/>
    <cellStyle name="Labels 18 9" xfId="24809"/>
    <cellStyle name="Labels 19" xfId="15080"/>
    <cellStyle name="Labels 2" xfId="5017"/>
    <cellStyle name="Labels 2 10" xfId="18917"/>
    <cellStyle name="Labels 2 11" xfId="13585"/>
    <cellStyle name="Labels 2 12" xfId="21892"/>
    <cellStyle name="Labels 2 13" xfId="27256"/>
    <cellStyle name="Labels 2 14" xfId="25879"/>
    <cellStyle name="Labels 2 15" xfId="29822"/>
    <cellStyle name="Labels 2 16" xfId="30848"/>
    <cellStyle name="Labels 2 17" xfId="27766"/>
    <cellStyle name="Labels 2 18" xfId="35362"/>
    <cellStyle name="Labels 2 2" xfId="5018"/>
    <cellStyle name="Labels 2 2 10" xfId="20954"/>
    <cellStyle name="Labels 2 2 11" xfId="14172"/>
    <cellStyle name="Labels 2 2 12" xfId="27685"/>
    <cellStyle name="Labels 2 2 13" xfId="25977"/>
    <cellStyle name="Labels 2 2 14" xfId="26575"/>
    <cellStyle name="Labels 2 2 15" xfId="27768"/>
    <cellStyle name="Labels 2 2 16" xfId="26901"/>
    <cellStyle name="Labels 2 2 17" xfId="35247"/>
    <cellStyle name="Labels 2 2 2" xfId="5019"/>
    <cellStyle name="Labels 2 2 2 10" xfId="24810"/>
    <cellStyle name="Labels 2 2 2 11" xfId="25809"/>
    <cellStyle name="Labels 2 2 2 12" xfId="29723"/>
    <cellStyle name="Labels 2 2 2 13" xfId="30765"/>
    <cellStyle name="Labels 2 2 2 14" xfId="31756"/>
    <cellStyle name="Labels 2 2 2 15" xfId="32764"/>
    <cellStyle name="Labels 2 2 2 16" xfId="33767"/>
    <cellStyle name="Labels 2 2 2 17" xfId="34766"/>
    <cellStyle name="Labels 2 2 2 18" xfId="37326"/>
    <cellStyle name="Labels 2 2 2 2" xfId="5020"/>
    <cellStyle name="Labels 2 2 2 2 10" xfId="25810"/>
    <cellStyle name="Labels 2 2 2 2 11" xfId="29724"/>
    <cellStyle name="Labels 2 2 2 2 12" xfId="30766"/>
    <cellStyle name="Labels 2 2 2 2 13" xfId="31757"/>
    <cellStyle name="Labels 2 2 2 2 14" xfId="32765"/>
    <cellStyle name="Labels 2 2 2 2 15" xfId="33768"/>
    <cellStyle name="Labels 2 2 2 2 16" xfId="34767"/>
    <cellStyle name="Labels 2 2 2 2 17" xfId="37327"/>
    <cellStyle name="Labels 2 2 2 2 2" xfId="16792"/>
    <cellStyle name="Labels 2 2 2 2 3" xfId="17771"/>
    <cellStyle name="Labels 2 2 2 2 4" xfId="18798"/>
    <cellStyle name="Labels 2 2 2 2 5" xfId="19830"/>
    <cellStyle name="Labels 2 2 2 2 6" xfId="20852"/>
    <cellStyle name="Labels 2 2 2 2 7" xfId="22834"/>
    <cellStyle name="Labels 2 2 2 2 8" xfId="23839"/>
    <cellStyle name="Labels 2 2 2 2 9" xfId="24811"/>
    <cellStyle name="Labels 2 2 2 3" xfId="16791"/>
    <cellStyle name="Labels 2 2 2 4" xfId="17770"/>
    <cellStyle name="Labels 2 2 2 5" xfId="18797"/>
    <cellStyle name="Labels 2 2 2 6" xfId="19829"/>
    <cellStyle name="Labels 2 2 2 7" xfId="20851"/>
    <cellStyle name="Labels 2 2 2 8" xfId="22833"/>
    <cellStyle name="Labels 2 2 2 9" xfId="23838"/>
    <cellStyle name="Labels 2 2 3" xfId="5021"/>
    <cellStyle name="Labels 2 2 3 10" xfId="24812"/>
    <cellStyle name="Labels 2 2 3 11" xfId="25811"/>
    <cellStyle name="Labels 2 2 3 12" xfId="29725"/>
    <cellStyle name="Labels 2 2 3 13" xfId="30767"/>
    <cellStyle name="Labels 2 2 3 14" xfId="31758"/>
    <cellStyle name="Labels 2 2 3 15" xfId="32766"/>
    <cellStyle name="Labels 2 2 3 16" xfId="33769"/>
    <cellStyle name="Labels 2 2 3 17" xfId="34768"/>
    <cellStyle name="Labels 2 2 3 18" xfId="37328"/>
    <cellStyle name="Labels 2 2 3 2" xfId="5022"/>
    <cellStyle name="Labels 2 2 3 2 10" xfId="25812"/>
    <cellStyle name="Labels 2 2 3 2 11" xfId="29726"/>
    <cellStyle name="Labels 2 2 3 2 12" xfId="30768"/>
    <cellStyle name="Labels 2 2 3 2 13" xfId="31759"/>
    <cellStyle name="Labels 2 2 3 2 14" xfId="32767"/>
    <cellStyle name="Labels 2 2 3 2 15" xfId="33770"/>
    <cellStyle name="Labels 2 2 3 2 16" xfId="34769"/>
    <cellStyle name="Labels 2 2 3 2 17" xfId="37329"/>
    <cellStyle name="Labels 2 2 3 2 2" xfId="16794"/>
    <cellStyle name="Labels 2 2 3 2 3" xfId="17773"/>
    <cellStyle name="Labels 2 2 3 2 4" xfId="18800"/>
    <cellStyle name="Labels 2 2 3 2 5" xfId="19832"/>
    <cellStyle name="Labels 2 2 3 2 6" xfId="20854"/>
    <cellStyle name="Labels 2 2 3 2 7" xfId="22836"/>
    <cellStyle name="Labels 2 2 3 2 8" xfId="23841"/>
    <cellStyle name="Labels 2 2 3 2 9" xfId="24813"/>
    <cellStyle name="Labels 2 2 3 3" xfId="16793"/>
    <cellStyle name="Labels 2 2 3 4" xfId="17772"/>
    <cellStyle name="Labels 2 2 3 5" xfId="18799"/>
    <cellStyle name="Labels 2 2 3 6" xfId="19831"/>
    <cellStyle name="Labels 2 2 3 7" xfId="20853"/>
    <cellStyle name="Labels 2 2 3 8" xfId="22835"/>
    <cellStyle name="Labels 2 2 3 9" xfId="23840"/>
    <cellStyle name="Labels 2 2 4" xfId="5023"/>
    <cellStyle name="Labels 2 2 4 10" xfId="25813"/>
    <cellStyle name="Labels 2 2 4 11" xfId="29727"/>
    <cellStyle name="Labels 2 2 4 12" xfId="30769"/>
    <cellStyle name="Labels 2 2 4 13" xfId="31760"/>
    <cellStyle name="Labels 2 2 4 14" xfId="32768"/>
    <cellStyle name="Labels 2 2 4 15" xfId="33771"/>
    <cellStyle name="Labels 2 2 4 16" xfId="34770"/>
    <cellStyle name="Labels 2 2 4 17" xfId="37330"/>
    <cellStyle name="Labels 2 2 4 2" xfId="16795"/>
    <cellStyle name="Labels 2 2 4 3" xfId="17774"/>
    <cellStyle name="Labels 2 2 4 4" xfId="18801"/>
    <cellStyle name="Labels 2 2 4 5" xfId="19833"/>
    <cellStyle name="Labels 2 2 4 6" xfId="20855"/>
    <cellStyle name="Labels 2 2 4 7" xfId="22837"/>
    <cellStyle name="Labels 2 2 4 8" xfId="23842"/>
    <cellStyle name="Labels 2 2 4 9" xfId="24814"/>
    <cellStyle name="Labels 2 2 5" xfId="5024"/>
    <cellStyle name="Labels 2 2 5 10" xfId="25814"/>
    <cellStyle name="Labels 2 2 5 11" xfId="29728"/>
    <cellStyle name="Labels 2 2 5 12" xfId="30770"/>
    <cellStyle name="Labels 2 2 5 13" xfId="31761"/>
    <cellStyle name="Labels 2 2 5 14" xfId="32769"/>
    <cellStyle name="Labels 2 2 5 15" xfId="33772"/>
    <cellStyle name="Labels 2 2 5 16" xfId="34771"/>
    <cellStyle name="Labels 2 2 5 17" xfId="37331"/>
    <cellStyle name="Labels 2 2 5 2" xfId="16796"/>
    <cellStyle name="Labels 2 2 5 3" xfId="17775"/>
    <cellStyle name="Labels 2 2 5 4" xfId="18802"/>
    <cellStyle name="Labels 2 2 5 5" xfId="19834"/>
    <cellStyle name="Labels 2 2 5 6" xfId="20856"/>
    <cellStyle name="Labels 2 2 5 7" xfId="22838"/>
    <cellStyle name="Labels 2 2 5 8" xfId="23843"/>
    <cellStyle name="Labels 2 2 5 9" xfId="24815"/>
    <cellStyle name="Labels 2 2 6" xfId="13926"/>
    <cellStyle name="Labels 2 2 7" xfId="15806"/>
    <cellStyle name="Labels 2 2 8" xfId="13659"/>
    <cellStyle name="Labels 2 2 9" xfId="14241"/>
    <cellStyle name="Labels 2 3" xfId="5025"/>
    <cellStyle name="Labels 2 3 10" xfId="24816"/>
    <cellStyle name="Labels 2 3 11" xfId="25815"/>
    <cellStyle name="Labels 2 3 12" xfId="29729"/>
    <cellStyle name="Labels 2 3 13" xfId="30771"/>
    <cellStyle name="Labels 2 3 14" xfId="31762"/>
    <cellStyle name="Labels 2 3 15" xfId="32770"/>
    <cellStyle name="Labels 2 3 16" xfId="33773"/>
    <cellStyle name="Labels 2 3 17" xfId="34772"/>
    <cellStyle name="Labels 2 3 18" xfId="37332"/>
    <cellStyle name="Labels 2 3 2" xfId="5026"/>
    <cellStyle name="Labels 2 3 2 10" xfId="25816"/>
    <cellStyle name="Labels 2 3 2 11" xfId="29730"/>
    <cellStyle name="Labels 2 3 2 12" xfId="30772"/>
    <cellStyle name="Labels 2 3 2 13" xfId="31763"/>
    <cellStyle name="Labels 2 3 2 14" xfId="32771"/>
    <cellStyle name="Labels 2 3 2 15" xfId="33774"/>
    <cellStyle name="Labels 2 3 2 16" xfId="34773"/>
    <cellStyle name="Labels 2 3 2 17" xfId="37333"/>
    <cellStyle name="Labels 2 3 2 2" xfId="16798"/>
    <cellStyle name="Labels 2 3 2 3" xfId="17777"/>
    <cellStyle name="Labels 2 3 2 4" xfId="18804"/>
    <cellStyle name="Labels 2 3 2 5" xfId="19836"/>
    <cellStyle name="Labels 2 3 2 6" xfId="20858"/>
    <cellStyle name="Labels 2 3 2 7" xfId="22840"/>
    <cellStyle name="Labels 2 3 2 8" xfId="23845"/>
    <cellStyle name="Labels 2 3 2 9" xfId="24817"/>
    <cellStyle name="Labels 2 3 3" xfId="16797"/>
    <cellStyle name="Labels 2 3 4" xfId="17776"/>
    <cellStyle name="Labels 2 3 5" xfId="18803"/>
    <cellStyle name="Labels 2 3 6" xfId="19835"/>
    <cellStyle name="Labels 2 3 7" xfId="20857"/>
    <cellStyle name="Labels 2 3 8" xfId="22839"/>
    <cellStyle name="Labels 2 3 9" xfId="23844"/>
    <cellStyle name="Labels 2 4" xfId="5027"/>
    <cellStyle name="Labels 2 4 10" xfId="24818"/>
    <cellStyle name="Labels 2 4 11" xfId="25817"/>
    <cellStyle name="Labels 2 4 12" xfId="29731"/>
    <cellStyle name="Labels 2 4 13" xfId="30773"/>
    <cellStyle name="Labels 2 4 14" xfId="31764"/>
    <cellStyle name="Labels 2 4 15" xfId="32772"/>
    <cellStyle name="Labels 2 4 16" xfId="33775"/>
    <cellStyle name="Labels 2 4 17" xfId="34774"/>
    <cellStyle name="Labels 2 4 18" xfId="37334"/>
    <cellStyle name="Labels 2 4 2" xfId="5028"/>
    <cellStyle name="Labels 2 4 2 10" xfId="25818"/>
    <cellStyle name="Labels 2 4 2 11" xfId="29732"/>
    <cellStyle name="Labels 2 4 2 12" xfId="30774"/>
    <cellStyle name="Labels 2 4 2 13" xfId="31765"/>
    <cellStyle name="Labels 2 4 2 14" xfId="32773"/>
    <cellStyle name="Labels 2 4 2 15" xfId="33776"/>
    <cellStyle name="Labels 2 4 2 16" xfId="34775"/>
    <cellStyle name="Labels 2 4 2 17" xfId="37335"/>
    <cellStyle name="Labels 2 4 2 2" xfId="16800"/>
    <cellStyle name="Labels 2 4 2 3" xfId="17779"/>
    <cellStyle name="Labels 2 4 2 4" xfId="18806"/>
    <cellStyle name="Labels 2 4 2 5" xfId="19838"/>
    <cellStyle name="Labels 2 4 2 6" xfId="20860"/>
    <cellStyle name="Labels 2 4 2 7" xfId="22842"/>
    <cellStyle name="Labels 2 4 2 8" xfId="23847"/>
    <cellStyle name="Labels 2 4 2 9" xfId="24819"/>
    <cellStyle name="Labels 2 4 3" xfId="16799"/>
    <cellStyle name="Labels 2 4 4" xfId="17778"/>
    <cellStyle name="Labels 2 4 5" xfId="18805"/>
    <cellStyle name="Labels 2 4 6" xfId="19837"/>
    <cellStyle name="Labels 2 4 7" xfId="20859"/>
    <cellStyle name="Labels 2 4 8" xfId="22841"/>
    <cellStyle name="Labels 2 4 9" xfId="23846"/>
    <cellStyle name="Labels 2 5" xfId="5029"/>
    <cellStyle name="Labels 2 5 10" xfId="25819"/>
    <cellStyle name="Labels 2 5 11" xfId="29733"/>
    <cellStyle name="Labels 2 5 12" xfId="30775"/>
    <cellStyle name="Labels 2 5 13" xfId="31766"/>
    <cellStyle name="Labels 2 5 14" xfId="32774"/>
    <cellStyle name="Labels 2 5 15" xfId="33777"/>
    <cellStyle name="Labels 2 5 16" xfId="34776"/>
    <cellStyle name="Labels 2 5 17" xfId="37336"/>
    <cellStyle name="Labels 2 5 2" xfId="16801"/>
    <cellStyle name="Labels 2 5 3" xfId="17780"/>
    <cellStyle name="Labels 2 5 4" xfId="18807"/>
    <cellStyle name="Labels 2 5 5" xfId="19839"/>
    <cellStyle name="Labels 2 5 6" xfId="20861"/>
    <cellStyle name="Labels 2 5 7" xfId="22843"/>
    <cellStyle name="Labels 2 5 8" xfId="23848"/>
    <cellStyle name="Labels 2 5 9" xfId="24820"/>
    <cellStyle name="Labels 2 6" xfId="5030"/>
    <cellStyle name="Labels 2 6 10" xfId="25820"/>
    <cellStyle name="Labels 2 6 11" xfId="29734"/>
    <cellStyle name="Labels 2 6 12" xfId="30776"/>
    <cellStyle name="Labels 2 6 13" xfId="31767"/>
    <cellStyle name="Labels 2 6 14" xfId="32775"/>
    <cellStyle name="Labels 2 6 15" xfId="33778"/>
    <cellStyle name="Labels 2 6 16" xfId="34777"/>
    <cellStyle name="Labels 2 6 17" xfId="37337"/>
    <cellStyle name="Labels 2 6 2" xfId="16802"/>
    <cellStyle name="Labels 2 6 3" xfId="17781"/>
    <cellStyle name="Labels 2 6 4" xfId="18808"/>
    <cellStyle name="Labels 2 6 5" xfId="19840"/>
    <cellStyle name="Labels 2 6 6" xfId="20862"/>
    <cellStyle name="Labels 2 6 7" xfId="22844"/>
    <cellStyle name="Labels 2 6 8" xfId="23849"/>
    <cellStyle name="Labels 2 6 9" xfId="24821"/>
    <cellStyle name="Labels 2 7" xfId="13645"/>
    <cellStyle name="Labels 2 8" xfId="15158"/>
    <cellStyle name="Labels 2 9" xfId="13628"/>
    <cellStyle name="Labels 20" xfId="13390"/>
    <cellStyle name="Labels 21" xfId="14337"/>
    <cellStyle name="Labels 22" xfId="18908"/>
    <cellStyle name="Labels 23" xfId="19914"/>
    <cellStyle name="Labels 24" xfId="20951"/>
    <cellStyle name="Labels 25" xfId="21898"/>
    <cellStyle name="Labels 26" xfId="22905"/>
    <cellStyle name="Labels 27" xfId="23906"/>
    <cellStyle name="Labels 28" xfId="25991"/>
    <cellStyle name="Labels 29" xfId="26065"/>
    <cellStyle name="Labels 3" xfId="5031"/>
    <cellStyle name="Labels 3 10" xfId="15395"/>
    <cellStyle name="Labels 3 11" xfId="15447"/>
    <cellStyle name="Labels 3 12" xfId="27188"/>
    <cellStyle name="Labels 3 13" xfId="27512"/>
    <cellStyle name="Labels 3 14" xfId="29770"/>
    <cellStyle name="Labels 3 15" xfId="27297"/>
    <cellStyle name="Labels 3 16" xfId="26835"/>
    <cellStyle name="Labels 3 17" xfId="35342"/>
    <cellStyle name="Labels 3 2" xfId="5032"/>
    <cellStyle name="Labels 3 2 10" xfId="24822"/>
    <cellStyle name="Labels 3 2 11" xfId="25821"/>
    <cellStyle name="Labels 3 2 12" xfId="29735"/>
    <cellStyle name="Labels 3 2 13" xfId="30777"/>
    <cellStyle name="Labels 3 2 14" xfId="31768"/>
    <cellStyle name="Labels 3 2 15" xfId="32776"/>
    <cellStyle name="Labels 3 2 16" xfId="33779"/>
    <cellStyle name="Labels 3 2 17" xfId="34778"/>
    <cellStyle name="Labels 3 2 18" xfId="37338"/>
    <cellStyle name="Labels 3 2 2" xfId="5033"/>
    <cellStyle name="Labels 3 2 2 10" xfId="25822"/>
    <cellStyle name="Labels 3 2 2 11" xfId="29736"/>
    <cellStyle name="Labels 3 2 2 12" xfId="30778"/>
    <cellStyle name="Labels 3 2 2 13" xfId="31769"/>
    <cellStyle name="Labels 3 2 2 14" xfId="32777"/>
    <cellStyle name="Labels 3 2 2 15" xfId="33780"/>
    <cellStyle name="Labels 3 2 2 16" xfId="34779"/>
    <cellStyle name="Labels 3 2 2 17" xfId="37339"/>
    <cellStyle name="Labels 3 2 2 2" xfId="16804"/>
    <cellStyle name="Labels 3 2 2 3" xfId="17783"/>
    <cellStyle name="Labels 3 2 2 4" xfId="18810"/>
    <cellStyle name="Labels 3 2 2 5" xfId="19842"/>
    <cellStyle name="Labels 3 2 2 6" xfId="20864"/>
    <cellStyle name="Labels 3 2 2 7" xfId="22846"/>
    <cellStyle name="Labels 3 2 2 8" xfId="23851"/>
    <cellStyle name="Labels 3 2 2 9" xfId="24823"/>
    <cellStyle name="Labels 3 2 3" xfId="16803"/>
    <cellStyle name="Labels 3 2 4" xfId="17782"/>
    <cellStyle name="Labels 3 2 5" xfId="18809"/>
    <cellStyle name="Labels 3 2 6" xfId="19841"/>
    <cellStyle name="Labels 3 2 7" xfId="20863"/>
    <cellStyle name="Labels 3 2 8" xfId="22845"/>
    <cellStyle name="Labels 3 2 9" xfId="23850"/>
    <cellStyle name="Labels 3 3" xfId="5034"/>
    <cellStyle name="Labels 3 3 10" xfId="24824"/>
    <cellStyle name="Labels 3 3 11" xfId="25823"/>
    <cellStyle name="Labels 3 3 12" xfId="29737"/>
    <cellStyle name="Labels 3 3 13" xfId="30779"/>
    <cellStyle name="Labels 3 3 14" xfId="31770"/>
    <cellStyle name="Labels 3 3 15" xfId="32778"/>
    <cellStyle name="Labels 3 3 16" xfId="33781"/>
    <cellStyle name="Labels 3 3 17" xfId="34780"/>
    <cellStyle name="Labels 3 3 18" xfId="37340"/>
    <cellStyle name="Labels 3 3 2" xfId="5035"/>
    <cellStyle name="Labels 3 3 2 10" xfId="25824"/>
    <cellStyle name="Labels 3 3 2 11" xfId="29738"/>
    <cellStyle name="Labels 3 3 2 12" xfId="30780"/>
    <cellStyle name="Labels 3 3 2 13" xfId="31771"/>
    <cellStyle name="Labels 3 3 2 14" xfId="32779"/>
    <cellStyle name="Labels 3 3 2 15" xfId="33782"/>
    <cellStyle name="Labels 3 3 2 16" xfId="34781"/>
    <cellStyle name="Labels 3 3 2 17" xfId="37341"/>
    <cellStyle name="Labels 3 3 2 2" xfId="16806"/>
    <cellStyle name="Labels 3 3 2 3" xfId="17785"/>
    <cellStyle name="Labels 3 3 2 4" xfId="18812"/>
    <cellStyle name="Labels 3 3 2 5" xfId="19844"/>
    <cellStyle name="Labels 3 3 2 6" xfId="20866"/>
    <cellStyle name="Labels 3 3 2 7" xfId="22848"/>
    <cellStyle name="Labels 3 3 2 8" xfId="23853"/>
    <cellStyle name="Labels 3 3 2 9" xfId="24825"/>
    <cellStyle name="Labels 3 3 3" xfId="16805"/>
    <cellStyle name="Labels 3 3 4" xfId="17784"/>
    <cellStyle name="Labels 3 3 5" xfId="18811"/>
    <cellStyle name="Labels 3 3 6" xfId="19843"/>
    <cellStyle name="Labels 3 3 7" xfId="20865"/>
    <cellStyle name="Labels 3 3 8" xfId="22847"/>
    <cellStyle name="Labels 3 3 9" xfId="23852"/>
    <cellStyle name="Labels 3 4" xfId="5036"/>
    <cellStyle name="Labels 3 4 10" xfId="25825"/>
    <cellStyle name="Labels 3 4 11" xfId="29739"/>
    <cellStyle name="Labels 3 4 12" xfId="30781"/>
    <cellStyle name="Labels 3 4 13" xfId="31772"/>
    <cellStyle name="Labels 3 4 14" xfId="32780"/>
    <cellStyle name="Labels 3 4 15" xfId="33783"/>
    <cellStyle name="Labels 3 4 16" xfId="34782"/>
    <cellStyle name="Labels 3 4 17" xfId="37342"/>
    <cellStyle name="Labels 3 4 2" xfId="16807"/>
    <cellStyle name="Labels 3 4 3" xfId="17786"/>
    <cellStyle name="Labels 3 4 4" xfId="18813"/>
    <cellStyle name="Labels 3 4 5" xfId="19845"/>
    <cellStyle name="Labels 3 4 6" xfId="20867"/>
    <cellStyle name="Labels 3 4 7" xfId="22849"/>
    <cellStyle name="Labels 3 4 8" xfId="23854"/>
    <cellStyle name="Labels 3 4 9" xfId="24826"/>
    <cellStyle name="Labels 3 5" xfId="5037"/>
    <cellStyle name="Labels 3 5 10" xfId="25826"/>
    <cellStyle name="Labels 3 5 11" xfId="29740"/>
    <cellStyle name="Labels 3 5 12" xfId="30782"/>
    <cellStyle name="Labels 3 5 13" xfId="31773"/>
    <cellStyle name="Labels 3 5 14" xfId="32781"/>
    <cellStyle name="Labels 3 5 15" xfId="33784"/>
    <cellStyle name="Labels 3 5 16" xfId="34783"/>
    <cellStyle name="Labels 3 5 17" xfId="37343"/>
    <cellStyle name="Labels 3 5 2" xfId="16808"/>
    <cellStyle name="Labels 3 5 3" xfId="17787"/>
    <cellStyle name="Labels 3 5 4" xfId="18814"/>
    <cellStyle name="Labels 3 5 5" xfId="19846"/>
    <cellStyle name="Labels 3 5 6" xfId="20868"/>
    <cellStyle name="Labels 3 5 7" xfId="22850"/>
    <cellStyle name="Labels 3 5 8" xfId="23855"/>
    <cellStyle name="Labels 3 5 9" xfId="24827"/>
    <cellStyle name="Labels 3 6" xfId="13899"/>
    <cellStyle name="Labels 3 7" xfId="13708"/>
    <cellStyle name="Labels 3 8" xfId="14725"/>
    <cellStyle name="Labels 3 9" xfId="14810"/>
    <cellStyle name="Labels 30" xfId="28785"/>
    <cellStyle name="Labels 31" xfId="29800"/>
    <cellStyle name="Labels 32" xfId="30841"/>
    <cellStyle name="Labels 33" xfId="31829"/>
    <cellStyle name="Labels 34" xfId="26675"/>
    <cellStyle name="Labels 35" xfId="34868"/>
    <cellStyle name="Labels 36" xfId="34858"/>
    <cellStyle name="Labels 37" xfId="34931"/>
    <cellStyle name="Labels 38" xfId="37484"/>
    <cellStyle name="Labels 39" xfId="37500"/>
    <cellStyle name="Labels 4" xfId="5038"/>
    <cellStyle name="Labels 4 10" xfId="15769"/>
    <cellStyle name="Labels 4 11" xfId="20933"/>
    <cellStyle name="Labels 4 12" xfId="25931"/>
    <cellStyle name="Labels 4 13" xfId="25884"/>
    <cellStyle name="Labels 4 14" xfId="26761"/>
    <cellStyle name="Labels 4 15" xfId="29809"/>
    <cellStyle name="Labels 4 16" xfId="26262"/>
    <cellStyle name="Labels 4 17" xfId="34835"/>
    <cellStyle name="Labels 4 2" xfId="5039"/>
    <cellStyle name="Labels 4 2 10" xfId="24828"/>
    <cellStyle name="Labels 4 2 11" xfId="25827"/>
    <cellStyle name="Labels 4 2 12" xfId="29741"/>
    <cellStyle name="Labels 4 2 13" xfId="30783"/>
    <cellStyle name="Labels 4 2 14" xfId="31774"/>
    <cellStyle name="Labels 4 2 15" xfId="32782"/>
    <cellStyle name="Labels 4 2 16" xfId="33785"/>
    <cellStyle name="Labels 4 2 17" xfId="34784"/>
    <cellStyle name="Labels 4 2 18" xfId="37344"/>
    <cellStyle name="Labels 4 2 2" xfId="5040"/>
    <cellStyle name="Labels 4 2 2 10" xfId="25828"/>
    <cellStyle name="Labels 4 2 2 11" xfId="29742"/>
    <cellStyle name="Labels 4 2 2 12" xfId="30784"/>
    <cellStyle name="Labels 4 2 2 13" xfId="31775"/>
    <cellStyle name="Labels 4 2 2 14" xfId="32783"/>
    <cellStyle name="Labels 4 2 2 15" xfId="33786"/>
    <cellStyle name="Labels 4 2 2 16" xfId="34785"/>
    <cellStyle name="Labels 4 2 2 17" xfId="37345"/>
    <cellStyle name="Labels 4 2 2 2" xfId="16810"/>
    <cellStyle name="Labels 4 2 2 3" xfId="17789"/>
    <cellStyle name="Labels 4 2 2 4" xfId="18816"/>
    <cellStyle name="Labels 4 2 2 5" xfId="19848"/>
    <cellStyle name="Labels 4 2 2 6" xfId="20870"/>
    <cellStyle name="Labels 4 2 2 7" xfId="22852"/>
    <cellStyle name="Labels 4 2 2 8" xfId="23857"/>
    <cellStyle name="Labels 4 2 2 9" xfId="24829"/>
    <cellStyle name="Labels 4 2 3" xfId="16809"/>
    <cellStyle name="Labels 4 2 4" xfId="17788"/>
    <cellStyle name="Labels 4 2 5" xfId="18815"/>
    <cellStyle name="Labels 4 2 6" xfId="19847"/>
    <cellStyle name="Labels 4 2 7" xfId="20869"/>
    <cellStyle name="Labels 4 2 8" xfId="22851"/>
    <cellStyle name="Labels 4 2 9" xfId="23856"/>
    <cellStyle name="Labels 4 3" xfId="5041"/>
    <cellStyle name="Labels 4 3 10" xfId="24830"/>
    <cellStyle name="Labels 4 3 11" xfId="25829"/>
    <cellStyle name="Labels 4 3 12" xfId="29743"/>
    <cellStyle name="Labels 4 3 13" xfId="30785"/>
    <cellStyle name="Labels 4 3 14" xfId="31776"/>
    <cellStyle name="Labels 4 3 15" xfId="32784"/>
    <cellStyle name="Labels 4 3 16" xfId="33787"/>
    <cellStyle name="Labels 4 3 17" xfId="34786"/>
    <cellStyle name="Labels 4 3 18" xfId="37346"/>
    <cellStyle name="Labels 4 3 2" xfId="5042"/>
    <cellStyle name="Labels 4 3 2 10" xfId="25830"/>
    <cellStyle name="Labels 4 3 2 11" xfId="29744"/>
    <cellStyle name="Labels 4 3 2 12" xfId="30786"/>
    <cellStyle name="Labels 4 3 2 13" xfId="31777"/>
    <cellStyle name="Labels 4 3 2 14" xfId="32785"/>
    <cellStyle name="Labels 4 3 2 15" xfId="33788"/>
    <cellStyle name="Labels 4 3 2 16" xfId="34787"/>
    <cellStyle name="Labels 4 3 2 17" xfId="37347"/>
    <cellStyle name="Labels 4 3 2 2" xfId="16812"/>
    <cellStyle name="Labels 4 3 2 3" xfId="17791"/>
    <cellStyle name="Labels 4 3 2 4" xfId="18818"/>
    <cellStyle name="Labels 4 3 2 5" xfId="19850"/>
    <cellStyle name="Labels 4 3 2 6" xfId="20872"/>
    <cellStyle name="Labels 4 3 2 7" xfId="22854"/>
    <cellStyle name="Labels 4 3 2 8" xfId="23859"/>
    <cellStyle name="Labels 4 3 2 9" xfId="24831"/>
    <cellStyle name="Labels 4 3 3" xfId="16811"/>
    <cellStyle name="Labels 4 3 4" xfId="17790"/>
    <cellStyle name="Labels 4 3 5" xfId="18817"/>
    <cellStyle name="Labels 4 3 6" xfId="19849"/>
    <cellStyle name="Labels 4 3 7" xfId="20871"/>
    <cellStyle name="Labels 4 3 8" xfId="22853"/>
    <cellStyle name="Labels 4 3 9" xfId="23858"/>
    <cellStyle name="Labels 4 4" xfId="5043"/>
    <cellStyle name="Labels 4 4 10" xfId="25831"/>
    <cellStyle name="Labels 4 4 11" xfId="29745"/>
    <cellStyle name="Labels 4 4 12" xfId="30787"/>
    <cellStyle name="Labels 4 4 13" xfId="31778"/>
    <cellStyle name="Labels 4 4 14" xfId="32786"/>
    <cellStyle name="Labels 4 4 15" xfId="33789"/>
    <cellStyle name="Labels 4 4 16" xfId="34788"/>
    <cellStyle name="Labels 4 4 17" xfId="37348"/>
    <cellStyle name="Labels 4 4 2" xfId="16813"/>
    <cellStyle name="Labels 4 4 3" xfId="17792"/>
    <cellStyle name="Labels 4 4 4" xfId="18819"/>
    <cellStyle name="Labels 4 4 5" xfId="19851"/>
    <cellStyle name="Labels 4 4 6" xfId="20873"/>
    <cellStyle name="Labels 4 4 7" xfId="22855"/>
    <cellStyle name="Labels 4 4 8" xfId="23860"/>
    <cellStyle name="Labels 4 4 9" xfId="24832"/>
    <cellStyle name="Labels 4 5" xfId="5044"/>
    <cellStyle name="Labels 4 5 10" xfId="25832"/>
    <cellStyle name="Labels 4 5 11" xfId="29746"/>
    <cellStyle name="Labels 4 5 12" xfId="30788"/>
    <cellStyle name="Labels 4 5 13" xfId="31779"/>
    <cellStyle name="Labels 4 5 14" xfId="32787"/>
    <cellStyle name="Labels 4 5 15" xfId="33790"/>
    <cellStyle name="Labels 4 5 16" xfId="34789"/>
    <cellStyle name="Labels 4 5 17" xfId="37349"/>
    <cellStyle name="Labels 4 5 2" xfId="16814"/>
    <cellStyle name="Labels 4 5 3" xfId="17793"/>
    <cellStyle name="Labels 4 5 4" xfId="18820"/>
    <cellStyle name="Labels 4 5 5" xfId="19852"/>
    <cellStyle name="Labels 4 5 6" xfId="20874"/>
    <cellStyle name="Labels 4 5 7" xfId="22856"/>
    <cellStyle name="Labels 4 5 8" xfId="23861"/>
    <cellStyle name="Labels 4 5 9" xfId="24833"/>
    <cellStyle name="Labels 4 6" xfId="13912"/>
    <cellStyle name="Labels 4 7" xfId="13748"/>
    <cellStyle name="Labels 4 8" xfId="15244"/>
    <cellStyle name="Labels 4 9" xfId="15718"/>
    <cellStyle name="Labels 40" xfId="37477"/>
    <cellStyle name="Labels 41" xfId="37499"/>
    <cellStyle name="Labels 42" xfId="37486"/>
    <cellStyle name="Labels 43" xfId="37498"/>
    <cellStyle name="Labels 44" xfId="37487"/>
    <cellStyle name="Labels 45" xfId="37497"/>
    <cellStyle name="Labels 46" xfId="37488"/>
    <cellStyle name="Labels 47" xfId="37496"/>
    <cellStyle name="Labels 48" xfId="37489"/>
    <cellStyle name="Labels 49" xfId="37495"/>
    <cellStyle name="Labels 5" xfId="5045"/>
    <cellStyle name="Labels 5 10" xfId="15612"/>
    <cellStyle name="Labels 5 11" xfId="13409"/>
    <cellStyle name="Labels 5 12" xfId="27688"/>
    <cellStyle name="Labels 5 13" xfId="27346"/>
    <cellStyle name="Labels 5 14" xfId="27445"/>
    <cellStyle name="Labels 5 15" xfId="26946"/>
    <cellStyle name="Labels 5 16" xfId="34846"/>
    <cellStyle name="Labels 5 2" xfId="5046"/>
    <cellStyle name="Labels 5 2 10" xfId="24834"/>
    <cellStyle name="Labels 5 2 11" xfId="25833"/>
    <cellStyle name="Labels 5 2 12" xfId="29747"/>
    <cellStyle name="Labels 5 2 13" xfId="30789"/>
    <cellStyle name="Labels 5 2 14" xfId="31780"/>
    <cellStyle name="Labels 5 2 15" xfId="32788"/>
    <cellStyle name="Labels 5 2 16" xfId="33791"/>
    <cellStyle name="Labels 5 2 17" xfId="34790"/>
    <cellStyle name="Labels 5 2 18" xfId="37350"/>
    <cellStyle name="Labels 5 2 2" xfId="5047"/>
    <cellStyle name="Labels 5 2 2 10" xfId="25834"/>
    <cellStyle name="Labels 5 2 2 11" xfId="29748"/>
    <cellStyle name="Labels 5 2 2 12" xfId="30790"/>
    <cellStyle name="Labels 5 2 2 13" xfId="31781"/>
    <cellStyle name="Labels 5 2 2 14" xfId="32789"/>
    <cellStyle name="Labels 5 2 2 15" xfId="33792"/>
    <cellStyle name="Labels 5 2 2 16" xfId="34791"/>
    <cellStyle name="Labels 5 2 2 17" xfId="37351"/>
    <cellStyle name="Labels 5 2 2 2" xfId="16816"/>
    <cellStyle name="Labels 5 2 2 3" xfId="17795"/>
    <cellStyle name="Labels 5 2 2 4" xfId="18822"/>
    <cellStyle name="Labels 5 2 2 5" xfId="19854"/>
    <cellStyle name="Labels 5 2 2 6" xfId="20876"/>
    <cellStyle name="Labels 5 2 2 7" xfId="22858"/>
    <cellStyle name="Labels 5 2 2 8" xfId="23863"/>
    <cellStyle name="Labels 5 2 2 9" xfId="24835"/>
    <cellStyle name="Labels 5 2 3" xfId="16815"/>
    <cellStyle name="Labels 5 2 4" xfId="17794"/>
    <cellStyle name="Labels 5 2 5" xfId="18821"/>
    <cellStyle name="Labels 5 2 6" xfId="19853"/>
    <cellStyle name="Labels 5 2 7" xfId="20875"/>
    <cellStyle name="Labels 5 2 8" xfId="22857"/>
    <cellStyle name="Labels 5 2 9" xfId="23862"/>
    <cellStyle name="Labels 5 3" xfId="5048"/>
    <cellStyle name="Labels 5 3 10" xfId="24836"/>
    <cellStyle name="Labels 5 3 11" xfId="25835"/>
    <cellStyle name="Labels 5 3 12" xfId="29749"/>
    <cellStyle name="Labels 5 3 13" xfId="30791"/>
    <cellStyle name="Labels 5 3 14" xfId="31782"/>
    <cellStyle name="Labels 5 3 15" xfId="32790"/>
    <cellStyle name="Labels 5 3 16" xfId="33793"/>
    <cellStyle name="Labels 5 3 17" xfId="34792"/>
    <cellStyle name="Labels 5 3 18" xfId="37352"/>
    <cellStyle name="Labels 5 3 2" xfId="5049"/>
    <cellStyle name="Labels 5 3 2 10" xfId="25836"/>
    <cellStyle name="Labels 5 3 2 11" xfId="29750"/>
    <cellStyle name="Labels 5 3 2 12" xfId="30792"/>
    <cellStyle name="Labels 5 3 2 13" xfId="31783"/>
    <cellStyle name="Labels 5 3 2 14" xfId="32791"/>
    <cellStyle name="Labels 5 3 2 15" xfId="33794"/>
    <cellStyle name="Labels 5 3 2 16" xfId="34793"/>
    <cellStyle name="Labels 5 3 2 17" xfId="37353"/>
    <cellStyle name="Labels 5 3 2 2" xfId="16818"/>
    <cellStyle name="Labels 5 3 2 3" xfId="17797"/>
    <cellStyle name="Labels 5 3 2 4" xfId="18824"/>
    <cellStyle name="Labels 5 3 2 5" xfId="19856"/>
    <cellStyle name="Labels 5 3 2 6" xfId="20878"/>
    <cellStyle name="Labels 5 3 2 7" xfId="22860"/>
    <cellStyle name="Labels 5 3 2 8" xfId="23865"/>
    <cellStyle name="Labels 5 3 2 9" xfId="24837"/>
    <cellStyle name="Labels 5 3 3" xfId="16817"/>
    <cellStyle name="Labels 5 3 4" xfId="17796"/>
    <cellStyle name="Labels 5 3 5" xfId="18823"/>
    <cellStyle name="Labels 5 3 6" xfId="19855"/>
    <cellStyle name="Labels 5 3 7" xfId="20877"/>
    <cellStyle name="Labels 5 3 8" xfId="22859"/>
    <cellStyle name="Labels 5 3 9" xfId="23864"/>
    <cellStyle name="Labels 5 4" xfId="5050"/>
    <cellStyle name="Labels 5 4 10" xfId="25837"/>
    <cellStyle name="Labels 5 4 11" xfId="29751"/>
    <cellStyle name="Labels 5 4 12" xfId="30793"/>
    <cellStyle name="Labels 5 4 13" xfId="31784"/>
    <cellStyle name="Labels 5 4 14" xfId="32792"/>
    <cellStyle name="Labels 5 4 15" xfId="33795"/>
    <cellStyle name="Labels 5 4 16" xfId="34794"/>
    <cellStyle name="Labels 5 4 17" xfId="37354"/>
    <cellStyle name="Labels 5 4 2" xfId="16819"/>
    <cellStyle name="Labels 5 4 3" xfId="17798"/>
    <cellStyle name="Labels 5 4 4" xfId="18825"/>
    <cellStyle name="Labels 5 4 5" xfId="19857"/>
    <cellStyle name="Labels 5 4 6" xfId="20879"/>
    <cellStyle name="Labels 5 4 7" xfId="22861"/>
    <cellStyle name="Labels 5 4 8" xfId="23866"/>
    <cellStyle name="Labels 5 4 9" xfId="24838"/>
    <cellStyle name="Labels 5 5" xfId="5051"/>
    <cellStyle name="Labels 5 5 10" xfId="25838"/>
    <cellStyle name="Labels 5 5 11" xfId="29752"/>
    <cellStyle name="Labels 5 5 12" xfId="30794"/>
    <cellStyle name="Labels 5 5 13" xfId="31785"/>
    <cellStyle name="Labels 5 5 14" xfId="32793"/>
    <cellStyle name="Labels 5 5 15" xfId="33796"/>
    <cellStyle name="Labels 5 5 16" xfId="34795"/>
    <cellStyle name="Labels 5 5 17" xfId="37355"/>
    <cellStyle name="Labels 5 5 2" xfId="16820"/>
    <cellStyle name="Labels 5 5 3" xfId="17799"/>
    <cellStyle name="Labels 5 5 4" xfId="18826"/>
    <cellStyle name="Labels 5 5 5" xfId="19858"/>
    <cellStyle name="Labels 5 5 6" xfId="20880"/>
    <cellStyle name="Labels 5 5 7" xfId="22862"/>
    <cellStyle name="Labels 5 5 8" xfId="23867"/>
    <cellStyle name="Labels 5 5 9" xfId="24839"/>
    <cellStyle name="Labels 5 6" xfId="13547"/>
    <cellStyle name="Labels 5 7" xfId="14265"/>
    <cellStyle name="Labels 5 8" xfId="13918"/>
    <cellStyle name="Labels 5 9" xfId="15476"/>
    <cellStyle name="Labels 50" xfId="37490"/>
    <cellStyle name="Labels 51" xfId="37494"/>
    <cellStyle name="Labels 52" xfId="37491"/>
    <cellStyle name="Labels 53" xfId="37420"/>
    <cellStyle name="Labels 54" xfId="37517"/>
    <cellStyle name="Labels 55" xfId="37409"/>
    <cellStyle name="Labels 56" xfId="37492"/>
    <cellStyle name="Labels 57" xfId="37493"/>
    <cellStyle name="Labels 6" xfId="5052"/>
    <cellStyle name="Labels 6 10" xfId="14237"/>
    <cellStyle name="Labels 6 11" xfId="15305"/>
    <cellStyle name="Labels 6 12" xfId="27108"/>
    <cellStyle name="Labels 6 13" xfId="26147"/>
    <cellStyle name="Labels 6 14" xfId="26190"/>
    <cellStyle name="Labels 6 15" xfId="27635"/>
    <cellStyle name="Labels 6 16" xfId="26126"/>
    <cellStyle name="Labels 6 17" xfId="35263"/>
    <cellStyle name="Labels 6 2" xfId="5053"/>
    <cellStyle name="Labels 6 2 10" xfId="24840"/>
    <cellStyle name="Labels 6 2 11" xfId="25839"/>
    <cellStyle name="Labels 6 2 12" xfId="29753"/>
    <cellStyle name="Labels 6 2 13" xfId="30795"/>
    <cellStyle name="Labels 6 2 14" xfId="31786"/>
    <cellStyle name="Labels 6 2 15" xfId="32794"/>
    <cellStyle name="Labels 6 2 16" xfId="33797"/>
    <cellStyle name="Labels 6 2 17" xfId="34796"/>
    <cellStyle name="Labels 6 2 18" xfId="37356"/>
    <cellStyle name="Labels 6 2 2" xfId="5054"/>
    <cellStyle name="Labels 6 2 2 10" xfId="25840"/>
    <cellStyle name="Labels 6 2 2 11" xfId="29754"/>
    <cellStyle name="Labels 6 2 2 12" xfId="30796"/>
    <cellStyle name="Labels 6 2 2 13" xfId="31787"/>
    <cellStyle name="Labels 6 2 2 14" xfId="32795"/>
    <cellStyle name="Labels 6 2 2 15" xfId="33798"/>
    <cellStyle name="Labels 6 2 2 16" xfId="34797"/>
    <cellStyle name="Labels 6 2 2 17" xfId="37357"/>
    <cellStyle name="Labels 6 2 2 2" xfId="16822"/>
    <cellStyle name="Labels 6 2 2 3" xfId="17801"/>
    <cellStyle name="Labels 6 2 2 4" xfId="18828"/>
    <cellStyle name="Labels 6 2 2 5" xfId="19860"/>
    <cellStyle name="Labels 6 2 2 6" xfId="20882"/>
    <cellStyle name="Labels 6 2 2 7" xfId="22864"/>
    <cellStyle name="Labels 6 2 2 8" xfId="23869"/>
    <cellStyle name="Labels 6 2 2 9" xfId="24841"/>
    <cellStyle name="Labels 6 2 3" xfId="16821"/>
    <cellStyle name="Labels 6 2 4" xfId="17800"/>
    <cellStyle name="Labels 6 2 5" xfId="18827"/>
    <cellStyle name="Labels 6 2 6" xfId="19859"/>
    <cellStyle name="Labels 6 2 7" xfId="20881"/>
    <cellStyle name="Labels 6 2 8" xfId="22863"/>
    <cellStyle name="Labels 6 2 9" xfId="23868"/>
    <cellStyle name="Labels 6 3" xfId="5055"/>
    <cellStyle name="Labels 6 3 10" xfId="24842"/>
    <cellStyle name="Labels 6 3 11" xfId="25841"/>
    <cellStyle name="Labels 6 3 12" xfId="29755"/>
    <cellStyle name="Labels 6 3 13" xfId="30797"/>
    <cellStyle name="Labels 6 3 14" xfId="31788"/>
    <cellStyle name="Labels 6 3 15" xfId="32796"/>
    <cellStyle name="Labels 6 3 16" xfId="33799"/>
    <cellStyle name="Labels 6 3 17" xfId="34798"/>
    <cellStyle name="Labels 6 3 18" xfId="37358"/>
    <cellStyle name="Labels 6 3 2" xfId="5056"/>
    <cellStyle name="Labels 6 3 2 10" xfId="25842"/>
    <cellStyle name="Labels 6 3 2 11" xfId="29756"/>
    <cellStyle name="Labels 6 3 2 12" xfId="30798"/>
    <cellStyle name="Labels 6 3 2 13" xfId="31789"/>
    <cellStyle name="Labels 6 3 2 14" xfId="32797"/>
    <cellStyle name="Labels 6 3 2 15" xfId="33800"/>
    <cellStyle name="Labels 6 3 2 16" xfId="34799"/>
    <cellStyle name="Labels 6 3 2 17" xfId="37359"/>
    <cellStyle name="Labels 6 3 2 2" xfId="16824"/>
    <cellStyle name="Labels 6 3 2 3" xfId="17803"/>
    <cellStyle name="Labels 6 3 2 4" xfId="18830"/>
    <cellStyle name="Labels 6 3 2 5" xfId="19862"/>
    <cellStyle name="Labels 6 3 2 6" xfId="20884"/>
    <cellStyle name="Labels 6 3 2 7" xfId="22866"/>
    <cellStyle name="Labels 6 3 2 8" xfId="23871"/>
    <cellStyle name="Labels 6 3 2 9" xfId="24843"/>
    <cellStyle name="Labels 6 3 3" xfId="16823"/>
    <cellStyle name="Labels 6 3 4" xfId="17802"/>
    <cellStyle name="Labels 6 3 5" xfId="18829"/>
    <cellStyle name="Labels 6 3 6" xfId="19861"/>
    <cellStyle name="Labels 6 3 7" xfId="20883"/>
    <cellStyle name="Labels 6 3 8" xfId="22865"/>
    <cellStyle name="Labels 6 3 9" xfId="23870"/>
    <cellStyle name="Labels 6 4" xfId="5057"/>
    <cellStyle name="Labels 6 4 10" xfId="25843"/>
    <cellStyle name="Labels 6 4 11" xfId="29757"/>
    <cellStyle name="Labels 6 4 12" xfId="30799"/>
    <cellStyle name="Labels 6 4 13" xfId="31790"/>
    <cellStyle name="Labels 6 4 14" xfId="32798"/>
    <cellStyle name="Labels 6 4 15" xfId="33801"/>
    <cellStyle name="Labels 6 4 16" xfId="34800"/>
    <cellStyle name="Labels 6 4 17" xfId="37360"/>
    <cellStyle name="Labels 6 4 2" xfId="16825"/>
    <cellStyle name="Labels 6 4 3" xfId="17804"/>
    <cellStyle name="Labels 6 4 4" xfId="18831"/>
    <cellStyle name="Labels 6 4 5" xfId="19863"/>
    <cellStyle name="Labels 6 4 6" xfId="20885"/>
    <cellStyle name="Labels 6 4 7" xfId="22867"/>
    <cellStyle name="Labels 6 4 8" xfId="23872"/>
    <cellStyle name="Labels 6 4 9" xfId="24844"/>
    <cellStyle name="Labels 6 5" xfId="5058"/>
    <cellStyle name="Labels 6 5 10" xfId="25844"/>
    <cellStyle name="Labels 6 5 11" xfId="29758"/>
    <cellStyle name="Labels 6 5 12" xfId="30800"/>
    <cellStyle name="Labels 6 5 13" xfId="31791"/>
    <cellStyle name="Labels 6 5 14" xfId="32799"/>
    <cellStyle name="Labels 6 5 15" xfId="33802"/>
    <cellStyle name="Labels 6 5 16" xfId="34801"/>
    <cellStyle name="Labels 6 5 17" xfId="37361"/>
    <cellStyle name="Labels 6 5 2" xfId="16826"/>
    <cellStyle name="Labels 6 5 3" xfId="17805"/>
    <cellStyle name="Labels 6 5 4" xfId="18832"/>
    <cellStyle name="Labels 6 5 5" xfId="19864"/>
    <cellStyle name="Labels 6 5 6" xfId="20886"/>
    <cellStyle name="Labels 6 5 7" xfId="22868"/>
    <cellStyle name="Labels 6 5 8" xfId="23873"/>
    <cellStyle name="Labels 6 5 9" xfId="24845"/>
    <cellStyle name="Labels 6 6" xfId="13919"/>
    <cellStyle name="Labels 6 7" xfId="14054"/>
    <cellStyle name="Labels 6 8" xfId="14470"/>
    <cellStyle name="Labels 6 9" xfId="13471"/>
    <cellStyle name="Labels 7" xfId="5059"/>
    <cellStyle name="Labels 7 10" xfId="14507"/>
    <cellStyle name="Labels 7 11" xfId="15740"/>
    <cellStyle name="Labels 7 12" xfId="27680"/>
    <cellStyle name="Labels 7 13" xfId="30338"/>
    <cellStyle name="Labels 7 14" xfId="26500"/>
    <cellStyle name="Labels 7 15" xfId="26828"/>
    <cellStyle name="Labels 7 16" xfId="35404"/>
    <cellStyle name="Labels 7 2" xfId="5060"/>
    <cellStyle name="Labels 7 2 10" xfId="24846"/>
    <cellStyle name="Labels 7 2 11" xfId="25845"/>
    <cellStyle name="Labels 7 2 12" xfId="29759"/>
    <cellStyle name="Labels 7 2 13" xfId="30801"/>
    <cellStyle name="Labels 7 2 14" xfId="31792"/>
    <cellStyle name="Labels 7 2 15" xfId="32800"/>
    <cellStyle name="Labels 7 2 16" xfId="33803"/>
    <cellStyle name="Labels 7 2 17" xfId="34802"/>
    <cellStyle name="Labels 7 2 18" xfId="37362"/>
    <cellStyle name="Labels 7 2 2" xfId="5061"/>
    <cellStyle name="Labels 7 2 2 10" xfId="25846"/>
    <cellStyle name="Labels 7 2 2 11" xfId="29760"/>
    <cellStyle name="Labels 7 2 2 12" xfId="30802"/>
    <cellStyle name="Labels 7 2 2 13" xfId="31793"/>
    <cellStyle name="Labels 7 2 2 14" xfId="32801"/>
    <cellStyle name="Labels 7 2 2 15" xfId="33804"/>
    <cellStyle name="Labels 7 2 2 16" xfId="34803"/>
    <cellStyle name="Labels 7 2 2 17" xfId="37363"/>
    <cellStyle name="Labels 7 2 2 2" xfId="16828"/>
    <cellStyle name="Labels 7 2 2 3" xfId="17807"/>
    <cellStyle name="Labels 7 2 2 4" xfId="18834"/>
    <cellStyle name="Labels 7 2 2 5" xfId="19866"/>
    <cellStyle name="Labels 7 2 2 6" xfId="20888"/>
    <cellStyle name="Labels 7 2 2 7" xfId="22870"/>
    <cellStyle name="Labels 7 2 2 8" xfId="23875"/>
    <cellStyle name="Labels 7 2 2 9" xfId="24847"/>
    <cellStyle name="Labels 7 2 3" xfId="16827"/>
    <cellStyle name="Labels 7 2 4" xfId="17806"/>
    <cellStyle name="Labels 7 2 5" xfId="18833"/>
    <cellStyle name="Labels 7 2 6" xfId="19865"/>
    <cellStyle name="Labels 7 2 7" xfId="20887"/>
    <cellStyle name="Labels 7 2 8" xfId="22869"/>
    <cellStyle name="Labels 7 2 9" xfId="23874"/>
    <cellStyle name="Labels 7 3" xfId="5062"/>
    <cellStyle name="Labels 7 3 10" xfId="24848"/>
    <cellStyle name="Labels 7 3 11" xfId="25847"/>
    <cellStyle name="Labels 7 3 12" xfId="29761"/>
    <cellStyle name="Labels 7 3 13" xfId="30803"/>
    <cellStyle name="Labels 7 3 14" xfId="31794"/>
    <cellStyle name="Labels 7 3 15" xfId="32802"/>
    <cellStyle name="Labels 7 3 16" xfId="33805"/>
    <cellStyle name="Labels 7 3 17" xfId="34804"/>
    <cellStyle name="Labels 7 3 18" xfId="37364"/>
    <cellStyle name="Labels 7 3 2" xfId="5063"/>
    <cellStyle name="Labels 7 3 2 10" xfId="25848"/>
    <cellStyle name="Labels 7 3 2 11" xfId="29762"/>
    <cellStyle name="Labels 7 3 2 12" xfId="30804"/>
    <cellStyle name="Labels 7 3 2 13" xfId="31795"/>
    <cellStyle name="Labels 7 3 2 14" xfId="32803"/>
    <cellStyle name="Labels 7 3 2 15" xfId="33806"/>
    <cellStyle name="Labels 7 3 2 16" xfId="34805"/>
    <cellStyle name="Labels 7 3 2 17" xfId="37365"/>
    <cellStyle name="Labels 7 3 2 2" xfId="16830"/>
    <cellStyle name="Labels 7 3 2 3" xfId="17809"/>
    <cellStyle name="Labels 7 3 2 4" xfId="18836"/>
    <cellStyle name="Labels 7 3 2 5" xfId="19868"/>
    <cellStyle name="Labels 7 3 2 6" xfId="20890"/>
    <cellStyle name="Labels 7 3 2 7" xfId="22872"/>
    <cellStyle name="Labels 7 3 2 8" xfId="23877"/>
    <cellStyle name="Labels 7 3 2 9" xfId="24849"/>
    <cellStyle name="Labels 7 3 3" xfId="16829"/>
    <cellStyle name="Labels 7 3 4" xfId="17808"/>
    <cellStyle name="Labels 7 3 5" xfId="18835"/>
    <cellStyle name="Labels 7 3 6" xfId="19867"/>
    <cellStyle name="Labels 7 3 7" xfId="20889"/>
    <cellStyle name="Labels 7 3 8" xfId="22871"/>
    <cellStyle name="Labels 7 3 9" xfId="23876"/>
    <cellStyle name="Labels 7 4" xfId="5064"/>
    <cellStyle name="Labels 7 4 10" xfId="25849"/>
    <cellStyle name="Labels 7 4 11" xfId="29763"/>
    <cellStyle name="Labels 7 4 12" xfId="30805"/>
    <cellStyle name="Labels 7 4 13" xfId="31796"/>
    <cellStyle name="Labels 7 4 14" xfId="32804"/>
    <cellStyle name="Labels 7 4 15" xfId="33807"/>
    <cellStyle name="Labels 7 4 16" xfId="34806"/>
    <cellStyle name="Labels 7 4 17" xfId="37366"/>
    <cellStyle name="Labels 7 4 2" xfId="16831"/>
    <cellStyle name="Labels 7 4 3" xfId="17810"/>
    <cellStyle name="Labels 7 4 4" xfId="18837"/>
    <cellStyle name="Labels 7 4 5" xfId="19869"/>
    <cellStyle name="Labels 7 4 6" xfId="20891"/>
    <cellStyle name="Labels 7 4 7" xfId="22873"/>
    <cellStyle name="Labels 7 4 8" xfId="23878"/>
    <cellStyle name="Labels 7 4 9" xfId="24850"/>
    <cellStyle name="Labels 7 5" xfId="5065"/>
    <cellStyle name="Labels 7 5 10" xfId="25850"/>
    <cellStyle name="Labels 7 5 11" xfId="29764"/>
    <cellStyle name="Labels 7 5 12" xfId="30806"/>
    <cellStyle name="Labels 7 5 13" xfId="31797"/>
    <cellStyle name="Labels 7 5 14" xfId="32805"/>
    <cellStyle name="Labels 7 5 15" xfId="33808"/>
    <cellStyle name="Labels 7 5 16" xfId="34807"/>
    <cellStyle name="Labels 7 5 17" xfId="37367"/>
    <cellStyle name="Labels 7 5 2" xfId="16832"/>
    <cellStyle name="Labels 7 5 3" xfId="17811"/>
    <cellStyle name="Labels 7 5 4" xfId="18838"/>
    <cellStyle name="Labels 7 5 5" xfId="19870"/>
    <cellStyle name="Labels 7 5 6" xfId="20892"/>
    <cellStyle name="Labels 7 5 7" xfId="22874"/>
    <cellStyle name="Labels 7 5 8" xfId="23879"/>
    <cellStyle name="Labels 7 5 9" xfId="24851"/>
    <cellStyle name="Labels 7 6" xfId="15209"/>
    <cellStyle name="Labels 7 7" xfId="14090"/>
    <cellStyle name="Labels 7 8" xfId="15343"/>
    <cellStyle name="Labels 7 9" xfId="14405"/>
    <cellStyle name="Labels 8" xfId="5066"/>
    <cellStyle name="Labels 8 10" xfId="24852"/>
    <cellStyle name="Labels 8 11" xfId="25851"/>
    <cellStyle name="Labels 8 12" xfId="29765"/>
    <cellStyle name="Labels 8 13" xfId="30807"/>
    <cellStyle name="Labels 8 14" xfId="31798"/>
    <cellStyle name="Labels 8 15" xfId="32806"/>
    <cellStyle name="Labels 8 16" xfId="33809"/>
    <cellStyle name="Labels 8 17" xfId="34808"/>
    <cellStyle name="Labels 8 18" xfId="37368"/>
    <cellStyle name="Labels 8 2" xfId="5067"/>
    <cellStyle name="Labels 8 2 10" xfId="25852"/>
    <cellStyle name="Labels 8 2 11" xfId="29766"/>
    <cellStyle name="Labels 8 2 12" xfId="30808"/>
    <cellStyle name="Labels 8 2 13" xfId="31799"/>
    <cellStyle name="Labels 8 2 14" xfId="32807"/>
    <cellStyle name="Labels 8 2 15" xfId="33810"/>
    <cellStyle name="Labels 8 2 16" xfId="34809"/>
    <cellStyle name="Labels 8 2 17" xfId="37369"/>
    <cellStyle name="Labels 8 2 2" xfId="16834"/>
    <cellStyle name="Labels 8 2 3" xfId="17813"/>
    <cellStyle name="Labels 8 2 4" xfId="18840"/>
    <cellStyle name="Labels 8 2 5" xfId="19872"/>
    <cellStyle name="Labels 8 2 6" xfId="20894"/>
    <cellStyle name="Labels 8 2 7" xfId="22876"/>
    <cellStyle name="Labels 8 2 8" xfId="23881"/>
    <cellStyle name="Labels 8 2 9" xfId="24853"/>
    <cellStyle name="Labels 8 3" xfId="16833"/>
    <cellStyle name="Labels 8 4" xfId="17812"/>
    <cellStyle name="Labels 8 5" xfId="18839"/>
    <cellStyle name="Labels 8 6" xfId="19871"/>
    <cellStyle name="Labels 8 7" xfId="20893"/>
    <cellStyle name="Labels 8 8" xfId="22875"/>
    <cellStyle name="Labels 8 9" xfId="23880"/>
    <cellStyle name="Labels 9" xfId="5068"/>
    <cellStyle name="Labels 9 10" xfId="24854"/>
    <cellStyle name="Labels 9 11" xfId="25853"/>
    <cellStyle name="Labels 9 12" xfId="29767"/>
    <cellStyle name="Labels 9 13" xfId="30809"/>
    <cellStyle name="Labels 9 14" xfId="31800"/>
    <cellStyle name="Labels 9 15" xfId="32808"/>
    <cellStyle name="Labels 9 16" xfId="33811"/>
    <cellStyle name="Labels 9 17" xfId="34810"/>
    <cellStyle name="Labels 9 18" xfId="37370"/>
    <cellStyle name="Labels 9 2" xfId="5069"/>
    <cellStyle name="Labels 9 2 10" xfId="25854"/>
    <cellStyle name="Labels 9 2 11" xfId="29768"/>
    <cellStyle name="Labels 9 2 12" xfId="30810"/>
    <cellStyle name="Labels 9 2 13" xfId="31801"/>
    <cellStyle name="Labels 9 2 14" xfId="32809"/>
    <cellStyle name="Labels 9 2 15" xfId="33812"/>
    <cellStyle name="Labels 9 2 16" xfId="34811"/>
    <cellStyle name="Labels 9 2 17" xfId="37371"/>
    <cellStyle name="Labels 9 2 2" xfId="16836"/>
    <cellStyle name="Labels 9 2 3" xfId="17815"/>
    <cellStyle name="Labels 9 2 4" xfId="18842"/>
    <cellStyle name="Labels 9 2 5" xfId="19874"/>
    <cellStyle name="Labels 9 2 6" xfId="20896"/>
    <cellStyle name="Labels 9 2 7" xfId="22878"/>
    <cellStyle name="Labels 9 2 8" xfId="23883"/>
    <cellStyle name="Labels 9 2 9" xfId="24855"/>
    <cellStyle name="Labels 9 3" xfId="16835"/>
    <cellStyle name="Labels 9 4" xfId="17814"/>
    <cellStyle name="Labels 9 5" xfId="18841"/>
    <cellStyle name="Labels 9 6" xfId="19873"/>
    <cellStyle name="Labels 9 7" xfId="20895"/>
    <cellStyle name="Labels 9 8" xfId="22877"/>
    <cellStyle name="Labels 9 9" xfId="23882"/>
    <cellStyle name="Linked Cell" xfId="13358" builtinId="24" customBuiltin="1"/>
    <cellStyle name="Linked Cell 2" xfId="147"/>
    <cellStyle name="Linked Cell 2 2" xfId="334"/>
    <cellStyle name="Linked Cell 2 3" xfId="5070"/>
    <cellStyle name="Linked Cell 2 4" xfId="5071"/>
    <cellStyle name="Linked Cell 2_Rate Sheet" xfId="37428"/>
    <cellStyle name="Linked Cell 3" xfId="146"/>
    <cellStyle name="Linked Cell 3 2" xfId="5073"/>
    <cellStyle name="Linked Cell 3 3" xfId="5072"/>
    <cellStyle name="Linked Cell 4" xfId="5074"/>
    <cellStyle name="Neutral" xfId="13354" builtinId="28" customBuiltin="1"/>
    <cellStyle name="Neutral 2" xfId="149"/>
    <cellStyle name="Neutral 2 2" xfId="335"/>
    <cellStyle name="Neutral 2 2 2" xfId="5075"/>
    <cellStyle name="Neutral 2 3" xfId="5076"/>
    <cellStyle name="Neutral 2 4" xfId="5077"/>
    <cellStyle name="Neutral 2_Rate Sheet" xfId="37429"/>
    <cellStyle name="Neutral 3" xfId="148"/>
    <cellStyle name="Neutral 3 2" xfId="5079"/>
    <cellStyle name="Neutral 3 3" xfId="5078"/>
    <cellStyle name="Neutral 4" xfId="5080"/>
    <cellStyle name="New_normal" xfId="150"/>
    <cellStyle name="Normal" xfId="0" builtinId="0"/>
    <cellStyle name="Normal - Style1" xfId="151"/>
    <cellStyle name="Normal - Style2" xfId="152"/>
    <cellStyle name="Normal - Style3" xfId="153"/>
    <cellStyle name="Normal - Style4" xfId="154"/>
    <cellStyle name="Normal - Style5" xfId="155"/>
    <cellStyle name="Normal - Style6" xfId="5081"/>
    <cellStyle name="Normal - Style7" xfId="5082"/>
    <cellStyle name="Normal - Style8" xfId="5083"/>
    <cellStyle name="Normal 10" xfId="156"/>
    <cellStyle name="Normal 10 10" xfId="5084"/>
    <cellStyle name="Normal 10 11" xfId="5085"/>
    <cellStyle name="Normal 10 2" xfId="17"/>
    <cellStyle name="Normal 10 2 2" xfId="337"/>
    <cellStyle name="Normal 10 2 2 2" xfId="5086"/>
    <cellStyle name="Normal 10 2 2 2 2" xfId="5087"/>
    <cellStyle name="Normal 10 2 2 2 2 2" xfId="5088"/>
    <cellStyle name="Normal 10 2 2 2 2 2 2" xfId="5089"/>
    <cellStyle name="Normal 10 2 2 2 2 2 2 2" xfId="5090"/>
    <cellStyle name="Normal 10 2 2 2 2 2 2 3" xfId="5091"/>
    <cellStyle name="Normal 10 2 2 2 2 2 3" xfId="5092"/>
    <cellStyle name="Normal 10 2 2 2 2 2 3 2" xfId="5093"/>
    <cellStyle name="Normal 10 2 2 2 2 2 3 3" xfId="5094"/>
    <cellStyle name="Normal 10 2 2 2 2 2 4" xfId="5095"/>
    <cellStyle name="Normal 10 2 2 2 2 2 5" xfId="5096"/>
    <cellStyle name="Normal 10 2 2 2 2 3" xfId="5097"/>
    <cellStyle name="Normal 10 2 2 2 2 3 2" xfId="5098"/>
    <cellStyle name="Normal 10 2 2 2 2 3 3" xfId="5099"/>
    <cellStyle name="Normal 10 2 2 2 2 4" xfId="5100"/>
    <cellStyle name="Normal 10 2 2 2 2 4 2" xfId="5101"/>
    <cellStyle name="Normal 10 2 2 2 2 4 3" xfId="5102"/>
    <cellStyle name="Normal 10 2 2 2 2 5" xfId="5103"/>
    <cellStyle name="Normal 10 2 2 2 2 6" xfId="5104"/>
    <cellStyle name="Normal 10 2 2 2 3" xfId="5105"/>
    <cellStyle name="Normal 10 2 2 2 3 2" xfId="5106"/>
    <cellStyle name="Normal 10 2 2 2 3 2 2" xfId="5107"/>
    <cellStyle name="Normal 10 2 2 2 3 2 3" xfId="5108"/>
    <cellStyle name="Normal 10 2 2 2 3 3" xfId="5109"/>
    <cellStyle name="Normal 10 2 2 2 3 3 2" xfId="5110"/>
    <cellStyle name="Normal 10 2 2 2 3 3 3" xfId="5111"/>
    <cellStyle name="Normal 10 2 2 2 3 4" xfId="5112"/>
    <cellStyle name="Normal 10 2 2 2 3 5" xfId="5113"/>
    <cellStyle name="Normal 10 2 2 2 4" xfId="5114"/>
    <cellStyle name="Normal 10 2 2 2 4 2" xfId="5115"/>
    <cellStyle name="Normal 10 2 2 2 4 3" xfId="5116"/>
    <cellStyle name="Normal 10 2 2 2 5" xfId="5117"/>
    <cellStyle name="Normal 10 2 2 2 5 2" xfId="5118"/>
    <cellStyle name="Normal 10 2 2 2 5 3" xfId="5119"/>
    <cellStyle name="Normal 10 2 2 2 6" xfId="5120"/>
    <cellStyle name="Normal 10 2 2 2 7" xfId="5121"/>
    <cellStyle name="Normal 10 2 2 3" xfId="5122"/>
    <cellStyle name="Normal 10 2 2 3 2" xfId="5123"/>
    <cellStyle name="Normal 10 2 2 3 2 2" xfId="5124"/>
    <cellStyle name="Normal 10 2 2 3 2 2 2" xfId="5125"/>
    <cellStyle name="Normal 10 2 2 3 2 2 3" xfId="5126"/>
    <cellStyle name="Normal 10 2 2 3 2 3" xfId="5127"/>
    <cellStyle name="Normal 10 2 2 3 2 3 2" xfId="5128"/>
    <cellStyle name="Normal 10 2 2 3 2 3 3" xfId="5129"/>
    <cellStyle name="Normal 10 2 2 3 2 4" xfId="5130"/>
    <cellStyle name="Normal 10 2 2 3 2 5" xfId="5131"/>
    <cellStyle name="Normal 10 2 2 3 3" xfId="5132"/>
    <cellStyle name="Normal 10 2 2 3 3 2" xfId="5133"/>
    <cellStyle name="Normal 10 2 2 3 3 3" xfId="5134"/>
    <cellStyle name="Normal 10 2 2 3 4" xfId="5135"/>
    <cellStyle name="Normal 10 2 2 3 4 2" xfId="5136"/>
    <cellStyle name="Normal 10 2 2 3 4 3" xfId="5137"/>
    <cellStyle name="Normal 10 2 2 3 5" xfId="5138"/>
    <cellStyle name="Normal 10 2 2 3 6" xfId="5139"/>
    <cellStyle name="Normal 10 2 2 4" xfId="5140"/>
    <cellStyle name="Normal 10 2 2 4 2" xfId="5141"/>
    <cellStyle name="Normal 10 2 2 4 2 2" xfId="5142"/>
    <cellStyle name="Normal 10 2 2 4 2 3" xfId="5143"/>
    <cellStyle name="Normal 10 2 2 4 3" xfId="5144"/>
    <cellStyle name="Normal 10 2 2 4 3 2" xfId="5145"/>
    <cellStyle name="Normal 10 2 2 4 3 3" xfId="5146"/>
    <cellStyle name="Normal 10 2 2 4 4" xfId="5147"/>
    <cellStyle name="Normal 10 2 2 4 5" xfId="5148"/>
    <cellStyle name="Normal 10 2 2 5" xfId="5149"/>
    <cellStyle name="Normal 10 2 2 5 2" xfId="5150"/>
    <cellStyle name="Normal 10 2 2 5 3" xfId="5151"/>
    <cellStyle name="Normal 10 2 2 6" xfId="5152"/>
    <cellStyle name="Normal 10 2 2 6 2" xfId="5153"/>
    <cellStyle name="Normal 10 2 2 6 3" xfId="5154"/>
    <cellStyle name="Normal 10 2 2 7" xfId="5155"/>
    <cellStyle name="Normal 10 2 2 8" xfId="5156"/>
    <cellStyle name="Normal 10 2 3" xfId="336"/>
    <cellStyle name="Normal 10 2 3 2" xfId="5157"/>
    <cellStyle name="Normal 10 2 3 2 2" xfId="5158"/>
    <cellStyle name="Normal 10 2 3 2 2 2" xfId="5159"/>
    <cellStyle name="Normal 10 2 3 2 2 2 2" xfId="5160"/>
    <cellStyle name="Normal 10 2 3 2 2 2 3" xfId="5161"/>
    <cellStyle name="Normal 10 2 3 2 2 3" xfId="5162"/>
    <cellStyle name="Normal 10 2 3 2 2 3 2" xfId="5163"/>
    <cellStyle name="Normal 10 2 3 2 2 3 3" xfId="5164"/>
    <cellStyle name="Normal 10 2 3 2 2 4" xfId="5165"/>
    <cellStyle name="Normal 10 2 3 2 2 5" xfId="5166"/>
    <cellStyle name="Normal 10 2 3 2 3" xfId="5167"/>
    <cellStyle name="Normal 10 2 3 2 3 2" xfId="5168"/>
    <cellStyle name="Normal 10 2 3 2 3 3" xfId="5169"/>
    <cellStyle name="Normal 10 2 3 2 4" xfId="5170"/>
    <cellStyle name="Normal 10 2 3 2 4 2" xfId="5171"/>
    <cellStyle name="Normal 10 2 3 2 4 3" xfId="5172"/>
    <cellStyle name="Normal 10 2 3 2 5" xfId="5173"/>
    <cellStyle name="Normal 10 2 3 2 6" xfId="5174"/>
    <cellStyle name="Normal 10 2 3 3" xfId="5175"/>
    <cellStyle name="Normal 10 2 3 3 2" xfId="5176"/>
    <cellStyle name="Normal 10 2 3 3 2 2" xfId="5177"/>
    <cellStyle name="Normal 10 2 3 3 2 3" xfId="5178"/>
    <cellStyle name="Normal 10 2 3 3 3" xfId="5179"/>
    <cellStyle name="Normal 10 2 3 3 3 2" xfId="5180"/>
    <cellStyle name="Normal 10 2 3 3 3 3" xfId="5181"/>
    <cellStyle name="Normal 10 2 3 3 4" xfId="5182"/>
    <cellStyle name="Normal 10 2 3 3 5" xfId="5183"/>
    <cellStyle name="Normal 10 2 3 4" xfId="5184"/>
    <cellStyle name="Normal 10 2 3 4 2" xfId="5185"/>
    <cellStyle name="Normal 10 2 3 4 3" xfId="5186"/>
    <cellStyle name="Normal 10 2 3 5" xfId="5187"/>
    <cellStyle name="Normal 10 2 3 5 2" xfId="5188"/>
    <cellStyle name="Normal 10 2 3 5 3" xfId="5189"/>
    <cellStyle name="Normal 10 2 3 6" xfId="5190"/>
    <cellStyle name="Normal 10 2 3 7" xfId="5191"/>
    <cellStyle name="Normal 10 2 4" xfId="5192"/>
    <cellStyle name="Normal 10 2 4 2" xfId="5193"/>
    <cellStyle name="Normal 10 2 4 2 2" xfId="5194"/>
    <cellStyle name="Normal 10 2 4 2 2 2" xfId="5195"/>
    <cellStyle name="Normal 10 2 4 2 2 3" xfId="5196"/>
    <cellStyle name="Normal 10 2 4 2 3" xfId="5197"/>
    <cellStyle name="Normal 10 2 4 2 3 2" xfId="5198"/>
    <cellStyle name="Normal 10 2 4 2 3 3" xfId="5199"/>
    <cellStyle name="Normal 10 2 4 2 4" xfId="5200"/>
    <cellStyle name="Normal 10 2 4 2 5" xfId="5201"/>
    <cellStyle name="Normal 10 2 4 3" xfId="5202"/>
    <cellStyle name="Normal 10 2 4 3 2" xfId="5203"/>
    <cellStyle name="Normal 10 2 4 3 3" xfId="5204"/>
    <cellStyle name="Normal 10 2 4 4" xfId="5205"/>
    <cellStyle name="Normal 10 2 4 4 2" xfId="5206"/>
    <cellStyle name="Normal 10 2 4 4 3" xfId="5207"/>
    <cellStyle name="Normal 10 2 4 5" xfId="5208"/>
    <cellStyle name="Normal 10 2 4 6" xfId="5209"/>
    <cellStyle name="Normal 10 2 5" xfId="5210"/>
    <cellStyle name="Normal 10 2 5 2" xfId="5211"/>
    <cellStyle name="Normal 10 2 5 2 2" xfId="5212"/>
    <cellStyle name="Normal 10 2 5 2 3" xfId="5213"/>
    <cellStyle name="Normal 10 2 5 3" xfId="5214"/>
    <cellStyle name="Normal 10 2 5 3 2" xfId="5215"/>
    <cellStyle name="Normal 10 2 5 3 3" xfId="5216"/>
    <cellStyle name="Normal 10 2 5 4" xfId="5217"/>
    <cellStyle name="Normal 10 2 5 5" xfId="5218"/>
    <cellStyle name="Normal 10 2 6" xfId="5219"/>
    <cellStyle name="Normal 10 2 6 2" xfId="5220"/>
    <cellStyle name="Normal 10 2 6 3" xfId="5221"/>
    <cellStyle name="Normal 10 2 7" xfId="5222"/>
    <cellStyle name="Normal 10 2 7 2" xfId="5223"/>
    <cellStyle name="Normal 10 2 7 3" xfId="5224"/>
    <cellStyle name="Normal 10 2 8" xfId="5225"/>
    <cellStyle name="Normal 10 2 9" xfId="5226"/>
    <cellStyle name="Normal 10 3" xfId="5227"/>
    <cellStyle name="Normal 10 3 2" xfId="5228"/>
    <cellStyle name="Normal 10 3 2 2" xfId="5229"/>
    <cellStyle name="Normal 10 3 2 2 2" xfId="5230"/>
    <cellStyle name="Normal 10 3 2 2 2 2" xfId="5231"/>
    <cellStyle name="Normal 10 3 2 2 2 2 2" xfId="5232"/>
    <cellStyle name="Normal 10 3 2 2 2 2 3" xfId="5233"/>
    <cellStyle name="Normal 10 3 2 2 2 3" xfId="5234"/>
    <cellStyle name="Normal 10 3 2 2 2 3 2" xfId="5235"/>
    <cellStyle name="Normal 10 3 2 2 2 3 3" xfId="5236"/>
    <cellStyle name="Normal 10 3 2 2 2 4" xfId="5237"/>
    <cellStyle name="Normal 10 3 2 2 2 5" xfId="5238"/>
    <cellStyle name="Normal 10 3 2 2 3" xfId="5239"/>
    <cellStyle name="Normal 10 3 2 2 3 2" xfId="5240"/>
    <cellStyle name="Normal 10 3 2 2 3 3" xfId="5241"/>
    <cellStyle name="Normal 10 3 2 2 4" xfId="5242"/>
    <cellStyle name="Normal 10 3 2 2 4 2" xfId="5243"/>
    <cellStyle name="Normal 10 3 2 2 4 3" xfId="5244"/>
    <cellStyle name="Normal 10 3 2 2 5" xfId="5245"/>
    <cellStyle name="Normal 10 3 2 2 6" xfId="5246"/>
    <cellStyle name="Normal 10 3 2 3" xfId="5247"/>
    <cellStyle name="Normal 10 3 2 3 2" xfId="5248"/>
    <cellStyle name="Normal 10 3 2 3 2 2" xfId="5249"/>
    <cellStyle name="Normal 10 3 2 3 2 3" xfId="5250"/>
    <cellStyle name="Normal 10 3 2 3 3" xfId="5251"/>
    <cellStyle name="Normal 10 3 2 3 3 2" xfId="5252"/>
    <cellStyle name="Normal 10 3 2 3 3 3" xfId="5253"/>
    <cellStyle name="Normal 10 3 2 3 4" xfId="5254"/>
    <cellStyle name="Normal 10 3 2 3 5" xfId="5255"/>
    <cellStyle name="Normal 10 3 2 4" xfId="5256"/>
    <cellStyle name="Normal 10 3 2 4 2" xfId="5257"/>
    <cellStyle name="Normal 10 3 2 4 3" xfId="5258"/>
    <cellStyle name="Normal 10 3 2 5" xfId="5259"/>
    <cellStyle name="Normal 10 3 2 5 2" xfId="5260"/>
    <cellStyle name="Normal 10 3 2 5 3" xfId="5261"/>
    <cellStyle name="Normal 10 3 2 6" xfId="5262"/>
    <cellStyle name="Normal 10 3 2 7" xfId="5263"/>
    <cellStyle name="Normal 10 3 3" xfId="5264"/>
    <cellStyle name="Normal 10 3 3 2" xfId="5265"/>
    <cellStyle name="Normal 10 3 3 2 2" xfId="5266"/>
    <cellStyle name="Normal 10 3 3 2 2 2" xfId="5267"/>
    <cellStyle name="Normal 10 3 3 2 2 3" xfId="5268"/>
    <cellStyle name="Normal 10 3 3 2 3" xfId="5269"/>
    <cellStyle name="Normal 10 3 3 2 3 2" xfId="5270"/>
    <cellStyle name="Normal 10 3 3 2 3 3" xfId="5271"/>
    <cellStyle name="Normal 10 3 3 2 4" xfId="5272"/>
    <cellStyle name="Normal 10 3 3 2 5" xfId="5273"/>
    <cellStyle name="Normal 10 3 3 3" xfId="5274"/>
    <cellStyle name="Normal 10 3 3 3 2" xfId="5275"/>
    <cellStyle name="Normal 10 3 3 3 3" xfId="5276"/>
    <cellStyle name="Normal 10 3 3 4" xfId="5277"/>
    <cellStyle name="Normal 10 3 3 4 2" xfId="5278"/>
    <cellStyle name="Normal 10 3 3 4 3" xfId="5279"/>
    <cellStyle name="Normal 10 3 3 5" xfId="5280"/>
    <cellStyle name="Normal 10 3 3 6" xfId="5281"/>
    <cellStyle name="Normal 10 3 4" xfId="5282"/>
    <cellStyle name="Normal 10 3 4 2" xfId="5283"/>
    <cellStyle name="Normal 10 3 4 2 2" xfId="5284"/>
    <cellStyle name="Normal 10 3 4 2 3" xfId="5285"/>
    <cellStyle name="Normal 10 3 4 3" xfId="5286"/>
    <cellStyle name="Normal 10 3 4 3 2" xfId="5287"/>
    <cellStyle name="Normal 10 3 4 3 3" xfId="5288"/>
    <cellStyle name="Normal 10 3 4 4" xfId="5289"/>
    <cellStyle name="Normal 10 3 4 5" xfId="5290"/>
    <cellStyle name="Normal 10 3 5" xfId="5291"/>
    <cellStyle name="Normal 10 3 5 2" xfId="5292"/>
    <cellStyle name="Normal 10 3 5 3" xfId="5293"/>
    <cellStyle name="Normal 10 3 6" xfId="5294"/>
    <cellStyle name="Normal 10 3 6 2" xfId="5295"/>
    <cellStyle name="Normal 10 3 6 3" xfId="5296"/>
    <cellStyle name="Normal 10 3 7" xfId="5297"/>
    <cellStyle name="Normal 10 3 8" xfId="5298"/>
    <cellStyle name="Normal 10 4" xfId="5299"/>
    <cellStyle name="Normal 10 4 2" xfId="5300"/>
    <cellStyle name="Normal 10 4 2 2" xfId="5301"/>
    <cellStyle name="Normal 10 4 2 2 2" xfId="5302"/>
    <cellStyle name="Normal 10 4 2 2 2 2" xfId="5303"/>
    <cellStyle name="Normal 10 4 2 2 2 2 2" xfId="5304"/>
    <cellStyle name="Normal 10 4 2 2 2 2 3" xfId="5305"/>
    <cellStyle name="Normal 10 4 2 2 2 3" xfId="5306"/>
    <cellStyle name="Normal 10 4 2 2 2 3 2" xfId="5307"/>
    <cellStyle name="Normal 10 4 2 2 2 3 3" xfId="5308"/>
    <cellStyle name="Normal 10 4 2 2 2 4" xfId="5309"/>
    <cellStyle name="Normal 10 4 2 2 2 5" xfId="5310"/>
    <cellStyle name="Normal 10 4 2 2 3" xfId="5311"/>
    <cellStyle name="Normal 10 4 2 2 3 2" xfId="5312"/>
    <cellStyle name="Normal 10 4 2 2 3 3" xfId="5313"/>
    <cellStyle name="Normal 10 4 2 2 4" xfId="5314"/>
    <cellStyle name="Normal 10 4 2 2 4 2" xfId="5315"/>
    <cellStyle name="Normal 10 4 2 2 4 3" xfId="5316"/>
    <cellStyle name="Normal 10 4 2 2 5" xfId="5317"/>
    <cellStyle name="Normal 10 4 2 2 6" xfId="5318"/>
    <cellStyle name="Normal 10 4 2 3" xfId="5319"/>
    <cellStyle name="Normal 10 4 2 3 2" xfId="5320"/>
    <cellStyle name="Normal 10 4 2 3 2 2" xfId="5321"/>
    <cellStyle name="Normal 10 4 2 3 2 3" xfId="5322"/>
    <cellStyle name="Normal 10 4 2 3 3" xfId="5323"/>
    <cellStyle name="Normal 10 4 2 3 3 2" xfId="5324"/>
    <cellStyle name="Normal 10 4 2 3 3 3" xfId="5325"/>
    <cellStyle name="Normal 10 4 2 3 4" xfId="5326"/>
    <cellStyle name="Normal 10 4 2 3 5" xfId="5327"/>
    <cellStyle name="Normal 10 4 2 4" xfId="5328"/>
    <cellStyle name="Normal 10 4 2 4 2" xfId="5329"/>
    <cellStyle name="Normal 10 4 2 4 3" xfId="5330"/>
    <cellStyle name="Normal 10 4 2 5" xfId="5331"/>
    <cellStyle name="Normal 10 4 2 5 2" xfId="5332"/>
    <cellStyle name="Normal 10 4 2 5 3" xfId="5333"/>
    <cellStyle name="Normal 10 4 2 6" xfId="5334"/>
    <cellStyle name="Normal 10 4 2 7" xfId="5335"/>
    <cellStyle name="Normal 10 4 3" xfId="5336"/>
    <cellStyle name="Normal 10 4 3 2" xfId="5337"/>
    <cellStyle name="Normal 10 4 3 2 2" xfId="5338"/>
    <cellStyle name="Normal 10 4 3 2 2 2" xfId="5339"/>
    <cellStyle name="Normal 10 4 3 2 2 3" xfId="5340"/>
    <cellStyle name="Normal 10 4 3 2 3" xfId="5341"/>
    <cellStyle name="Normal 10 4 3 2 3 2" xfId="5342"/>
    <cellStyle name="Normal 10 4 3 2 3 3" xfId="5343"/>
    <cellStyle name="Normal 10 4 3 2 4" xfId="5344"/>
    <cellStyle name="Normal 10 4 3 2 5" xfId="5345"/>
    <cellStyle name="Normal 10 4 3 3" xfId="5346"/>
    <cellStyle name="Normal 10 4 3 3 2" xfId="5347"/>
    <cellStyle name="Normal 10 4 3 3 3" xfId="5348"/>
    <cellStyle name="Normal 10 4 3 4" xfId="5349"/>
    <cellStyle name="Normal 10 4 3 4 2" xfId="5350"/>
    <cellStyle name="Normal 10 4 3 4 3" xfId="5351"/>
    <cellStyle name="Normal 10 4 3 5" xfId="5352"/>
    <cellStyle name="Normal 10 4 3 6" xfId="5353"/>
    <cellStyle name="Normal 10 4 4" xfId="5354"/>
    <cellStyle name="Normal 10 4 4 2" xfId="5355"/>
    <cellStyle name="Normal 10 4 4 2 2" xfId="5356"/>
    <cellStyle name="Normal 10 4 4 2 3" xfId="5357"/>
    <cellStyle name="Normal 10 4 4 3" xfId="5358"/>
    <cellStyle name="Normal 10 4 4 3 2" xfId="5359"/>
    <cellStyle name="Normal 10 4 4 3 3" xfId="5360"/>
    <cellStyle name="Normal 10 4 4 4" xfId="5361"/>
    <cellStyle name="Normal 10 4 4 5" xfId="5362"/>
    <cellStyle name="Normal 10 4 5" xfId="5363"/>
    <cellStyle name="Normal 10 4 5 2" xfId="5364"/>
    <cellStyle name="Normal 10 4 5 3" xfId="5365"/>
    <cellStyle name="Normal 10 4 6" xfId="5366"/>
    <cellStyle name="Normal 10 4 6 2" xfId="5367"/>
    <cellStyle name="Normal 10 4 6 3" xfId="5368"/>
    <cellStyle name="Normal 10 4 7" xfId="5369"/>
    <cellStyle name="Normal 10 4 8" xfId="5370"/>
    <cellStyle name="Normal 10 5" xfId="5371"/>
    <cellStyle name="Normal 10 5 2" xfId="5372"/>
    <cellStyle name="Normal 10 5 2 2" xfId="5373"/>
    <cellStyle name="Normal 10 5 2 2 2" xfId="5374"/>
    <cellStyle name="Normal 10 5 2 2 2 2" xfId="5375"/>
    <cellStyle name="Normal 10 5 2 2 2 3" xfId="5376"/>
    <cellStyle name="Normal 10 5 2 2 3" xfId="5377"/>
    <cellStyle name="Normal 10 5 2 2 3 2" xfId="5378"/>
    <cellStyle name="Normal 10 5 2 2 3 3" xfId="5379"/>
    <cellStyle name="Normal 10 5 2 2 4" xfId="5380"/>
    <cellStyle name="Normal 10 5 2 2 5" xfId="5381"/>
    <cellStyle name="Normal 10 5 2 3" xfId="5382"/>
    <cellStyle name="Normal 10 5 2 3 2" xfId="5383"/>
    <cellStyle name="Normal 10 5 2 3 3" xfId="5384"/>
    <cellStyle name="Normal 10 5 2 4" xfId="5385"/>
    <cellStyle name="Normal 10 5 2 4 2" xfId="5386"/>
    <cellStyle name="Normal 10 5 2 4 3" xfId="5387"/>
    <cellStyle name="Normal 10 5 2 5" xfId="5388"/>
    <cellStyle name="Normal 10 5 2 6" xfId="5389"/>
    <cellStyle name="Normal 10 5 3" xfId="5390"/>
    <cellStyle name="Normal 10 5 3 2" xfId="5391"/>
    <cellStyle name="Normal 10 5 3 2 2" xfId="5392"/>
    <cellStyle name="Normal 10 5 3 2 3" xfId="5393"/>
    <cellStyle name="Normal 10 5 3 3" xfId="5394"/>
    <cellStyle name="Normal 10 5 3 3 2" xfId="5395"/>
    <cellStyle name="Normal 10 5 3 3 3" xfId="5396"/>
    <cellStyle name="Normal 10 5 3 4" xfId="5397"/>
    <cellStyle name="Normal 10 5 3 5" xfId="5398"/>
    <cellStyle name="Normal 10 5 4" xfId="5399"/>
    <cellStyle name="Normal 10 5 4 2" xfId="5400"/>
    <cellStyle name="Normal 10 5 4 3" xfId="5401"/>
    <cellStyle name="Normal 10 5 5" xfId="5402"/>
    <cellStyle name="Normal 10 5 5 2" xfId="5403"/>
    <cellStyle name="Normal 10 5 5 3" xfId="5404"/>
    <cellStyle name="Normal 10 5 6" xfId="5405"/>
    <cellStyle name="Normal 10 5 7" xfId="5406"/>
    <cellStyle name="Normal 10 6" xfId="5407"/>
    <cellStyle name="Normal 10 6 2" xfId="5408"/>
    <cellStyle name="Normal 10 6 2 2" xfId="5409"/>
    <cellStyle name="Normal 10 6 2 2 2" xfId="5410"/>
    <cellStyle name="Normal 10 6 2 2 3" xfId="5411"/>
    <cellStyle name="Normal 10 6 2 3" xfId="5412"/>
    <cellStyle name="Normal 10 6 2 3 2" xfId="5413"/>
    <cellStyle name="Normal 10 6 2 3 3" xfId="5414"/>
    <cellStyle name="Normal 10 6 2 4" xfId="5415"/>
    <cellStyle name="Normal 10 6 2 5" xfId="5416"/>
    <cellStyle name="Normal 10 6 3" xfId="5417"/>
    <cellStyle name="Normal 10 6 3 2" xfId="5418"/>
    <cellStyle name="Normal 10 6 3 3" xfId="5419"/>
    <cellStyle name="Normal 10 6 4" xfId="5420"/>
    <cellStyle name="Normal 10 6 4 2" xfId="5421"/>
    <cellStyle name="Normal 10 6 4 3" xfId="5422"/>
    <cellStyle name="Normal 10 6 5" xfId="5423"/>
    <cellStyle name="Normal 10 6 6" xfId="5424"/>
    <cellStyle name="Normal 10 7" xfId="5425"/>
    <cellStyle name="Normal 10 7 2" xfId="5426"/>
    <cellStyle name="Normal 10 7 2 2" xfId="5427"/>
    <cellStyle name="Normal 10 7 2 3" xfId="5428"/>
    <cellStyle name="Normal 10 7 3" xfId="5429"/>
    <cellStyle name="Normal 10 7 3 2" xfId="5430"/>
    <cellStyle name="Normal 10 7 3 3" xfId="5431"/>
    <cellStyle name="Normal 10 7 4" xfId="5432"/>
    <cellStyle name="Normal 10 7 5" xfId="5433"/>
    <cellStyle name="Normal 10 8" xfId="5434"/>
    <cellStyle name="Normal 10 8 2" xfId="5435"/>
    <cellStyle name="Normal 10 8 3" xfId="5436"/>
    <cellStyle name="Normal 10 9" xfId="5437"/>
    <cellStyle name="Normal 10 9 2" xfId="5438"/>
    <cellStyle name="Normal 10 9 3" xfId="5439"/>
    <cellStyle name="Normal 10_2112 DF Schedule" xfId="338"/>
    <cellStyle name="Normal 100" xfId="5440"/>
    <cellStyle name="Normal 100 2" xfId="5441"/>
    <cellStyle name="Normal 100 3" xfId="5442"/>
    <cellStyle name="Normal 101" xfId="5443"/>
    <cellStyle name="Normal 101 2" xfId="5444"/>
    <cellStyle name="Normal 102" xfId="5445"/>
    <cellStyle name="Normal 102 2" xfId="5446"/>
    <cellStyle name="Normal 103" xfId="5447"/>
    <cellStyle name="Normal 103 2" xfId="5448"/>
    <cellStyle name="Normal 104" xfId="5449"/>
    <cellStyle name="Normal 104 2" xfId="5450"/>
    <cellStyle name="Normal 105" xfId="5451"/>
    <cellStyle name="Normal 105 2" xfId="5452"/>
    <cellStyle name="Normal 106" xfId="5453"/>
    <cellStyle name="Normal 107" xfId="5454"/>
    <cellStyle name="Normal 107 2" xfId="5455"/>
    <cellStyle name="Normal 108" xfId="5456"/>
    <cellStyle name="Normal 108 2" xfId="5457"/>
    <cellStyle name="Normal 109" xfId="5458"/>
    <cellStyle name="Normal 109 2" xfId="5459"/>
    <cellStyle name="Normal 109 2 2" xfId="5460"/>
    <cellStyle name="Normal 109 3" xfId="5461"/>
    <cellStyle name="Normal 109 4" xfId="5462"/>
    <cellStyle name="Normal 11" xfId="157"/>
    <cellStyle name="Normal 11 10" xfId="5463"/>
    <cellStyle name="Normal 11 11" xfId="5464"/>
    <cellStyle name="Normal 11 12" xfId="5465"/>
    <cellStyle name="Normal 11 2" xfId="5466"/>
    <cellStyle name="Normal 11 2 2" xfId="5467"/>
    <cellStyle name="Normal 11 2 2 2" xfId="5468"/>
    <cellStyle name="Normal 11 2 2 2 2" xfId="5469"/>
    <cellStyle name="Normal 11 2 2 2 2 2" xfId="5470"/>
    <cellStyle name="Normal 11 2 2 2 2 2 2" xfId="5471"/>
    <cellStyle name="Normal 11 2 2 2 2 2 2 2" xfId="5472"/>
    <cellStyle name="Normal 11 2 2 2 2 2 2 3" xfId="5473"/>
    <cellStyle name="Normal 11 2 2 2 2 2 3" xfId="5474"/>
    <cellStyle name="Normal 11 2 2 2 2 2 3 2" xfId="5475"/>
    <cellStyle name="Normal 11 2 2 2 2 2 3 3" xfId="5476"/>
    <cellStyle name="Normal 11 2 2 2 2 2 4" xfId="5477"/>
    <cellStyle name="Normal 11 2 2 2 2 2 5" xfId="5478"/>
    <cellStyle name="Normal 11 2 2 2 2 3" xfId="5479"/>
    <cellStyle name="Normal 11 2 2 2 2 3 2" xfId="5480"/>
    <cellStyle name="Normal 11 2 2 2 2 3 3" xfId="5481"/>
    <cellStyle name="Normal 11 2 2 2 2 4" xfId="5482"/>
    <cellStyle name="Normal 11 2 2 2 2 4 2" xfId="5483"/>
    <cellStyle name="Normal 11 2 2 2 2 4 3" xfId="5484"/>
    <cellStyle name="Normal 11 2 2 2 2 5" xfId="5485"/>
    <cellStyle name="Normal 11 2 2 2 2 6" xfId="5486"/>
    <cellStyle name="Normal 11 2 2 2 3" xfId="5487"/>
    <cellStyle name="Normal 11 2 2 2 3 2" xfId="5488"/>
    <cellStyle name="Normal 11 2 2 2 3 2 2" xfId="5489"/>
    <cellStyle name="Normal 11 2 2 2 3 2 3" xfId="5490"/>
    <cellStyle name="Normal 11 2 2 2 3 3" xfId="5491"/>
    <cellStyle name="Normal 11 2 2 2 3 3 2" xfId="5492"/>
    <cellStyle name="Normal 11 2 2 2 3 3 3" xfId="5493"/>
    <cellStyle name="Normal 11 2 2 2 3 4" xfId="5494"/>
    <cellStyle name="Normal 11 2 2 2 3 5" xfId="5495"/>
    <cellStyle name="Normal 11 2 2 2 3 6" xfId="34869"/>
    <cellStyle name="Normal 11 2 2 2 4" xfId="5496"/>
    <cellStyle name="Normal 11 2 2 2 4 2" xfId="5497"/>
    <cellStyle name="Normal 11 2 2 2 4 3" xfId="5498"/>
    <cellStyle name="Normal 11 2 2 2 5" xfId="5499"/>
    <cellStyle name="Normal 11 2 2 2 5 2" xfId="5500"/>
    <cellStyle name="Normal 11 2 2 2 5 3" xfId="5501"/>
    <cellStyle name="Normal 11 2 2 2 6" xfId="5502"/>
    <cellStyle name="Normal 11 2 2 2 7" xfId="5503"/>
    <cellStyle name="Normal 11 2 2 3" xfId="5504"/>
    <cellStyle name="Normal 11 2 2 3 2" xfId="5505"/>
    <cellStyle name="Normal 11 2 2 3 2 2" xfId="5506"/>
    <cellStyle name="Normal 11 2 2 3 2 2 2" xfId="5507"/>
    <cellStyle name="Normal 11 2 2 3 2 2 3" xfId="5508"/>
    <cellStyle name="Normal 11 2 2 3 2 3" xfId="5509"/>
    <cellStyle name="Normal 11 2 2 3 2 3 2" xfId="5510"/>
    <cellStyle name="Normal 11 2 2 3 2 3 3" xfId="5511"/>
    <cellStyle name="Normal 11 2 2 3 2 4" xfId="5512"/>
    <cellStyle name="Normal 11 2 2 3 2 5" xfId="5513"/>
    <cellStyle name="Normal 11 2 2 3 3" xfId="5514"/>
    <cellStyle name="Normal 11 2 2 3 3 2" xfId="5515"/>
    <cellStyle name="Normal 11 2 2 3 3 3" xfId="5516"/>
    <cellStyle name="Normal 11 2 2 3 4" xfId="5517"/>
    <cellStyle name="Normal 11 2 2 3 4 2" xfId="5518"/>
    <cellStyle name="Normal 11 2 2 3 4 3" xfId="5519"/>
    <cellStyle name="Normal 11 2 2 3 5" xfId="5520"/>
    <cellStyle name="Normal 11 2 2 3 6" xfId="5521"/>
    <cellStyle name="Normal 11 2 2 4" xfId="5522"/>
    <cellStyle name="Normal 11 2 2 4 2" xfId="5523"/>
    <cellStyle name="Normal 11 2 2 4 2 2" xfId="5524"/>
    <cellStyle name="Normal 11 2 2 4 2 3" xfId="5525"/>
    <cellStyle name="Normal 11 2 2 4 3" xfId="5526"/>
    <cellStyle name="Normal 11 2 2 4 3 2" xfId="5527"/>
    <cellStyle name="Normal 11 2 2 4 3 3" xfId="5528"/>
    <cellStyle name="Normal 11 2 2 4 4" xfId="5529"/>
    <cellStyle name="Normal 11 2 2 4 5" xfId="5530"/>
    <cellStyle name="Normal 11 2 2 5" xfId="5531"/>
    <cellStyle name="Normal 11 2 2 5 2" xfId="5532"/>
    <cellStyle name="Normal 11 2 2 5 3" xfId="5533"/>
    <cellStyle name="Normal 11 2 2 6" xfId="5534"/>
    <cellStyle name="Normal 11 2 2 6 2" xfId="5535"/>
    <cellStyle name="Normal 11 2 2 6 3" xfId="5536"/>
    <cellStyle name="Normal 11 2 2 7" xfId="5537"/>
    <cellStyle name="Normal 11 2 2 8" xfId="5538"/>
    <cellStyle name="Normal 11 2 3" xfId="5539"/>
    <cellStyle name="Normal 11 2 3 2" xfId="5540"/>
    <cellStyle name="Normal 11 2 3 2 2" xfId="5541"/>
    <cellStyle name="Normal 11 2 3 2 2 2" xfId="5542"/>
    <cellStyle name="Normal 11 2 3 2 2 2 2" xfId="5543"/>
    <cellStyle name="Normal 11 2 3 2 2 2 3" xfId="5544"/>
    <cellStyle name="Normal 11 2 3 2 2 3" xfId="5545"/>
    <cellStyle name="Normal 11 2 3 2 2 3 2" xfId="5546"/>
    <cellStyle name="Normal 11 2 3 2 2 3 3" xfId="5547"/>
    <cellStyle name="Normal 11 2 3 2 2 4" xfId="5548"/>
    <cellStyle name="Normal 11 2 3 2 2 5" xfId="5549"/>
    <cellStyle name="Normal 11 2 3 2 3" xfId="5550"/>
    <cellStyle name="Normal 11 2 3 2 3 2" xfId="5551"/>
    <cellStyle name="Normal 11 2 3 2 3 3" xfId="5552"/>
    <cellStyle name="Normal 11 2 3 2 4" xfId="5553"/>
    <cellStyle name="Normal 11 2 3 2 4 2" xfId="5554"/>
    <cellStyle name="Normal 11 2 3 2 4 3" xfId="5555"/>
    <cellStyle name="Normal 11 2 3 2 5" xfId="5556"/>
    <cellStyle name="Normal 11 2 3 2 6" xfId="5557"/>
    <cellStyle name="Normal 11 2 3 3" xfId="5558"/>
    <cellStyle name="Normal 11 2 3 3 2" xfId="5559"/>
    <cellStyle name="Normal 11 2 3 3 2 2" xfId="5560"/>
    <cellStyle name="Normal 11 2 3 3 2 3" xfId="5561"/>
    <cellStyle name="Normal 11 2 3 3 3" xfId="5562"/>
    <cellStyle name="Normal 11 2 3 3 3 2" xfId="5563"/>
    <cellStyle name="Normal 11 2 3 3 3 3" xfId="5564"/>
    <cellStyle name="Normal 11 2 3 3 4" xfId="5565"/>
    <cellStyle name="Normal 11 2 3 3 5" xfId="5566"/>
    <cellStyle name="Normal 11 2 3 4" xfId="5567"/>
    <cellStyle name="Normal 11 2 3 4 2" xfId="5568"/>
    <cellStyle name="Normal 11 2 3 4 3" xfId="5569"/>
    <cellStyle name="Normal 11 2 3 5" xfId="5570"/>
    <cellStyle name="Normal 11 2 3 5 2" xfId="5571"/>
    <cellStyle name="Normal 11 2 3 5 3" xfId="5572"/>
    <cellStyle name="Normal 11 2 3 6" xfId="5573"/>
    <cellStyle name="Normal 11 2 3 7" xfId="5574"/>
    <cellStyle name="Normal 11 2 4" xfId="5575"/>
    <cellStyle name="Normal 11 2 4 2" xfId="5576"/>
    <cellStyle name="Normal 11 2 4 2 2" xfId="5577"/>
    <cellStyle name="Normal 11 2 4 2 2 2" xfId="5578"/>
    <cellStyle name="Normal 11 2 4 2 2 3" xfId="5579"/>
    <cellStyle name="Normal 11 2 4 2 3" xfId="5580"/>
    <cellStyle name="Normal 11 2 4 2 3 2" xfId="5581"/>
    <cellStyle name="Normal 11 2 4 2 3 3" xfId="5582"/>
    <cellStyle name="Normal 11 2 4 2 4" xfId="5583"/>
    <cellStyle name="Normal 11 2 4 2 5" xfId="5584"/>
    <cellStyle name="Normal 11 2 4 3" xfId="5585"/>
    <cellStyle name="Normal 11 2 4 3 2" xfId="5586"/>
    <cellStyle name="Normal 11 2 4 3 3" xfId="5587"/>
    <cellStyle name="Normal 11 2 4 4" xfId="5588"/>
    <cellStyle name="Normal 11 2 4 4 2" xfId="5589"/>
    <cellStyle name="Normal 11 2 4 4 3" xfId="5590"/>
    <cellStyle name="Normal 11 2 4 5" xfId="5591"/>
    <cellStyle name="Normal 11 2 4 6" xfId="5592"/>
    <cellStyle name="Normal 11 2 5" xfId="5593"/>
    <cellStyle name="Normal 11 2 5 2" xfId="5594"/>
    <cellStyle name="Normal 11 2 5 2 2" xfId="5595"/>
    <cellStyle name="Normal 11 2 5 2 3" xfId="5596"/>
    <cellStyle name="Normal 11 2 5 3" xfId="5597"/>
    <cellStyle name="Normal 11 2 5 3 2" xfId="5598"/>
    <cellStyle name="Normal 11 2 5 3 3" xfId="5599"/>
    <cellStyle name="Normal 11 2 5 4" xfId="5600"/>
    <cellStyle name="Normal 11 2 5 5" xfId="5601"/>
    <cellStyle name="Normal 11 2 6" xfId="5602"/>
    <cellStyle name="Normal 11 2 6 2" xfId="5603"/>
    <cellStyle name="Normal 11 2 6 3" xfId="5604"/>
    <cellStyle name="Normal 11 2 7" xfId="5605"/>
    <cellStyle name="Normal 11 2 7 2" xfId="5606"/>
    <cellStyle name="Normal 11 2 7 3" xfId="5607"/>
    <cellStyle name="Normal 11 2 8" xfId="5608"/>
    <cellStyle name="Normal 11 2 9" xfId="5609"/>
    <cellStyle name="Normal 11 3" xfId="5610"/>
    <cellStyle name="Normal 11 3 2" xfId="5611"/>
    <cellStyle name="Normal 11 3 2 2" xfId="5612"/>
    <cellStyle name="Normal 11 3 2 2 2" xfId="5613"/>
    <cellStyle name="Normal 11 3 2 2 2 2" xfId="5614"/>
    <cellStyle name="Normal 11 3 2 2 2 2 2" xfId="5615"/>
    <cellStyle name="Normal 11 3 2 2 2 2 3" xfId="5616"/>
    <cellStyle name="Normal 11 3 2 2 2 3" xfId="5617"/>
    <cellStyle name="Normal 11 3 2 2 2 3 2" xfId="5618"/>
    <cellStyle name="Normal 11 3 2 2 2 3 3" xfId="5619"/>
    <cellStyle name="Normal 11 3 2 2 2 4" xfId="5620"/>
    <cellStyle name="Normal 11 3 2 2 2 5" xfId="5621"/>
    <cellStyle name="Normal 11 3 2 2 3" xfId="5622"/>
    <cellStyle name="Normal 11 3 2 2 3 2" xfId="5623"/>
    <cellStyle name="Normal 11 3 2 2 3 3" xfId="5624"/>
    <cellStyle name="Normal 11 3 2 2 4" xfId="5625"/>
    <cellStyle name="Normal 11 3 2 2 4 2" xfId="5626"/>
    <cellStyle name="Normal 11 3 2 2 4 3" xfId="5627"/>
    <cellStyle name="Normal 11 3 2 2 5" xfId="5628"/>
    <cellStyle name="Normal 11 3 2 2 6" xfId="5629"/>
    <cellStyle name="Normal 11 3 2 3" xfId="5630"/>
    <cellStyle name="Normal 11 3 2 3 2" xfId="5631"/>
    <cellStyle name="Normal 11 3 2 3 2 2" xfId="5632"/>
    <cellStyle name="Normal 11 3 2 3 2 3" xfId="5633"/>
    <cellStyle name="Normal 11 3 2 3 3" xfId="5634"/>
    <cellStyle name="Normal 11 3 2 3 3 2" xfId="5635"/>
    <cellStyle name="Normal 11 3 2 3 3 3" xfId="5636"/>
    <cellStyle name="Normal 11 3 2 3 4" xfId="5637"/>
    <cellStyle name="Normal 11 3 2 3 5" xfId="5638"/>
    <cellStyle name="Normal 11 3 2 4" xfId="5639"/>
    <cellStyle name="Normal 11 3 2 4 2" xfId="5640"/>
    <cellStyle name="Normal 11 3 2 4 3" xfId="5641"/>
    <cellStyle name="Normal 11 3 2 5" xfId="5642"/>
    <cellStyle name="Normal 11 3 2 5 2" xfId="5643"/>
    <cellStyle name="Normal 11 3 2 5 3" xfId="5644"/>
    <cellStyle name="Normal 11 3 2 6" xfId="5645"/>
    <cellStyle name="Normal 11 3 2 7" xfId="5646"/>
    <cellStyle name="Normal 11 3 3" xfId="5647"/>
    <cellStyle name="Normal 11 3 3 2" xfId="5648"/>
    <cellStyle name="Normal 11 3 3 2 2" xfId="5649"/>
    <cellStyle name="Normal 11 3 3 2 2 2" xfId="5650"/>
    <cellStyle name="Normal 11 3 3 2 2 3" xfId="5651"/>
    <cellStyle name="Normal 11 3 3 2 3" xfId="5652"/>
    <cellStyle name="Normal 11 3 3 2 3 2" xfId="5653"/>
    <cellStyle name="Normal 11 3 3 2 3 3" xfId="5654"/>
    <cellStyle name="Normal 11 3 3 2 4" xfId="5655"/>
    <cellStyle name="Normal 11 3 3 2 5" xfId="5656"/>
    <cellStyle name="Normal 11 3 3 3" xfId="5657"/>
    <cellStyle name="Normal 11 3 3 3 2" xfId="5658"/>
    <cellStyle name="Normal 11 3 3 3 3" xfId="5659"/>
    <cellStyle name="Normal 11 3 3 4" xfId="5660"/>
    <cellStyle name="Normal 11 3 3 4 2" xfId="5661"/>
    <cellStyle name="Normal 11 3 3 4 3" xfId="5662"/>
    <cellStyle name="Normal 11 3 3 5" xfId="5663"/>
    <cellStyle name="Normal 11 3 3 6" xfId="5664"/>
    <cellStyle name="Normal 11 3 4" xfId="5665"/>
    <cellStyle name="Normal 11 3 4 2" xfId="5666"/>
    <cellStyle name="Normal 11 3 4 2 2" xfId="5667"/>
    <cellStyle name="Normal 11 3 4 2 3" xfId="5668"/>
    <cellStyle name="Normal 11 3 4 3" xfId="5669"/>
    <cellStyle name="Normal 11 3 4 3 2" xfId="5670"/>
    <cellStyle name="Normal 11 3 4 3 3" xfId="5671"/>
    <cellStyle name="Normal 11 3 4 4" xfId="5672"/>
    <cellStyle name="Normal 11 3 4 5" xfId="5673"/>
    <cellStyle name="Normal 11 3 5" xfId="5674"/>
    <cellStyle name="Normal 11 3 5 2" xfId="5675"/>
    <cellStyle name="Normal 11 3 5 3" xfId="5676"/>
    <cellStyle name="Normal 11 3 6" xfId="5677"/>
    <cellStyle name="Normal 11 3 6 2" xfId="5678"/>
    <cellStyle name="Normal 11 3 6 3" xfId="5679"/>
    <cellStyle name="Normal 11 3 7" xfId="5680"/>
    <cellStyle name="Normal 11 3 8" xfId="5681"/>
    <cellStyle name="Normal 11 4" xfId="5682"/>
    <cellStyle name="Normal 11 4 2" xfId="5683"/>
    <cellStyle name="Normal 11 4 2 2" xfId="5684"/>
    <cellStyle name="Normal 11 4 2 2 2" xfId="5685"/>
    <cellStyle name="Normal 11 4 2 2 2 2" xfId="5686"/>
    <cellStyle name="Normal 11 4 2 2 2 2 2" xfId="5687"/>
    <cellStyle name="Normal 11 4 2 2 2 2 3" xfId="5688"/>
    <cellStyle name="Normal 11 4 2 2 2 3" xfId="5689"/>
    <cellStyle name="Normal 11 4 2 2 2 3 2" xfId="5690"/>
    <cellStyle name="Normal 11 4 2 2 2 3 3" xfId="5691"/>
    <cellStyle name="Normal 11 4 2 2 2 4" xfId="5692"/>
    <cellStyle name="Normal 11 4 2 2 2 5" xfId="5693"/>
    <cellStyle name="Normal 11 4 2 2 3" xfId="5694"/>
    <cellStyle name="Normal 11 4 2 2 3 2" xfId="5695"/>
    <cellStyle name="Normal 11 4 2 2 3 3" xfId="5696"/>
    <cellStyle name="Normal 11 4 2 2 4" xfId="5697"/>
    <cellStyle name="Normal 11 4 2 2 4 2" xfId="5698"/>
    <cellStyle name="Normal 11 4 2 2 4 3" xfId="5699"/>
    <cellStyle name="Normal 11 4 2 2 5" xfId="5700"/>
    <cellStyle name="Normal 11 4 2 2 6" xfId="5701"/>
    <cellStyle name="Normal 11 4 2 3" xfId="5702"/>
    <cellStyle name="Normal 11 4 2 3 2" xfId="5703"/>
    <cellStyle name="Normal 11 4 2 3 2 2" xfId="5704"/>
    <cellStyle name="Normal 11 4 2 3 2 3" xfId="5705"/>
    <cellStyle name="Normal 11 4 2 3 3" xfId="5706"/>
    <cellStyle name="Normal 11 4 2 3 3 2" xfId="5707"/>
    <cellStyle name="Normal 11 4 2 3 3 3" xfId="5708"/>
    <cellStyle name="Normal 11 4 2 3 4" xfId="5709"/>
    <cellStyle name="Normal 11 4 2 3 5" xfId="5710"/>
    <cellStyle name="Normal 11 4 2 4" xfId="5711"/>
    <cellStyle name="Normal 11 4 2 4 2" xfId="5712"/>
    <cellStyle name="Normal 11 4 2 4 3" xfId="5713"/>
    <cellStyle name="Normal 11 4 2 5" xfId="5714"/>
    <cellStyle name="Normal 11 4 2 5 2" xfId="5715"/>
    <cellStyle name="Normal 11 4 2 5 3" xfId="5716"/>
    <cellStyle name="Normal 11 4 2 6" xfId="5717"/>
    <cellStyle name="Normal 11 4 2 7" xfId="5718"/>
    <cellStyle name="Normal 11 4 3" xfId="5719"/>
    <cellStyle name="Normal 11 4 3 2" xfId="5720"/>
    <cellStyle name="Normal 11 4 3 2 2" xfId="5721"/>
    <cellStyle name="Normal 11 4 3 2 2 2" xfId="5722"/>
    <cellStyle name="Normal 11 4 3 2 2 3" xfId="5723"/>
    <cellStyle name="Normal 11 4 3 2 3" xfId="5724"/>
    <cellStyle name="Normal 11 4 3 2 3 2" xfId="5725"/>
    <cellStyle name="Normal 11 4 3 2 3 3" xfId="5726"/>
    <cellStyle name="Normal 11 4 3 2 4" xfId="5727"/>
    <cellStyle name="Normal 11 4 3 2 5" xfId="5728"/>
    <cellStyle name="Normal 11 4 3 3" xfId="5729"/>
    <cellStyle name="Normal 11 4 3 3 2" xfId="5730"/>
    <cellStyle name="Normal 11 4 3 3 3" xfId="5731"/>
    <cellStyle name="Normal 11 4 3 4" xfId="5732"/>
    <cellStyle name="Normal 11 4 3 4 2" xfId="5733"/>
    <cellStyle name="Normal 11 4 3 4 3" xfId="5734"/>
    <cellStyle name="Normal 11 4 3 5" xfId="5735"/>
    <cellStyle name="Normal 11 4 3 6" xfId="5736"/>
    <cellStyle name="Normal 11 4 4" xfId="5737"/>
    <cellStyle name="Normal 11 4 4 2" xfId="5738"/>
    <cellStyle name="Normal 11 4 4 2 2" xfId="5739"/>
    <cellStyle name="Normal 11 4 4 2 3" xfId="5740"/>
    <cellStyle name="Normal 11 4 4 3" xfId="5741"/>
    <cellStyle name="Normal 11 4 4 3 2" xfId="5742"/>
    <cellStyle name="Normal 11 4 4 3 3" xfId="5743"/>
    <cellStyle name="Normal 11 4 4 4" xfId="5744"/>
    <cellStyle name="Normal 11 4 4 5" xfId="5745"/>
    <cellStyle name="Normal 11 4 5" xfId="5746"/>
    <cellStyle name="Normal 11 4 5 2" xfId="5747"/>
    <cellStyle name="Normal 11 4 5 3" xfId="5748"/>
    <cellStyle name="Normal 11 4 6" xfId="5749"/>
    <cellStyle name="Normal 11 4 6 2" xfId="5750"/>
    <cellStyle name="Normal 11 4 6 3" xfId="5751"/>
    <cellStyle name="Normal 11 4 7" xfId="5752"/>
    <cellStyle name="Normal 11 4 8" xfId="5753"/>
    <cellStyle name="Normal 11 5" xfId="5754"/>
    <cellStyle name="Normal 11 5 10" xfId="5755"/>
    <cellStyle name="Normal 11 5 10 2" xfId="5756"/>
    <cellStyle name="Normal 11 5 10 3" xfId="5757"/>
    <cellStyle name="Normal 11 5 11" xfId="5758"/>
    <cellStyle name="Normal 11 5 11 2" xfId="5759"/>
    <cellStyle name="Normal 11 5 12" xfId="5760"/>
    <cellStyle name="Normal 11 5 12 2" xfId="5761"/>
    <cellStyle name="Normal 11 5 13" xfId="5762"/>
    <cellStyle name="Normal 11 5 14" xfId="5763"/>
    <cellStyle name="Normal 11 5 15" xfId="5764"/>
    <cellStyle name="Normal 11 5 16" xfId="5765"/>
    <cellStyle name="Normal 11 5 17" xfId="5766"/>
    <cellStyle name="Normal 11 5 18" xfId="5767"/>
    <cellStyle name="Normal 11 5 19" xfId="5768"/>
    <cellStyle name="Normal 11 5 19 2" xfId="5769"/>
    <cellStyle name="Normal 11 5 19 3" xfId="5770"/>
    <cellStyle name="Normal 11 5 19 4" xfId="5771"/>
    <cellStyle name="Normal 11 5 19 5" xfId="5772"/>
    <cellStyle name="Normal 11 5 19 6" xfId="5773"/>
    <cellStyle name="Normal 11 5 2" xfId="5774"/>
    <cellStyle name="Normal 11 5 2 2" xfId="5775"/>
    <cellStyle name="Normal 11 5 2 2 2" xfId="5776"/>
    <cellStyle name="Normal 11 5 2 2 2 2" xfId="5777"/>
    <cellStyle name="Normal 11 5 2 2 2 3" xfId="5778"/>
    <cellStyle name="Normal 11 5 2 2 3" xfId="5779"/>
    <cellStyle name="Normal 11 5 2 2 3 2" xfId="5780"/>
    <cellStyle name="Normal 11 5 2 2 3 3" xfId="5781"/>
    <cellStyle name="Normal 11 5 2 2 4" xfId="5782"/>
    <cellStyle name="Normal 11 5 2 2 5" xfId="5783"/>
    <cellStyle name="Normal 11 5 2 3" xfId="5784"/>
    <cellStyle name="Normal 11 5 2 3 2" xfId="5785"/>
    <cellStyle name="Normal 11 5 2 3 3" xfId="5786"/>
    <cellStyle name="Normal 11 5 2 4" xfId="5787"/>
    <cellStyle name="Normal 11 5 2 4 2" xfId="5788"/>
    <cellStyle name="Normal 11 5 2 4 3" xfId="5789"/>
    <cellStyle name="Normal 11 5 2 5" xfId="5790"/>
    <cellStyle name="Normal 11 5 2 6" xfId="5791"/>
    <cellStyle name="Normal 11 5 20" xfId="5792"/>
    <cellStyle name="Normal 11 5 21" xfId="5793"/>
    <cellStyle name="Normal 11 5 22" xfId="5794"/>
    <cellStyle name="Normal 11 5 23" xfId="5795"/>
    <cellStyle name="Normal 11 5 24" xfId="5796"/>
    <cellStyle name="Normal 11 5 25" xfId="5797"/>
    <cellStyle name="Normal 11 5 26" xfId="5798"/>
    <cellStyle name="Normal 11 5 27" xfId="5799"/>
    <cellStyle name="Normal 11 5 28" xfId="5800"/>
    <cellStyle name="Normal 11 5 3" xfId="5801"/>
    <cellStyle name="Normal 11 5 3 2" xfId="5802"/>
    <cellStyle name="Normal 11 5 3 2 2" xfId="5803"/>
    <cellStyle name="Normal 11 5 3 2 2 2" xfId="5804"/>
    <cellStyle name="Normal 11 5 3 2 2 3" xfId="5805"/>
    <cellStyle name="Normal 11 5 3 2 3" xfId="5806"/>
    <cellStyle name="Normal 11 5 3 2 3 2" xfId="5807"/>
    <cellStyle name="Normal 11 5 3 2 3 3" xfId="5808"/>
    <cellStyle name="Normal 11 5 3 2 4" xfId="5809"/>
    <cellStyle name="Normal 11 5 3 2 5" xfId="5810"/>
    <cellStyle name="Normal 11 5 3 3" xfId="5811"/>
    <cellStyle name="Normal 11 5 3 3 2" xfId="5812"/>
    <cellStyle name="Normal 11 5 3 3 3" xfId="5813"/>
    <cellStyle name="Normal 11 5 3 3 4" xfId="5814"/>
    <cellStyle name="Normal 11 5 3 3 5" xfId="5815"/>
    <cellStyle name="Normal 11 5 3 4" xfId="5816"/>
    <cellStyle name="Normal 11 5 3 4 2" xfId="5817"/>
    <cellStyle name="Normal 11 5 3 4 3" xfId="5818"/>
    <cellStyle name="Normal 11 5 3 5" xfId="5819"/>
    <cellStyle name="Normal 11 5 3 5 2" xfId="5820"/>
    <cellStyle name="Normal 11 5 3 5 3" xfId="5821"/>
    <cellStyle name="Normal 11 5 3 6" xfId="5822"/>
    <cellStyle name="Normal 11 5 3 7" xfId="5823"/>
    <cellStyle name="Normal 11 5 4" xfId="5824"/>
    <cellStyle name="Normal 11 5 4 2" xfId="5825"/>
    <cellStyle name="Normal 11 5 4 2 2" xfId="5826"/>
    <cellStyle name="Normal 11 5 4 2 3" xfId="5827"/>
    <cellStyle name="Normal 11 5 4 2 4" xfId="5828"/>
    <cellStyle name="Normal 11 5 4 2 5" xfId="5829"/>
    <cellStyle name="Normal 11 5 4 3" xfId="5830"/>
    <cellStyle name="Normal 11 5 4 3 2" xfId="5831"/>
    <cellStyle name="Normal 11 5 4 3 3" xfId="5832"/>
    <cellStyle name="Normal 11 5 4 4" xfId="5833"/>
    <cellStyle name="Normal 11 5 4 4 2" xfId="5834"/>
    <cellStyle name="Normal 11 5 4 4 3" xfId="5835"/>
    <cellStyle name="Normal 11 5 4 5" xfId="5836"/>
    <cellStyle name="Normal 11 5 4 6" xfId="5837"/>
    <cellStyle name="Normal 11 5 5" xfId="5838"/>
    <cellStyle name="Normal 11 5 5 2" xfId="5839"/>
    <cellStyle name="Normal 11 5 5 2 2" xfId="5840"/>
    <cellStyle name="Normal 11 5 5 2 3" xfId="5841"/>
    <cellStyle name="Normal 11 5 5 2 4" xfId="5842"/>
    <cellStyle name="Normal 11 5 5 2 5" xfId="5843"/>
    <cellStyle name="Normal 11 5 5 3" xfId="5844"/>
    <cellStyle name="Normal 11 5 5 3 2" xfId="5845"/>
    <cellStyle name="Normal 11 5 5 3 3" xfId="5846"/>
    <cellStyle name="Normal 11 5 5 4" xfId="5847"/>
    <cellStyle name="Normal 11 5 5 4 2" xfId="5848"/>
    <cellStyle name="Normal 11 5 5 4 3" xfId="5849"/>
    <cellStyle name="Normal 11 5 5 5" xfId="5850"/>
    <cellStyle name="Normal 11 5 5 6" xfId="5851"/>
    <cellStyle name="Normal 11 5 6" xfId="5852"/>
    <cellStyle name="Normal 11 5 6 2" xfId="5853"/>
    <cellStyle name="Normal 11 5 6 2 2" xfId="5854"/>
    <cellStyle name="Normal 11 5 6 2 3" xfId="5855"/>
    <cellStyle name="Normal 11 5 6 2 4" xfId="5856"/>
    <cellStyle name="Normal 11 5 6 2 5" xfId="5857"/>
    <cellStyle name="Normal 11 5 6 3" xfId="5858"/>
    <cellStyle name="Normal 11 5 6 3 2" xfId="5859"/>
    <cellStyle name="Normal 11 5 6 3 3" xfId="5860"/>
    <cellStyle name="Normal 11 5 6 4" xfId="5861"/>
    <cellStyle name="Normal 11 5 6 4 2" xfId="5862"/>
    <cellStyle name="Normal 11 5 6 4 3" xfId="5863"/>
    <cellStyle name="Normal 11 5 6 5" xfId="5864"/>
    <cellStyle name="Normal 11 5 6 5 2" xfId="5865"/>
    <cellStyle name="Normal 11 5 6 6" xfId="5866"/>
    <cellStyle name="Normal 11 5 6 7" xfId="5867"/>
    <cellStyle name="Normal 11 5 7" xfId="5868"/>
    <cellStyle name="Normal 11 5 7 2" xfId="5869"/>
    <cellStyle name="Normal 11 5 7 2 2" xfId="5870"/>
    <cellStyle name="Normal 11 5 7 2 3" xfId="5871"/>
    <cellStyle name="Normal 11 5 7 3" xfId="5872"/>
    <cellStyle name="Normal 11 5 7 3 2" xfId="5873"/>
    <cellStyle name="Normal 11 5 7 3 3" xfId="5874"/>
    <cellStyle name="Normal 11 5 7 4" xfId="5875"/>
    <cellStyle name="Normal 11 5 7 4 2" xfId="5876"/>
    <cellStyle name="Normal 11 5 7 5" xfId="5877"/>
    <cellStyle name="Normal 11 5 7 6" xfId="5878"/>
    <cellStyle name="Normal 11 5 8" xfId="5879"/>
    <cellStyle name="Normal 11 5 8 2" xfId="5880"/>
    <cellStyle name="Normal 11 5 8 3" xfId="5881"/>
    <cellStyle name="Normal 11 5 8 4" xfId="5882"/>
    <cellStyle name="Normal 11 5 8 5" xfId="5883"/>
    <cellStyle name="Normal 11 5 9" xfId="5884"/>
    <cellStyle name="Normal 11 5 9 2" xfId="5885"/>
    <cellStyle name="Normal 11 5 9 3" xfId="5886"/>
    <cellStyle name="Normal 11 5_10070" xfId="5887"/>
    <cellStyle name="Normal 11 6" xfId="5888"/>
    <cellStyle name="Normal 11 6 2" xfId="5889"/>
    <cellStyle name="Normal 11 6 2 2" xfId="5890"/>
    <cellStyle name="Normal 11 6 2 2 2" xfId="5891"/>
    <cellStyle name="Normal 11 6 2 2 3" xfId="5892"/>
    <cellStyle name="Normal 11 6 2 3" xfId="5893"/>
    <cellStyle name="Normal 11 6 2 3 2" xfId="5894"/>
    <cellStyle name="Normal 11 6 2 3 3" xfId="5895"/>
    <cellStyle name="Normal 11 6 2 4" xfId="5896"/>
    <cellStyle name="Normal 11 6 2 5" xfId="5897"/>
    <cellStyle name="Normal 11 6 3" xfId="5898"/>
    <cellStyle name="Normal 11 6 3 2" xfId="5899"/>
    <cellStyle name="Normal 11 6 3 3" xfId="5900"/>
    <cellStyle name="Normal 11 6 4" xfId="5901"/>
    <cellStyle name="Normal 11 6 4 2" xfId="5902"/>
    <cellStyle name="Normal 11 6 4 3" xfId="5903"/>
    <cellStyle name="Normal 11 6 5" xfId="5904"/>
    <cellStyle name="Normal 11 6 6" xfId="5905"/>
    <cellStyle name="Normal 11 7" xfId="5906"/>
    <cellStyle name="Normal 11 7 2" xfId="5907"/>
    <cellStyle name="Normal 11 7 2 2" xfId="5908"/>
    <cellStyle name="Normal 11 7 2 3" xfId="5909"/>
    <cellStyle name="Normal 11 7 3" xfId="5910"/>
    <cellStyle name="Normal 11 7 3 2" xfId="5911"/>
    <cellStyle name="Normal 11 7 3 3" xfId="5912"/>
    <cellStyle name="Normal 11 7 4" xfId="5913"/>
    <cellStyle name="Normal 11 7 5" xfId="5914"/>
    <cellStyle name="Normal 11 8" xfId="5915"/>
    <cellStyle name="Normal 11 8 2" xfId="5916"/>
    <cellStyle name="Normal 11 8 3" xfId="5917"/>
    <cellStyle name="Normal 11 9" xfId="5918"/>
    <cellStyle name="Normal 11 9 2" xfId="5919"/>
    <cellStyle name="Normal 11 9 3" xfId="5920"/>
    <cellStyle name="Normal 11_2180" xfId="5921"/>
    <cellStyle name="Normal 110" xfId="5922"/>
    <cellStyle name="Normal 110 2" xfId="5923"/>
    <cellStyle name="Normal 111" xfId="5924"/>
    <cellStyle name="Normal 111 2" xfId="5925"/>
    <cellStyle name="Normal 111 3" xfId="5926"/>
    <cellStyle name="Normal 112" xfId="5927"/>
    <cellStyle name="Normal 112 2" xfId="5928"/>
    <cellStyle name="Normal 112 3" xfId="5929"/>
    <cellStyle name="Normal 113" xfId="5930"/>
    <cellStyle name="Normal 113 2" xfId="5931"/>
    <cellStyle name="Normal 113 3" xfId="5932"/>
    <cellStyle name="Normal 113 4" xfId="5933"/>
    <cellStyle name="Normal 114" xfId="5934"/>
    <cellStyle name="Normal 114 2" xfId="5935"/>
    <cellStyle name="Normal 115" xfId="5936"/>
    <cellStyle name="Normal 116" xfId="5937"/>
    <cellStyle name="Normal 117" xfId="5938"/>
    <cellStyle name="Normal 117 2" xfId="5939"/>
    <cellStyle name="Normal 118" xfId="5940"/>
    <cellStyle name="Normal 118 2" xfId="5941"/>
    <cellStyle name="Normal 119" xfId="5942"/>
    <cellStyle name="Normal 12" xfId="158"/>
    <cellStyle name="Normal 12 10" xfId="5943"/>
    <cellStyle name="Normal 12 11" xfId="5944"/>
    <cellStyle name="Normal 12 2" xfId="339"/>
    <cellStyle name="Normal 12 2 2" xfId="5945"/>
    <cellStyle name="Normal 12 2 2 2" xfId="5946"/>
    <cellStyle name="Normal 12 2 2 2 2" xfId="5947"/>
    <cellStyle name="Normal 12 2 2 2 2 2" xfId="5948"/>
    <cellStyle name="Normal 12 2 2 2 2 2 2" xfId="5949"/>
    <cellStyle name="Normal 12 2 2 2 2 2 2 2" xfId="5950"/>
    <cellStyle name="Normal 12 2 2 2 2 2 2 3" xfId="5951"/>
    <cellStyle name="Normal 12 2 2 2 2 2 3" xfId="5952"/>
    <cellStyle name="Normal 12 2 2 2 2 2 3 2" xfId="5953"/>
    <cellStyle name="Normal 12 2 2 2 2 2 3 3" xfId="5954"/>
    <cellStyle name="Normal 12 2 2 2 2 2 4" xfId="5955"/>
    <cellStyle name="Normal 12 2 2 2 2 2 5" xfId="5956"/>
    <cellStyle name="Normal 12 2 2 2 2 3" xfId="5957"/>
    <cellStyle name="Normal 12 2 2 2 2 3 2" xfId="5958"/>
    <cellStyle name="Normal 12 2 2 2 2 3 3" xfId="5959"/>
    <cellStyle name="Normal 12 2 2 2 2 4" xfId="5960"/>
    <cellStyle name="Normal 12 2 2 2 2 4 2" xfId="5961"/>
    <cellStyle name="Normal 12 2 2 2 2 4 3" xfId="5962"/>
    <cellStyle name="Normal 12 2 2 2 2 5" xfId="5963"/>
    <cellStyle name="Normal 12 2 2 2 2 6" xfId="5964"/>
    <cellStyle name="Normal 12 2 2 2 3" xfId="5965"/>
    <cellStyle name="Normal 12 2 2 2 3 2" xfId="5966"/>
    <cellStyle name="Normal 12 2 2 2 3 2 2" xfId="5967"/>
    <cellStyle name="Normal 12 2 2 2 3 2 3" xfId="5968"/>
    <cellStyle name="Normal 12 2 2 2 3 3" xfId="5969"/>
    <cellStyle name="Normal 12 2 2 2 3 3 2" xfId="5970"/>
    <cellStyle name="Normal 12 2 2 2 3 3 3" xfId="5971"/>
    <cellStyle name="Normal 12 2 2 2 3 4" xfId="5972"/>
    <cellStyle name="Normal 12 2 2 2 3 5" xfId="5973"/>
    <cellStyle name="Normal 12 2 2 2 3 6" xfId="34870"/>
    <cellStyle name="Normal 12 2 2 2 4" xfId="5974"/>
    <cellStyle name="Normal 12 2 2 2 4 2" xfId="5975"/>
    <cellStyle name="Normal 12 2 2 2 4 3" xfId="5976"/>
    <cellStyle name="Normal 12 2 2 2 5" xfId="5977"/>
    <cellStyle name="Normal 12 2 2 2 5 2" xfId="5978"/>
    <cellStyle name="Normal 12 2 2 2 5 3" xfId="5979"/>
    <cellStyle name="Normal 12 2 2 2 6" xfId="5980"/>
    <cellStyle name="Normal 12 2 2 2 7" xfId="5981"/>
    <cellStyle name="Normal 12 2 2 3" xfId="5982"/>
    <cellStyle name="Normal 12 2 2 3 2" xfId="5983"/>
    <cellStyle name="Normal 12 2 2 3 2 2" xfId="5984"/>
    <cellStyle name="Normal 12 2 2 3 2 2 2" xfId="5985"/>
    <cellStyle name="Normal 12 2 2 3 2 2 3" xfId="5986"/>
    <cellStyle name="Normal 12 2 2 3 2 3" xfId="5987"/>
    <cellStyle name="Normal 12 2 2 3 2 3 2" xfId="5988"/>
    <cellStyle name="Normal 12 2 2 3 2 3 3" xfId="5989"/>
    <cellStyle name="Normal 12 2 2 3 2 4" xfId="5990"/>
    <cellStyle name="Normal 12 2 2 3 2 5" xfId="5991"/>
    <cellStyle name="Normal 12 2 2 3 3" xfId="5992"/>
    <cellStyle name="Normal 12 2 2 3 3 2" xfId="5993"/>
    <cellStyle name="Normal 12 2 2 3 3 3" xfId="5994"/>
    <cellStyle name="Normal 12 2 2 3 4" xfId="5995"/>
    <cellStyle name="Normal 12 2 2 3 4 2" xfId="5996"/>
    <cellStyle name="Normal 12 2 2 3 4 3" xfId="5997"/>
    <cellStyle name="Normal 12 2 2 3 5" xfId="5998"/>
    <cellStyle name="Normal 12 2 2 3 6" xfId="5999"/>
    <cellStyle name="Normal 12 2 2 4" xfId="6000"/>
    <cellStyle name="Normal 12 2 2 4 2" xfId="6001"/>
    <cellStyle name="Normal 12 2 2 4 2 2" xfId="6002"/>
    <cellStyle name="Normal 12 2 2 4 2 3" xfId="6003"/>
    <cellStyle name="Normal 12 2 2 4 3" xfId="6004"/>
    <cellStyle name="Normal 12 2 2 4 3 2" xfId="6005"/>
    <cellStyle name="Normal 12 2 2 4 3 3" xfId="6006"/>
    <cellStyle name="Normal 12 2 2 4 4" xfId="6007"/>
    <cellStyle name="Normal 12 2 2 4 5" xfId="6008"/>
    <cellStyle name="Normal 12 2 2 5" xfId="6009"/>
    <cellStyle name="Normal 12 2 2 5 2" xfId="6010"/>
    <cellStyle name="Normal 12 2 2 5 3" xfId="6011"/>
    <cellStyle name="Normal 12 2 2 6" xfId="6012"/>
    <cellStyle name="Normal 12 2 2 6 2" xfId="6013"/>
    <cellStyle name="Normal 12 2 2 6 3" xfId="6014"/>
    <cellStyle name="Normal 12 2 2 7" xfId="6015"/>
    <cellStyle name="Normal 12 2 2 8" xfId="6016"/>
    <cellStyle name="Normal 12 2 3" xfId="6017"/>
    <cellStyle name="Normal 12 2 3 2" xfId="6018"/>
    <cellStyle name="Normal 12 2 3 2 2" xfId="6019"/>
    <cellStyle name="Normal 12 2 3 2 2 2" xfId="6020"/>
    <cellStyle name="Normal 12 2 3 2 2 2 2" xfId="6021"/>
    <cellStyle name="Normal 12 2 3 2 2 2 3" xfId="6022"/>
    <cellStyle name="Normal 12 2 3 2 2 3" xfId="6023"/>
    <cellStyle name="Normal 12 2 3 2 2 3 2" xfId="6024"/>
    <cellStyle name="Normal 12 2 3 2 2 3 3" xfId="6025"/>
    <cellStyle name="Normal 12 2 3 2 2 4" xfId="6026"/>
    <cellStyle name="Normal 12 2 3 2 2 5" xfId="6027"/>
    <cellStyle name="Normal 12 2 3 2 3" xfId="6028"/>
    <cellStyle name="Normal 12 2 3 2 3 2" xfId="6029"/>
    <cellStyle name="Normal 12 2 3 2 3 3" xfId="6030"/>
    <cellStyle name="Normal 12 2 3 2 4" xfId="6031"/>
    <cellStyle name="Normal 12 2 3 2 4 2" xfId="6032"/>
    <cellStyle name="Normal 12 2 3 2 4 3" xfId="6033"/>
    <cellStyle name="Normal 12 2 3 2 5" xfId="6034"/>
    <cellStyle name="Normal 12 2 3 2 6" xfId="6035"/>
    <cellStyle name="Normal 12 2 3 3" xfId="6036"/>
    <cellStyle name="Normal 12 2 3 3 2" xfId="6037"/>
    <cellStyle name="Normal 12 2 3 3 2 2" xfId="6038"/>
    <cellStyle name="Normal 12 2 3 3 2 3" xfId="6039"/>
    <cellStyle name="Normal 12 2 3 3 3" xfId="6040"/>
    <cellStyle name="Normal 12 2 3 3 3 2" xfId="6041"/>
    <cellStyle name="Normal 12 2 3 3 3 3" xfId="6042"/>
    <cellStyle name="Normal 12 2 3 3 4" xfId="6043"/>
    <cellStyle name="Normal 12 2 3 3 5" xfId="6044"/>
    <cellStyle name="Normal 12 2 3 4" xfId="6045"/>
    <cellStyle name="Normal 12 2 3 4 2" xfId="6046"/>
    <cellStyle name="Normal 12 2 3 4 3" xfId="6047"/>
    <cellStyle name="Normal 12 2 3 5" xfId="6048"/>
    <cellStyle name="Normal 12 2 3 5 2" xfId="6049"/>
    <cellStyle name="Normal 12 2 3 5 3" xfId="6050"/>
    <cellStyle name="Normal 12 2 3 6" xfId="6051"/>
    <cellStyle name="Normal 12 2 3 7" xfId="6052"/>
    <cellStyle name="Normal 12 2 4" xfId="6053"/>
    <cellStyle name="Normal 12 2 4 2" xfId="6054"/>
    <cellStyle name="Normal 12 2 4 2 2" xfId="6055"/>
    <cellStyle name="Normal 12 2 4 2 2 2" xfId="6056"/>
    <cellStyle name="Normal 12 2 4 2 2 3" xfId="6057"/>
    <cellStyle name="Normal 12 2 4 2 3" xfId="6058"/>
    <cellStyle name="Normal 12 2 4 2 3 2" xfId="6059"/>
    <cellStyle name="Normal 12 2 4 2 3 3" xfId="6060"/>
    <cellStyle name="Normal 12 2 4 2 4" xfId="6061"/>
    <cellStyle name="Normal 12 2 4 2 5" xfId="6062"/>
    <cellStyle name="Normal 12 2 4 3" xfId="6063"/>
    <cellStyle name="Normal 12 2 4 3 2" xfId="6064"/>
    <cellStyle name="Normal 12 2 4 3 3" xfId="6065"/>
    <cellStyle name="Normal 12 2 4 4" xfId="6066"/>
    <cellStyle name="Normal 12 2 4 4 2" xfId="6067"/>
    <cellStyle name="Normal 12 2 4 4 3" xfId="6068"/>
    <cellStyle name="Normal 12 2 4 5" xfId="6069"/>
    <cellStyle name="Normal 12 2 4 6" xfId="6070"/>
    <cellStyle name="Normal 12 2 5" xfId="6071"/>
    <cellStyle name="Normal 12 2 5 2" xfId="6072"/>
    <cellStyle name="Normal 12 2 5 2 2" xfId="6073"/>
    <cellStyle name="Normal 12 2 5 2 3" xfId="6074"/>
    <cellStyle name="Normal 12 2 5 3" xfId="6075"/>
    <cellStyle name="Normal 12 2 5 3 2" xfId="6076"/>
    <cellStyle name="Normal 12 2 5 3 3" xfId="6077"/>
    <cellStyle name="Normal 12 2 5 4" xfId="6078"/>
    <cellStyle name="Normal 12 2 5 5" xfId="6079"/>
    <cellStyle name="Normal 12 2 6" xfId="6080"/>
    <cellStyle name="Normal 12 2 6 2" xfId="6081"/>
    <cellStyle name="Normal 12 2 6 3" xfId="6082"/>
    <cellStyle name="Normal 12 2 7" xfId="6083"/>
    <cellStyle name="Normal 12 2 7 2" xfId="6084"/>
    <cellStyle name="Normal 12 2 7 3" xfId="6085"/>
    <cellStyle name="Normal 12 2 8" xfId="6086"/>
    <cellStyle name="Normal 12 2 9" xfId="6087"/>
    <cellStyle name="Normal 12 3" xfId="6088"/>
    <cellStyle name="Normal 12 3 2" xfId="6089"/>
    <cellStyle name="Normal 12 3 2 2" xfId="6090"/>
    <cellStyle name="Normal 12 3 2 2 2" xfId="6091"/>
    <cellStyle name="Normal 12 3 2 2 2 2" xfId="6092"/>
    <cellStyle name="Normal 12 3 2 2 2 2 2" xfId="6093"/>
    <cellStyle name="Normal 12 3 2 2 2 2 3" xfId="6094"/>
    <cellStyle name="Normal 12 3 2 2 2 3" xfId="6095"/>
    <cellStyle name="Normal 12 3 2 2 2 3 2" xfId="6096"/>
    <cellStyle name="Normal 12 3 2 2 2 3 3" xfId="6097"/>
    <cellStyle name="Normal 12 3 2 2 2 4" xfId="6098"/>
    <cellStyle name="Normal 12 3 2 2 2 5" xfId="6099"/>
    <cellStyle name="Normal 12 3 2 2 3" xfId="6100"/>
    <cellStyle name="Normal 12 3 2 2 3 2" xfId="6101"/>
    <cellStyle name="Normal 12 3 2 2 3 3" xfId="6102"/>
    <cellStyle name="Normal 12 3 2 2 4" xfId="6103"/>
    <cellStyle name="Normal 12 3 2 2 4 2" xfId="6104"/>
    <cellStyle name="Normal 12 3 2 2 4 3" xfId="6105"/>
    <cellStyle name="Normal 12 3 2 2 5" xfId="6106"/>
    <cellStyle name="Normal 12 3 2 2 6" xfId="6107"/>
    <cellStyle name="Normal 12 3 2 3" xfId="6108"/>
    <cellStyle name="Normal 12 3 2 3 2" xfId="6109"/>
    <cellStyle name="Normal 12 3 2 3 2 2" xfId="6110"/>
    <cellStyle name="Normal 12 3 2 3 2 3" xfId="6111"/>
    <cellStyle name="Normal 12 3 2 3 3" xfId="6112"/>
    <cellStyle name="Normal 12 3 2 3 3 2" xfId="6113"/>
    <cellStyle name="Normal 12 3 2 3 3 3" xfId="6114"/>
    <cellStyle name="Normal 12 3 2 3 4" xfId="6115"/>
    <cellStyle name="Normal 12 3 2 3 5" xfId="6116"/>
    <cellStyle name="Normal 12 3 2 4" xfId="6117"/>
    <cellStyle name="Normal 12 3 2 4 2" xfId="6118"/>
    <cellStyle name="Normal 12 3 2 4 3" xfId="6119"/>
    <cellStyle name="Normal 12 3 2 5" xfId="6120"/>
    <cellStyle name="Normal 12 3 2 5 2" xfId="6121"/>
    <cellStyle name="Normal 12 3 2 5 3" xfId="6122"/>
    <cellStyle name="Normal 12 3 2 6" xfId="6123"/>
    <cellStyle name="Normal 12 3 2 7" xfId="6124"/>
    <cellStyle name="Normal 12 3 3" xfId="6125"/>
    <cellStyle name="Normal 12 3 3 2" xfId="6126"/>
    <cellStyle name="Normal 12 3 3 2 2" xfId="6127"/>
    <cellStyle name="Normal 12 3 3 2 2 2" xfId="6128"/>
    <cellStyle name="Normal 12 3 3 2 2 3" xfId="6129"/>
    <cellStyle name="Normal 12 3 3 2 3" xfId="6130"/>
    <cellStyle name="Normal 12 3 3 2 3 2" xfId="6131"/>
    <cellStyle name="Normal 12 3 3 2 3 3" xfId="6132"/>
    <cellStyle name="Normal 12 3 3 2 4" xfId="6133"/>
    <cellStyle name="Normal 12 3 3 2 5" xfId="6134"/>
    <cellStyle name="Normal 12 3 3 3" xfId="6135"/>
    <cellStyle name="Normal 12 3 3 3 2" xfId="6136"/>
    <cellStyle name="Normal 12 3 3 3 3" xfId="6137"/>
    <cellStyle name="Normal 12 3 3 4" xfId="6138"/>
    <cellStyle name="Normal 12 3 3 4 2" xfId="6139"/>
    <cellStyle name="Normal 12 3 3 4 3" xfId="6140"/>
    <cellStyle name="Normal 12 3 3 5" xfId="6141"/>
    <cellStyle name="Normal 12 3 3 6" xfId="6142"/>
    <cellStyle name="Normal 12 3 4" xfId="6143"/>
    <cellStyle name="Normal 12 3 4 2" xfId="6144"/>
    <cellStyle name="Normal 12 3 4 2 2" xfId="6145"/>
    <cellStyle name="Normal 12 3 4 2 3" xfId="6146"/>
    <cellStyle name="Normal 12 3 4 3" xfId="6147"/>
    <cellStyle name="Normal 12 3 4 3 2" xfId="6148"/>
    <cellStyle name="Normal 12 3 4 3 3" xfId="6149"/>
    <cellStyle name="Normal 12 3 4 4" xfId="6150"/>
    <cellStyle name="Normal 12 3 4 5" xfId="6151"/>
    <cellStyle name="Normal 12 3 5" xfId="6152"/>
    <cellStyle name="Normal 12 3 5 2" xfId="6153"/>
    <cellStyle name="Normal 12 3 5 3" xfId="6154"/>
    <cellStyle name="Normal 12 3 6" xfId="6155"/>
    <cellStyle name="Normal 12 3 6 2" xfId="6156"/>
    <cellStyle name="Normal 12 3 6 3" xfId="6157"/>
    <cellStyle name="Normal 12 3 7" xfId="6158"/>
    <cellStyle name="Normal 12 3 8" xfId="6159"/>
    <cellStyle name="Normal 12 4" xfId="6160"/>
    <cellStyle name="Normal 12 4 2" xfId="6161"/>
    <cellStyle name="Normal 12 4 2 2" xfId="6162"/>
    <cellStyle name="Normal 12 4 2 2 2" xfId="6163"/>
    <cellStyle name="Normal 12 4 2 2 2 2" xfId="6164"/>
    <cellStyle name="Normal 12 4 2 2 2 2 2" xfId="6165"/>
    <cellStyle name="Normal 12 4 2 2 2 2 3" xfId="6166"/>
    <cellStyle name="Normal 12 4 2 2 2 3" xfId="6167"/>
    <cellStyle name="Normal 12 4 2 2 2 3 2" xfId="6168"/>
    <cellStyle name="Normal 12 4 2 2 2 3 3" xfId="6169"/>
    <cellStyle name="Normal 12 4 2 2 2 4" xfId="6170"/>
    <cellStyle name="Normal 12 4 2 2 2 5" xfId="6171"/>
    <cellStyle name="Normal 12 4 2 2 3" xfId="6172"/>
    <cellStyle name="Normal 12 4 2 2 3 2" xfId="6173"/>
    <cellStyle name="Normal 12 4 2 2 3 3" xfId="6174"/>
    <cellStyle name="Normal 12 4 2 2 4" xfId="6175"/>
    <cellStyle name="Normal 12 4 2 2 4 2" xfId="6176"/>
    <cellStyle name="Normal 12 4 2 2 4 3" xfId="6177"/>
    <cellStyle name="Normal 12 4 2 2 5" xfId="6178"/>
    <cellStyle name="Normal 12 4 2 2 6" xfId="6179"/>
    <cellStyle name="Normal 12 4 2 3" xfId="6180"/>
    <cellStyle name="Normal 12 4 2 3 2" xfId="6181"/>
    <cellStyle name="Normal 12 4 2 3 2 2" xfId="6182"/>
    <cellStyle name="Normal 12 4 2 3 2 3" xfId="6183"/>
    <cellStyle name="Normal 12 4 2 3 3" xfId="6184"/>
    <cellStyle name="Normal 12 4 2 3 3 2" xfId="6185"/>
    <cellStyle name="Normal 12 4 2 3 3 3" xfId="6186"/>
    <cellStyle name="Normal 12 4 2 3 4" xfId="6187"/>
    <cellStyle name="Normal 12 4 2 3 5" xfId="6188"/>
    <cellStyle name="Normal 12 4 2 4" xfId="6189"/>
    <cellStyle name="Normal 12 4 2 4 2" xfId="6190"/>
    <cellStyle name="Normal 12 4 2 4 3" xfId="6191"/>
    <cellStyle name="Normal 12 4 2 5" xfId="6192"/>
    <cellStyle name="Normal 12 4 2 5 2" xfId="6193"/>
    <cellStyle name="Normal 12 4 2 5 3" xfId="6194"/>
    <cellStyle name="Normal 12 4 2 6" xfId="6195"/>
    <cellStyle name="Normal 12 4 2 7" xfId="6196"/>
    <cellStyle name="Normal 12 4 3" xfId="6197"/>
    <cellStyle name="Normal 12 4 3 2" xfId="6198"/>
    <cellStyle name="Normal 12 4 3 2 2" xfId="6199"/>
    <cellStyle name="Normal 12 4 3 2 2 2" xfId="6200"/>
    <cellStyle name="Normal 12 4 3 2 2 3" xfId="6201"/>
    <cellStyle name="Normal 12 4 3 2 3" xfId="6202"/>
    <cellStyle name="Normal 12 4 3 2 3 2" xfId="6203"/>
    <cellStyle name="Normal 12 4 3 2 3 3" xfId="6204"/>
    <cellStyle name="Normal 12 4 3 2 4" xfId="6205"/>
    <cellStyle name="Normal 12 4 3 2 5" xfId="6206"/>
    <cellStyle name="Normal 12 4 3 3" xfId="6207"/>
    <cellStyle name="Normal 12 4 3 3 2" xfId="6208"/>
    <cellStyle name="Normal 12 4 3 3 3" xfId="6209"/>
    <cellStyle name="Normal 12 4 3 4" xfId="6210"/>
    <cellStyle name="Normal 12 4 3 4 2" xfId="6211"/>
    <cellStyle name="Normal 12 4 3 4 3" xfId="6212"/>
    <cellStyle name="Normal 12 4 3 5" xfId="6213"/>
    <cellStyle name="Normal 12 4 3 6" xfId="6214"/>
    <cellStyle name="Normal 12 4 4" xfId="6215"/>
    <cellStyle name="Normal 12 4 4 2" xfId="6216"/>
    <cellStyle name="Normal 12 4 4 2 2" xfId="6217"/>
    <cellStyle name="Normal 12 4 4 2 3" xfId="6218"/>
    <cellStyle name="Normal 12 4 4 3" xfId="6219"/>
    <cellStyle name="Normal 12 4 4 3 2" xfId="6220"/>
    <cellStyle name="Normal 12 4 4 3 3" xfId="6221"/>
    <cellStyle name="Normal 12 4 4 4" xfId="6222"/>
    <cellStyle name="Normal 12 4 4 5" xfId="6223"/>
    <cellStyle name="Normal 12 4 5" xfId="6224"/>
    <cellStyle name="Normal 12 4 5 2" xfId="6225"/>
    <cellStyle name="Normal 12 4 5 3" xfId="6226"/>
    <cellStyle name="Normal 12 4 6" xfId="6227"/>
    <cellStyle name="Normal 12 4 6 2" xfId="6228"/>
    <cellStyle name="Normal 12 4 6 3" xfId="6229"/>
    <cellStyle name="Normal 12 4 7" xfId="6230"/>
    <cellStyle name="Normal 12 4 8" xfId="6231"/>
    <cellStyle name="Normal 12 5" xfId="6232"/>
    <cellStyle name="Normal 12 5 2" xfId="6233"/>
    <cellStyle name="Normal 12 5 2 2" xfId="6234"/>
    <cellStyle name="Normal 12 5 2 2 2" xfId="6235"/>
    <cellStyle name="Normal 12 5 2 2 2 2" xfId="6236"/>
    <cellStyle name="Normal 12 5 2 2 2 3" xfId="6237"/>
    <cellStyle name="Normal 12 5 2 2 3" xfId="6238"/>
    <cellStyle name="Normal 12 5 2 2 3 2" xfId="6239"/>
    <cellStyle name="Normal 12 5 2 2 3 3" xfId="6240"/>
    <cellStyle name="Normal 12 5 2 2 4" xfId="6241"/>
    <cellStyle name="Normal 12 5 2 2 5" xfId="6242"/>
    <cellStyle name="Normal 12 5 2 3" xfId="6243"/>
    <cellStyle name="Normal 12 5 2 3 2" xfId="6244"/>
    <cellStyle name="Normal 12 5 2 3 3" xfId="6245"/>
    <cellStyle name="Normal 12 5 2 4" xfId="6246"/>
    <cellStyle name="Normal 12 5 2 4 2" xfId="6247"/>
    <cellStyle name="Normal 12 5 2 4 3" xfId="6248"/>
    <cellStyle name="Normal 12 5 2 5" xfId="6249"/>
    <cellStyle name="Normal 12 5 2 6" xfId="6250"/>
    <cellStyle name="Normal 12 5 3" xfId="6251"/>
    <cellStyle name="Normal 12 5 3 2" xfId="6252"/>
    <cellStyle name="Normal 12 5 3 2 2" xfId="6253"/>
    <cellStyle name="Normal 12 5 3 2 3" xfId="6254"/>
    <cellStyle name="Normal 12 5 3 3" xfId="6255"/>
    <cellStyle name="Normal 12 5 3 3 2" xfId="6256"/>
    <cellStyle name="Normal 12 5 3 3 3" xfId="6257"/>
    <cellStyle name="Normal 12 5 3 4" xfId="6258"/>
    <cellStyle name="Normal 12 5 3 5" xfId="6259"/>
    <cellStyle name="Normal 12 5 4" xfId="6260"/>
    <cellStyle name="Normal 12 5 4 2" xfId="6261"/>
    <cellStyle name="Normal 12 5 4 3" xfId="6262"/>
    <cellStyle name="Normal 12 5 5" xfId="6263"/>
    <cellStyle name="Normal 12 5 5 2" xfId="6264"/>
    <cellStyle name="Normal 12 5 5 3" xfId="6265"/>
    <cellStyle name="Normal 12 5 6" xfId="6266"/>
    <cellStyle name="Normal 12 5 7" xfId="6267"/>
    <cellStyle name="Normal 12 6" xfId="6268"/>
    <cellStyle name="Normal 12 6 2" xfId="6269"/>
    <cellStyle name="Normal 12 6 2 2" xfId="6270"/>
    <cellStyle name="Normal 12 6 2 2 2" xfId="6271"/>
    <cellStyle name="Normal 12 6 2 2 3" xfId="6272"/>
    <cellStyle name="Normal 12 6 2 3" xfId="6273"/>
    <cellStyle name="Normal 12 6 2 3 2" xfId="6274"/>
    <cellStyle name="Normal 12 6 2 3 3" xfId="6275"/>
    <cellStyle name="Normal 12 6 2 4" xfId="6276"/>
    <cellStyle name="Normal 12 6 2 5" xfId="6277"/>
    <cellStyle name="Normal 12 6 3" xfId="6278"/>
    <cellStyle name="Normal 12 6 3 2" xfId="6279"/>
    <cellStyle name="Normal 12 6 3 3" xfId="6280"/>
    <cellStyle name="Normal 12 6 4" xfId="6281"/>
    <cellStyle name="Normal 12 6 4 2" xfId="6282"/>
    <cellStyle name="Normal 12 6 4 3" xfId="6283"/>
    <cellStyle name="Normal 12 6 5" xfId="6284"/>
    <cellStyle name="Normal 12 6 6" xfId="6285"/>
    <cellStyle name="Normal 12 7" xfId="6286"/>
    <cellStyle name="Normal 12 7 2" xfId="6287"/>
    <cellStyle name="Normal 12 7 2 2" xfId="6288"/>
    <cellStyle name="Normal 12 7 2 3" xfId="6289"/>
    <cellStyle name="Normal 12 7 3" xfId="6290"/>
    <cellStyle name="Normal 12 7 3 2" xfId="6291"/>
    <cellStyle name="Normal 12 7 3 3" xfId="6292"/>
    <cellStyle name="Normal 12 7 4" xfId="6293"/>
    <cellStyle name="Normal 12 7 5" xfId="6294"/>
    <cellStyle name="Normal 12 8" xfId="6295"/>
    <cellStyle name="Normal 12 8 2" xfId="6296"/>
    <cellStyle name="Normal 12 8 3" xfId="6297"/>
    <cellStyle name="Normal 12 9" xfId="6298"/>
    <cellStyle name="Normal 12 9 2" xfId="6299"/>
    <cellStyle name="Normal 12 9 3" xfId="6300"/>
    <cellStyle name="Normal 12_2180" xfId="6301"/>
    <cellStyle name="Normal 120" xfId="6302"/>
    <cellStyle name="Normal 121" xfId="6303"/>
    <cellStyle name="Normal 122" xfId="6304"/>
    <cellStyle name="Normal 123" xfId="6305"/>
    <cellStyle name="Normal 124" xfId="6306"/>
    <cellStyle name="Normal 125" xfId="6307"/>
    <cellStyle name="Normal 126" xfId="6308"/>
    <cellStyle name="Normal 127" xfId="6309"/>
    <cellStyle name="Normal 128" xfId="6310"/>
    <cellStyle name="Normal 128 2" xfId="6311"/>
    <cellStyle name="Normal 129" xfId="6312"/>
    <cellStyle name="Normal 13" xfId="159"/>
    <cellStyle name="Normal 13 10" xfId="6313"/>
    <cellStyle name="Normal 13 11" xfId="6314"/>
    <cellStyle name="Normal 13 2" xfId="340"/>
    <cellStyle name="Normal 13 2 2" xfId="6315"/>
    <cellStyle name="Normal 13 2 2 2" xfId="6316"/>
    <cellStyle name="Normal 13 2 2 2 2" xfId="6317"/>
    <cellStyle name="Normal 13 2 2 2 2 2" xfId="6318"/>
    <cellStyle name="Normal 13 2 2 2 2 2 2" xfId="6319"/>
    <cellStyle name="Normal 13 2 2 2 2 2 2 2" xfId="6320"/>
    <cellStyle name="Normal 13 2 2 2 2 2 2 3" xfId="6321"/>
    <cellStyle name="Normal 13 2 2 2 2 2 3" xfId="6322"/>
    <cellStyle name="Normal 13 2 2 2 2 2 3 2" xfId="6323"/>
    <cellStyle name="Normal 13 2 2 2 2 2 3 3" xfId="6324"/>
    <cellStyle name="Normal 13 2 2 2 2 2 4" xfId="6325"/>
    <cellStyle name="Normal 13 2 2 2 2 2 5" xfId="6326"/>
    <cellStyle name="Normal 13 2 2 2 2 3" xfId="6327"/>
    <cellStyle name="Normal 13 2 2 2 2 3 2" xfId="6328"/>
    <cellStyle name="Normal 13 2 2 2 2 3 3" xfId="6329"/>
    <cellStyle name="Normal 13 2 2 2 2 4" xfId="6330"/>
    <cellStyle name="Normal 13 2 2 2 2 4 2" xfId="6331"/>
    <cellStyle name="Normal 13 2 2 2 2 4 3" xfId="6332"/>
    <cellStyle name="Normal 13 2 2 2 2 5" xfId="6333"/>
    <cellStyle name="Normal 13 2 2 2 2 6" xfId="6334"/>
    <cellStyle name="Normal 13 2 2 2 3" xfId="6335"/>
    <cellStyle name="Normal 13 2 2 2 3 2" xfId="6336"/>
    <cellStyle name="Normal 13 2 2 2 3 2 2" xfId="6337"/>
    <cellStyle name="Normal 13 2 2 2 3 2 3" xfId="6338"/>
    <cellStyle name="Normal 13 2 2 2 3 3" xfId="6339"/>
    <cellStyle name="Normal 13 2 2 2 3 3 2" xfId="6340"/>
    <cellStyle name="Normal 13 2 2 2 3 3 3" xfId="6341"/>
    <cellStyle name="Normal 13 2 2 2 3 4" xfId="6342"/>
    <cellStyle name="Normal 13 2 2 2 3 5" xfId="6343"/>
    <cellStyle name="Normal 13 2 2 2 3 6" xfId="34875"/>
    <cellStyle name="Normal 13 2 2 2 4" xfId="6344"/>
    <cellStyle name="Normal 13 2 2 2 4 2" xfId="6345"/>
    <cellStyle name="Normal 13 2 2 2 4 3" xfId="6346"/>
    <cellStyle name="Normal 13 2 2 2 5" xfId="6347"/>
    <cellStyle name="Normal 13 2 2 2 5 2" xfId="6348"/>
    <cellStyle name="Normal 13 2 2 2 5 3" xfId="6349"/>
    <cellStyle name="Normal 13 2 2 2 6" xfId="6350"/>
    <cellStyle name="Normal 13 2 2 2 7" xfId="6351"/>
    <cellStyle name="Normal 13 2 2 3" xfId="6352"/>
    <cellStyle name="Normal 13 2 2 3 2" xfId="6353"/>
    <cellStyle name="Normal 13 2 2 3 2 2" xfId="6354"/>
    <cellStyle name="Normal 13 2 2 3 2 2 2" xfId="6355"/>
    <cellStyle name="Normal 13 2 2 3 2 2 3" xfId="6356"/>
    <cellStyle name="Normal 13 2 2 3 2 3" xfId="6357"/>
    <cellStyle name="Normal 13 2 2 3 2 3 2" xfId="6358"/>
    <cellStyle name="Normal 13 2 2 3 2 3 3" xfId="6359"/>
    <cellStyle name="Normal 13 2 2 3 2 4" xfId="6360"/>
    <cellStyle name="Normal 13 2 2 3 2 5" xfId="6361"/>
    <cellStyle name="Normal 13 2 2 3 3" xfId="6362"/>
    <cellStyle name="Normal 13 2 2 3 3 2" xfId="6363"/>
    <cellStyle name="Normal 13 2 2 3 3 3" xfId="6364"/>
    <cellStyle name="Normal 13 2 2 3 4" xfId="6365"/>
    <cellStyle name="Normal 13 2 2 3 4 2" xfId="6366"/>
    <cellStyle name="Normal 13 2 2 3 4 3" xfId="6367"/>
    <cellStyle name="Normal 13 2 2 3 5" xfId="6368"/>
    <cellStyle name="Normal 13 2 2 3 6" xfId="6369"/>
    <cellStyle name="Normal 13 2 2 4" xfId="6370"/>
    <cellStyle name="Normal 13 2 2 4 2" xfId="6371"/>
    <cellStyle name="Normal 13 2 2 4 2 2" xfId="6372"/>
    <cellStyle name="Normal 13 2 2 4 2 3" xfId="6373"/>
    <cellStyle name="Normal 13 2 2 4 3" xfId="6374"/>
    <cellStyle name="Normal 13 2 2 4 3 2" xfId="6375"/>
    <cellStyle name="Normal 13 2 2 4 3 3" xfId="6376"/>
    <cellStyle name="Normal 13 2 2 4 4" xfId="6377"/>
    <cellStyle name="Normal 13 2 2 4 5" xfId="6378"/>
    <cellStyle name="Normal 13 2 2 5" xfId="6379"/>
    <cellStyle name="Normal 13 2 2 5 2" xfId="6380"/>
    <cellStyle name="Normal 13 2 2 5 3" xfId="6381"/>
    <cellStyle name="Normal 13 2 2 6" xfId="6382"/>
    <cellStyle name="Normal 13 2 2 6 2" xfId="6383"/>
    <cellStyle name="Normal 13 2 2 6 3" xfId="6384"/>
    <cellStyle name="Normal 13 2 2 7" xfId="6385"/>
    <cellStyle name="Normal 13 2 2 8" xfId="6386"/>
    <cellStyle name="Normal 13 2 3" xfId="6387"/>
    <cellStyle name="Normal 13 2 3 2" xfId="6388"/>
    <cellStyle name="Normal 13 2 3 2 2" xfId="6389"/>
    <cellStyle name="Normal 13 2 3 2 2 2" xfId="6390"/>
    <cellStyle name="Normal 13 2 3 2 2 2 2" xfId="6391"/>
    <cellStyle name="Normal 13 2 3 2 2 2 3" xfId="6392"/>
    <cellStyle name="Normal 13 2 3 2 2 3" xfId="6393"/>
    <cellStyle name="Normal 13 2 3 2 2 3 2" xfId="6394"/>
    <cellStyle name="Normal 13 2 3 2 2 3 3" xfId="6395"/>
    <cellStyle name="Normal 13 2 3 2 2 4" xfId="6396"/>
    <cellStyle name="Normal 13 2 3 2 2 5" xfId="6397"/>
    <cellStyle name="Normal 13 2 3 2 3" xfId="6398"/>
    <cellStyle name="Normal 13 2 3 2 3 2" xfId="6399"/>
    <cellStyle name="Normal 13 2 3 2 3 3" xfId="6400"/>
    <cellStyle name="Normal 13 2 3 2 4" xfId="6401"/>
    <cellStyle name="Normal 13 2 3 2 4 2" xfId="6402"/>
    <cellStyle name="Normal 13 2 3 2 4 3" xfId="6403"/>
    <cellStyle name="Normal 13 2 3 2 5" xfId="6404"/>
    <cellStyle name="Normal 13 2 3 2 6" xfId="6405"/>
    <cellStyle name="Normal 13 2 3 3" xfId="6406"/>
    <cellStyle name="Normal 13 2 3 3 2" xfId="6407"/>
    <cellStyle name="Normal 13 2 3 3 2 2" xfId="6408"/>
    <cellStyle name="Normal 13 2 3 3 2 3" xfId="6409"/>
    <cellStyle name="Normal 13 2 3 3 3" xfId="6410"/>
    <cellStyle name="Normal 13 2 3 3 3 2" xfId="6411"/>
    <cellStyle name="Normal 13 2 3 3 3 3" xfId="6412"/>
    <cellStyle name="Normal 13 2 3 3 4" xfId="6413"/>
    <cellStyle name="Normal 13 2 3 3 5" xfId="6414"/>
    <cellStyle name="Normal 13 2 3 4" xfId="6415"/>
    <cellStyle name="Normal 13 2 3 4 2" xfId="6416"/>
    <cellStyle name="Normal 13 2 3 4 3" xfId="6417"/>
    <cellStyle name="Normal 13 2 3 5" xfId="6418"/>
    <cellStyle name="Normal 13 2 3 5 2" xfId="6419"/>
    <cellStyle name="Normal 13 2 3 5 3" xfId="6420"/>
    <cellStyle name="Normal 13 2 3 6" xfId="6421"/>
    <cellStyle name="Normal 13 2 3 7" xfId="6422"/>
    <cellStyle name="Normal 13 2 4" xfId="6423"/>
    <cellStyle name="Normal 13 2 4 2" xfId="6424"/>
    <cellStyle name="Normal 13 2 4 2 2" xfId="6425"/>
    <cellStyle name="Normal 13 2 4 2 2 2" xfId="6426"/>
    <cellStyle name="Normal 13 2 4 2 2 3" xfId="6427"/>
    <cellStyle name="Normal 13 2 4 2 3" xfId="6428"/>
    <cellStyle name="Normal 13 2 4 2 3 2" xfId="6429"/>
    <cellStyle name="Normal 13 2 4 2 3 3" xfId="6430"/>
    <cellStyle name="Normal 13 2 4 2 4" xfId="6431"/>
    <cellStyle name="Normal 13 2 4 2 5" xfId="6432"/>
    <cellStyle name="Normal 13 2 4 3" xfId="6433"/>
    <cellStyle name="Normal 13 2 4 3 2" xfId="6434"/>
    <cellStyle name="Normal 13 2 4 3 3" xfId="6435"/>
    <cellStyle name="Normal 13 2 4 4" xfId="6436"/>
    <cellStyle name="Normal 13 2 4 4 2" xfId="6437"/>
    <cellStyle name="Normal 13 2 4 4 3" xfId="6438"/>
    <cellStyle name="Normal 13 2 4 5" xfId="6439"/>
    <cellStyle name="Normal 13 2 4 6" xfId="6440"/>
    <cellStyle name="Normal 13 2 5" xfId="6441"/>
    <cellStyle name="Normal 13 2 5 2" xfId="6442"/>
    <cellStyle name="Normal 13 2 5 2 2" xfId="6443"/>
    <cellStyle name="Normal 13 2 5 2 3" xfId="6444"/>
    <cellStyle name="Normal 13 2 5 3" xfId="6445"/>
    <cellStyle name="Normal 13 2 5 3 2" xfId="6446"/>
    <cellStyle name="Normal 13 2 5 3 3" xfId="6447"/>
    <cellStyle name="Normal 13 2 5 4" xfId="6448"/>
    <cellStyle name="Normal 13 2 5 5" xfId="6449"/>
    <cellStyle name="Normal 13 2 6" xfId="6450"/>
    <cellStyle name="Normal 13 2 6 2" xfId="6451"/>
    <cellStyle name="Normal 13 2 6 3" xfId="6452"/>
    <cellStyle name="Normal 13 2 7" xfId="6453"/>
    <cellStyle name="Normal 13 2 7 2" xfId="6454"/>
    <cellStyle name="Normal 13 2 7 3" xfId="6455"/>
    <cellStyle name="Normal 13 2 8" xfId="6456"/>
    <cellStyle name="Normal 13 2 9" xfId="6457"/>
    <cellStyle name="Normal 13 3" xfId="6458"/>
    <cellStyle name="Normal 13 3 2" xfId="6459"/>
    <cellStyle name="Normal 13 3 2 2" xfId="6460"/>
    <cellStyle name="Normal 13 3 2 2 2" xfId="6461"/>
    <cellStyle name="Normal 13 3 2 2 2 2" xfId="6462"/>
    <cellStyle name="Normal 13 3 2 2 2 2 2" xfId="6463"/>
    <cellStyle name="Normal 13 3 2 2 2 2 3" xfId="6464"/>
    <cellStyle name="Normal 13 3 2 2 2 3" xfId="6465"/>
    <cellStyle name="Normal 13 3 2 2 2 3 2" xfId="6466"/>
    <cellStyle name="Normal 13 3 2 2 2 3 3" xfId="6467"/>
    <cellStyle name="Normal 13 3 2 2 2 4" xfId="6468"/>
    <cellStyle name="Normal 13 3 2 2 2 5" xfId="6469"/>
    <cellStyle name="Normal 13 3 2 2 3" xfId="6470"/>
    <cellStyle name="Normal 13 3 2 2 3 2" xfId="6471"/>
    <cellStyle name="Normal 13 3 2 2 3 3" xfId="6472"/>
    <cellStyle name="Normal 13 3 2 2 4" xfId="6473"/>
    <cellStyle name="Normal 13 3 2 2 4 2" xfId="6474"/>
    <cellStyle name="Normal 13 3 2 2 4 3" xfId="6475"/>
    <cellStyle name="Normal 13 3 2 2 5" xfId="6476"/>
    <cellStyle name="Normal 13 3 2 2 6" xfId="6477"/>
    <cellStyle name="Normal 13 3 2 3" xfId="6478"/>
    <cellStyle name="Normal 13 3 2 3 2" xfId="6479"/>
    <cellStyle name="Normal 13 3 2 3 2 2" xfId="6480"/>
    <cellStyle name="Normal 13 3 2 3 2 3" xfId="6481"/>
    <cellStyle name="Normal 13 3 2 3 3" xfId="6482"/>
    <cellStyle name="Normal 13 3 2 3 3 2" xfId="6483"/>
    <cellStyle name="Normal 13 3 2 3 3 3" xfId="6484"/>
    <cellStyle name="Normal 13 3 2 3 4" xfId="6485"/>
    <cellStyle name="Normal 13 3 2 3 5" xfId="6486"/>
    <cellStyle name="Normal 13 3 2 4" xfId="6487"/>
    <cellStyle name="Normal 13 3 2 4 2" xfId="6488"/>
    <cellStyle name="Normal 13 3 2 4 3" xfId="6489"/>
    <cellStyle name="Normal 13 3 2 5" xfId="6490"/>
    <cellStyle name="Normal 13 3 2 5 2" xfId="6491"/>
    <cellStyle name="Normal 13 3 2 5 3" xfId="6492"/>
    <cellStyle name="Normal 13 3 2 6" xfId="6493"/>
    <cellStyle name="Normal 13 3 2 7" xfId="6494"/>
    <cellStyle name="Normal 13 3 3" xfId="6495"/>
    <cellStyle name="Normal 13 3 3 2" xfId="6496"/>
    <cellStyle name="Normal 13 3 3 2 2" xfId="6497"/>
    <cellStyle name="Normal 13 3 3 2 2 2" xfId="6498"/>
    <cellStyle name="Normal 13 3 3 2 2 3" xfId="6499"/>
    <cellStyle name="Normal 13 3 3 2 3" xfId="6500"/>
    <cellStyle name="Normal 13 3 3 2 3 2" xfId="6501"/>
    <cellStyle name="Normal 13 3 3 2 3 3" xfId="6502"/>
    <cellStyle name="Normal 13 3 3 2 4" xfId="6503"/>
    <cellStyle name="Normal 13 3 3 2 5" xfId="6504"/>
    <cellStyle name="Normal 13 3 3 3" xfId="6505"/>
    <cellStyle name="Normal 13 3 3 3 2" xfId="6506"/>
    <cellStyle name="Normal 13 3 3 3 3" xfId="6507"/>
    <cellStyle name="Normal 13 3 3 4" xfId="6508"/>
    <cellStyle name="Normal 13 3 3 4 2" xfId="6509"/>
    <cellStyle name="Normal 13 3 3 4 3" xfId="6510"/>
    <cellStyle name="Normal 13 3 3 5" xfId="6511"/>
    <cellStyle name="Normal 13 3 3 6" xfId="6512"/>
    <cellStyle name="Normal 13 3 4" xfId="6513"/>
    <cellStyle name="Normal 13 3 4 2" xfId="6514"/>
    <cellStyle name="Normal 13 3 4 2 2" xfId="6515"/>
    <cellStyle name="Normal 13 3 4 2 3" xfId="6516"/>
    <cellStyle name="Normal 13 3 4 3" xfId="6517"/>
    <cellStyle name="Normal 13 3 4 3 2" xfId="6518"/>
    <cellStyle name="Normal 13 3 4 3 3" xfId="6519"/>
    <cellStyle name="Normal 13 3 4 4" xfId="6520"/>
    <cellStyle name="Normal 13 3 4 5" xfId="6521"/>
    <cellStyle name="Normal 13 3 5" xfId="6522"/>
    <cellStyle name="Normal 13 3 5 2" xfId="6523"/>
    <cellStyle name="Normal 13 3 5 3" xfId="6524"/>
    <cellStyle name="Normal 13 3 6" xfId="6525"/>
    <cellStyle name="Normal 13 3 6 2" xfId="6526"/>
    <cellStyle name="Normal 13 3 6 3" xfId="6527"/>
    <cellStyle name="Normal 13 3 7" xfId="6528"/>
    <cellStyle name="Normal 13 3 8" xfId="6529"/>
    <cellStyle name="Normal 13 4" xfId="6530"/>
    <cellStyle name="Normal 13 4 2" xfId="6531"/>
    <cellStyle name="Normal 13 4 2 2" xfId="6532"/>
    <cellStyle name="Normal 13 4 2 2 2" xfId="6533"/>
    <cellStyle name="Normal 13 4 2 2 2 2" xfId="6534"/>
    <cellStyle name="Normal 13 4 2 2 2 2 2" xfId="6535"/>
    <cellStyle name="Normal 13 4 2 2 2 2 3" xfId="6536"/>
    <cellStyle name="Normal 13 4 2 2 2 3" xfId="6537"/>
    <cellStyle name="Normal 13 4 2 2 2 3 2" xfId="6538"/>
    <cellStyle name="Normal 13 4 2 2 2 3 3" xfId="6539"/>
    <cellStyle name="Normal 13 4 2 2 2 4" xfId="6540"/>
    <cellStyle name="Normal 13 4 2 2 2 5" xfId="6541"/>
    <cellStyle name="Normal 13 4 2 2 3" xfId="6542"/>
    <cellStyle name="Normal 13 4 2 2 3 2" xfId="6543"/>
    <cellStyle name="Normal 13 4 2 2 3 3" xfId="6544"/>
    <cellStyle name="Normal 13 4 2 2 4" xfId="6545"/>
    <cellStyle name="Normal 13 4 2 2 4 2" xfId="6546"/>
    <cellStyle name="Normal 13 4 2 2 4 3" xfId="6547"/>
    <cellStyle name="Normal 13 4 2 2 5" xfId="6548"/>
    <cellStyle name="Normal 13 4 2 2 6" xfId="6549"/>
    <cellStyle name="Normal 13 4 2 3" xfId="6550"/>
    <cellStyle name="Normal 13 4 2 3 2" xfId="6551"/>
    <cellStyle name="Normal 13 4 2 3 2 2" xfId="6552"/>
    <cellStyle name="Normal 13 4 2 3 2 3" xfId="6553"/>
    <cellStyle name="Normal 13 4 2 3 3" xfId="6554"/>
    <cellStyle name="Normal 13 4 2 3 3 2" xfId="6555"/>
    <cellStyle name="Normal 13 4 2 3 3 3" xfId="6556"/>
    <cellStyle name="Normal 13 4 2 3 4" xfId="6557"/>
    <cellStyle name="Normal 13 4 2 3 5" xfId="6558"/>
    <cellStyle name="Normal 13 4 2 4" xfId="6559"/>
    <cellStyle name="Normal 13 4 2 4 2" xfId="6560"/>
    <cellStyle name="Normal 13 4 2 4 3" xfId="6561"/>
    <cellStyle name="Normal 13 4 2 5" xfId="6562"/>
    <cellStyle name="Normal 13 4 2 5 2" xfId="6563"/>
    <cellStyle name="Normal 13 4 2 5 3" xfId="6564"/>
    <cellStyle name="Normal 13 4 2 6" xfId="6565"/>
    <cellStyle name="Normal 13 4 2 7" xfId="6566"/>
    <cellStyle name="Normal 13 4 3" xfId="6567"/>
    <cellStyle name="Normal 13 4 3 2" xfId="6568"/>
    <cellStyle name="Normal 13 4 3 2 2" xfId="6569"/>
    <cellStyle name="Normal 13 4 3 2 2 2" xfId="6570"/>
    <cellStyle name="Normal 13 4 3 2 2 3" xfId="6571"/>
    <cellStyle name="Normal 13 4 3 2 3" xfId="6572"/>
    <cellStyle name="Normal 13 4 3 2 3 2" xfId="6573"/>
    <cellStyle name="Normal 13 4 3 2 3 3" xfId="6574"/>
    <cellStyle name="Normal 13 4 3 2 4" xfId="6575"/>
    <cellStyle name="Normal 13 4 3 2 5" xfId="6576"/>
    <cellStyle name="Normal 13 4 3 3" xfId="6577"/>
    <cellStyle name="Normal 13 4 3 3 2" xfId="6578"/>
    <cellStyle name="Normal 13 4 3 3 3" xfId="6579"/>
    <cellStyle name="Normal 13 4 3 4" xfId="6580"/>
    <cellStyle name="Normal 13 4 3 4 2" xfId="6581"/>
    <cellStyle name="Normal 13 4 3 4 3" xfId="6582"/>
    <cellStyle name="Normal 13 4 3 5" xfId="6583"/>
    <cellStyle name="Normal 13 4 3 6" xfId="6584"/>
    <cellStyle name="Normal 13 4 4" xfId="6585"/>
    <cellStyle name="Normal 13 4 4 2" xfId="6586"/>
    <cellStyle name="Normal 13 4 4 2 2" xfId="6587"/>
    <cellStyle name="Normal 13 4 4 2 3" xfId="6588"/>
    <cellStyle name="Normal 13 4 4 3" xfId="6589"/>
    <cellStyle name="Normal 13 4 4 3 2" xfId="6590"/>
    <cellStyle name="Normal 13 4 4 3 3" xfId="6591"/>
    <cellStyle name="Normal 13 4 4 4" xfId="6592"/>
    <cellStyle name="Normal 13 4 4 5" xfId="6593"/>
    <cellStyle name="Normal 13 4 5" xfId="6594"/>
    <cellStyle name="Normal 13 4 5 2" xfId="6595"/>
    <cellStyle name="Normal 13 4 5 3" xfId="6596"/>
    <cellStyle name="Normal 13 4 6" xfId="6597"/>
    <cellStyle name="Normal 13 4 6 2" xfId="6598"/>
    <cellStyle name="Normal 13 4 6 3" xfId="6599"/>
    <cellStyle name="Normal 13 4 7" xfId="6600"/>
    <cellStyle name="Normal 13 4 8" xfId="6601"/>
    <cellStyle name="Normal 13 5" xfId="6602"/>
    <cellStyle name="Normal 13 5 2" xfId="6603"/>
    <cellStyle name="Normal 13 5 2 2" xfId="6604"/>
    <cellStyle name="Normal 13 5 2 2 2" xfId="6605"/>
    <cellStyle name="Normal 13 5 2 2 2 2" xfId="6606"/>
    <cellStyle name="Normal 13 5 2 2 2 3" xfId="6607"/>
    <cellStyle name="Normal 13 5 2 2 3" xfId="6608"/>
    <cellStyle name="Normal 13 5 2 2 3 2" xfId="6609"/>
    <cellStyle name="Normal 13 5 2 2 3 3" xfId="6610"/>
    <cellStyle name="Normal 13 5 2 2 4" xfId="6611"/>
    <cellStyle name="Normal 13 5 2 2 5" xfId="6612"/>
    <cellStyle name="Normal 13 5 2 3" xfId="6613"/>
    <cellStyle name="Normal 13 5 2 3 2" xfId="6614"/>
    <cellStyle name="Normal 13 5 2 3 3" xfId="6615"/>
    <cellStyle name="Normal 13 5 2 4" xfId="6616"/>
    <cellStyle name="Normal 13 5 2 4 2" xfId="6617"/>
    <cellStyle name="Normal 13 5 2 4 3" xfId="6618"/>
    <cellStyle name="Normal 13 5 2 5" xfId="6619"/>
    <cellStyle name="Normal 13 5 2 6" xfId="6620"/>
    <cellStyle name="Normal 13 5 3" xfId="6621"/>
    <cellStyle name="Normal 13 5 3 2" xfId="6622"/>
    <cellStyle name="Normal 13 5 3 2 2" xfId="6623"/>
    <cellStyle name="Normal 13 5 3 2 3" xfId="6624"/>
    <cellStyle name="Normal 13 5 3 3" xfId="6625"/>
    <cellStyle name="Normal 13 5 3 3 2" xfId="6626"/>
    <cellStyle name="Normal 13 5 3 3 3" xfId="6627"/>
    <cellStyle name="Normal 13 5 3 4" xfId="6628"/>
    <cellStyle name="Normal 13 5 3 5" xfId="6629"/>
    <cellStyle name="Normal 13 5 4" xfId="6630"/>
    <cellStyle name="Normal 13 5 4 2" xfId="6631"/>
    <cellStyle name="Normal 13 5 4 3" xfId="6632"/>
    <cellStyle name="Normal 13 5 5" xfId="6633"/>
    <cellStyle name="Normal 13 5 5 2" xfId="6634"/>
    <cellStyle name="Normal 13 5 5 3" xfId="6635"/>
    <cellStyle name="Normal 13 5 6" xfId="6636"/>
    <cellStyle name="Normal 13 5 7" xfId="6637"/>
    <cellStyle name="Normal 13 6" xfId="6638"/>
    <cellStyle name="Normal 13 6 2" xfId="6639"/>
    <cellStyle name="Normal 13 6 2 2" xfId="6640"/>
    <cellStyle name="Normal 13 6 2 2 2" xfId="6641"/>
    <cellStyle name="Normal 13 6 2 2 3" xfId="6642"/>
    <cellStyle name="Normal 13 6 2 3" xfId="6643"/>
    <cellStyle name="Normal 13 6 2 3 2" xfId="6644"/>
    <cellStyle name="Normal 13 6 2 3 3" xfId="6645"/>
    <cellStyle name="Normal 13 6 2 4" xfId="6646"/>
    <cellStyle name="Normal 13 6 2 5" xfId="6647"/>
    <cellStyle name="Normal 13 6 3" xfId="6648"/>
    <cellStyle name="Normal 13 6 3 2" xfId="6649"/>
    <cellStyle name="Normal 13 6 3 3" xfId="6650"/>
    <cellStyle name="Normal 13 6 4" xfId="6651"/>
    <cellStyle name="Normal 13 6 4 2" xfId="6652"/>
    <cellStyle name="Normal 13 6 4 3" xfId="6653"/>
    <cellStyle name="Normal 13 6 5" xfId="6654"/>
    <cellStyle name="Normal 13 6 6" xfId="6655"/>
    <cellStyle name="Normal 13 7" xfId="6656"/>
    <cellStyle name="Normal 13 7 2" xfId="6657"/>
    <cellStyle name="Normal 13 7 2 2" xfId="6658"/>
    <cellStyle name="Normal 13 7 2 3" xfId="6659"/>
    <cellStyle name="Normal 13 7 3" xfId="6660"/>
    <cellStyle name="Normal 13 7 3 2" xfId="6661"/>
    <cellStyle name="Normal 13 7 3 3" xfId="6662"/>
    <cellStyle name="Normal 13 7 4" xfId="6663"/>
    <cellStyle name="Normal 13 7 5" xfId="6664"/>
    <cellStyle name="Normal 13 8" xfId="6665"/>
    <cellStyle name="Normal 13 8 2" xfId="6666"/>
    <cellStyle name="Normal 13 8 3" xfId="6667"/>
    <cellStyle name="Normal 13 9" xfId="6668"/>
    <cellStyle name="Normal 13 9 2" xfId="6669"/>
    <cellStyle name="Normal 13 9 3" xfId="6670"/>
    <cellStyle name="Normal 13_Rate Sheet" xfId="37430"/>
    <cellStyle name="Normal 130" xfId="6671"/>
    <cellStyle name="Normal 131" xfId="6672"/>
    <cellStyle name="Normal 132" xfId="6673"/>
    <cellStyle name="Normal 133" xfId="6674"/>
    <cellStyle name="Normal 134" xfId="6675"/>
    <cellStyle name="Normal 135" xfId="6676"/>
    <cellStyle name="Normal 136" xfId="6677"/>
    <cellStyle name="Normal 137" xfId="6678"/>
    <cellStyle name="Normal 138" xfId="6679"/>
    <cellStyle name="Normal 139" xfId="6680"/>
    <cellStyle name="Normal 14" xfId="160"/>
    <cellStyle name="Normal 14 10" xfId="6681"/>
    <cellStyle name="Normal 14 2" xfId="341"/>
    <cellStyle name="Normal 14 2 2" xfId="6682"/>
    <cellStyle name="Normal 14 2 2 2" xfId="6683"/>
    <cellStyle name="Normal 14 2 2 2 2" xfId="6684"/>
    <cellStyle name="Normal 14 2 2 2 2 2" xfId="6685"/>
    <cellStyle name="Normal 14 2 2 2 2 2 2" xfId="6686"/>
    <cellStyle name="Normal 14 2 2 2 2 2 3" xfId="6687"/>
    <cellStyle name="Normal 14 2 2 2 2 3" xfId="6688"/>
    <cellStyle name="Normal 14 2 2 2 2 3 2" xfId="6689"/>
    <cellStyle name="Normal 14 2 2 2 2 3 3" xfId="6690"/>
    <cellStyle name="Normal 14 2 2 2 2 4" xfId="6691"/>
    <cellStyle name="Normal 14 2 2 2 2 5" xfId="6692"/>
    <cellStyle name="Normal 14 2 2 2 3" xfId="6693"/>
    <cellStyle name="Normal 14 2 2 2 3 2" xfId="6694"/>
    <cellStyle name="Normal 14 2 2 2 3 3" xfId="6695"/>
    <cellStyle name="Normal 14 2 2 2 4" xfId="6696"/>
    <cellStyle name="Normal 14 2 2 2 4 2" xfId="6697"/>
    <cellStyle name="Normal 14 2 2 2 4 3" xfId="6698"/>
    <cellStyle name="Normal 14 2 2 2 5" xfId="6699"/>
    <cellStyle name="Normal 14 2 2 2 6" xfId="6700"/>
    <cellStyle name="Normal 14 2 2 3" xfId="6701"/>
    <cellStyle name="Normal 14 2 2 3 2" xfId="6702"/>
    <cellStyle name="Normal 14 2 2 3 2 2" xfId="6703"/>
    <cellStyle name="Normal 14 2 2 3 2 3" xfId="6704"/>
    <cellStyle name="Normal 14 2 2 3 3" xfId="6705"/>
    <cellStyle name="Normal 14 2 2 3 3 2" xfId="6706"/>
    <cellStyle name="Normal 14 2 2 3 3 3" xfId="6707"/>
    <cellStyle name="Normal 14 2 2 3 4" xfId="6708"/>
    <cellStyle name="Normal 14 2 2 3 5" xfId="6709"/>
    <cellStyle name="Normal 14 2 2 4" xfId="6710"/>
    <cellStyle name="Normal 14 2 2 4 2" xfId="6711"/>
    <cellStyle name="Normal 14 2 2 4 3" xfId="6712"/>
    <cellStyle name="Normal 14 2 2 5" xfId="6713"/>
    <cellStyle name="Normal 14 2 2 5 2" xfId="6714"/>
    <cellStyle name="Normal 14 2 2 5 3" xfId="6715"/>
    <cellStyle name="Normal 14 2 2 6" xfId="6716"/>
    <cellStyle name="Normal 14 2 2 7" xfId="6717"/>
    <cellStyle name="Normal 14 2 3" xfId="6718"/>
    <cellStyle name="Normal 14 2 3 2" xfId="6719"/>
    <cellStyle name="Normal 14 2 3 2 2" xfId="6720"/>
    <cellStyle name="Normal 14 2 3 2 2 2" xfId="6721"/>
    <cellStyle name="Normal 14 2 3 2 2 3" xfId="6722"/>
    <cellStyle name="Normal 14 2 3 2 3" xfId="6723"/>
    <cellStyle name="Normal 14 2 3 2 3 2" xfId="6724"/>
    <cellStyle name="Normal 14 2 3 2 3 3" xfId="6725"/>
    <cellStyle name="Normal 14 2 3 2 4" xfId="6726"/>
    <cellStyle name="Normal 14 2 3 2 5" xfId="6727"/>
    <cellStyle name="Normal 14 2 3 3" xfId="6728"/>
    <cellStyle name="Normal 14 2 3 3 2" xfId="6729"/>
    <cellStyle name="Normal 14 2 3 3 3" xfId="6730"/>
    <cellStyle name="Normal 14 2 3 4" xfId="6731"/>
    <cellStyle name="Normal 14 2 3 4 2" xfId="6732"/>
    <cellStyle name="Normal 14 2 3 4 3" xfId="6733"/>
    <cellStyle name="Normal 14 2 3 5" xfId="6734"/>
    <cellStyle name="Normal 14 2 3 6" xfId="6735"/>
    <cellStyle name="Normal 14 2 4" xfId="6736"/>
    <cellStyle name="Normal 14 2 4 2" xfId="6737"/>
    <cellStyle name="Normal 14 2 4 2 2" xfId="6738"/>
    <cellStyle name="Normal 14 2 4 2 3" xfId="6739"/>
    <cellStyle name="Normal 14 2 4 3" xfId="6740"/>
    <cellStyle name="Normal 14 2 4 3 2" xfId="6741"/>
    <cellStyle name="Normal 14 2 4 3 3" xfId="6742"/>
    <cellStyle name="Normal 14 2 4 4" xfId="6743"/>
    <cellStyle name="Normal 14 2 4 5" xfId="6744"/>
    <cellStyle name="Normal 14 2 5" xfId="6745"/>
    <cellStyle name="Normal 14 2 5 2" xfId="6746"/>
    <cellStyle name="Normal 14 2 5 3" xfId="6747"/>
    <cellStyle name="Normal 14 2 6" xfId="6748"/>
    <cellStyle name="Normal 14 2 6 2" xfId="6749"/>
    <cellStyle name="Normal 14 2 6 3" xfId="6750"/>
    <cellStyle name="Normal 14 2 7" xfId="6751"/>
    <cellStyle name="Normal 14 2 8" xfId="6752"/>
    <cellStyle name="Normal 14 3" xfId="6753"/>
    <cellStyle name="Normal 14 3 2" xfId="6754"/>
    <cellStyle name="Normal 14 3 2 2" xfId="6755"/>
    <cellStyle name="Normal 14 3 2 2 2" xfId="6756"/>
    <cellStyle name="Normal 14 3 2 2 2 2" xfId="6757"/>
    <cellStyle name="Normal 14 3 2 2 2 2 2" xfId="6758"/>
    <cellStyle name="Normal 14 3 2 2 2 2 3" xfId="6759"/>
    <cellStyle name="Normal 14 3 2 2 2 3" xfId="6760"/>
    <cellStyle name="Normal 14 3 2 2 2 3 2" xfId="6761"/>
    <cellStyle name="Normal 14 3 2 2 2 3 3" xfId="6762"/>
    <cellStyle name="Normal 14 3 2 2 2 4" xfId="6763"/>
    <cellStyle name="Normal 14 3 2 2 2 5" xfId="6764"/>
    <cellStyle name="Normal 14 3 2 2 3" xfId="6765"/>
    <cellStyle name="Normal 14 3 2 2 3 2" xfId="6766"/>
    <cellStyle name="Normal 14 3 2 2 3 3" xfId="6767"/>
    <cellStyle name="Normal 14 3 2 2 4" xfId="6768"/>
    <cellStyle name="Normal 14 3 2 2 4 2" xfId="6769"/>
    <cellStyle name="Normal 14 3 2 2 4 3" xfId="6770"/>
    <cellStyle name="Normal 14 3 2 2 5" xfId="6771"/>
    <cellStyle name="Normal 14 3 2 2 6" xfId="6772"/>
    <cellStyle name="Normal 14 3 2 3" xfId="6773"/>
    <cellStyle name="Normal 14 3 2 3 2" xfId="6774"/>
    <cellStyle name="Normal 14 3 2 3 2 2" xfId="6775"/>
    <cellStyle name="Normal 14 3 2 3 2 3" xfId="6776"/>
    <cellStyle name="Normal 14 3 2 3 3" xfId="6777"/>
    <cellStyle name="Normal 14 3 2 3 3 2" xfId="6778"/>
    <cellStyle name="Normal 14 3 2 3 3 3" xfId="6779"/>
    <cellStyle name="Normal 14 3 2 3 4" xfId="6780"/>
    <cellStyle name="Normal 14 3 2 3 5" xfId="6781"/>
    <cellStyle name="Normal 14 3 2 4" xfId="6782"/>
    <cellStyle name="Normal 14 3 2 4 2" xfId="6783"/>
    <cellStyle name="Normal 14 3 2 4 3" xfId="6784"/>
    <cellStyle name="Normal 14 3 2 5" xfId="6785"/>
    <cellStyle name="Normal 14 3 2 5 2" xfId="6786"/>
    <cellStyle name="Normal 14 3 2 5 3" xfId="6787"/>
    <cellStyle name="Normal 14 3 2 6" xfId="6788"/>
    <cellStyle name="Normal 14 3 2 7" xfId="6789"/>
    <cellStyle name="Normal 14 3 3" xfId="6790"/>
    <cellStyle name="Normal 14 3 3 2" xfId="6791"/>
    <cellStyle name="Normal 14 3 3 2 2" xfId="6792"/>
    <cellStyle name="Normal 14 3 3 2 2 2" xfId="6793"/>
    <cellStyle name="Normal 14 3 3 2 2 3" xfId="6794"/>
    <cellStyle name="Normal 14 3 3 2 3" xfId="6795"/>
    <cellStyle name="Normal 14 3 3 2 3 2" xfId="6796"/>
    <cellStyle name="Normal 14 3 3 2 3 3" xfId="6797"/>
    <cellStyle name="Normal 14 3 3 2 4" xfId="6798"/>
    <cellStyle name="Normal 14 3 3 2 5" xfId="6799"/>
    <cellStyle name="Normal 14 3 3 3" xfId="6800"/>
    <cellStyle name="Normal 14 3 3 3 2" xfId="6801"/>
    <cellStyle name="Normal 14 3 3 3 3" xfId="6802"/>
    <cellStyle name="Normal 14 3 3 4" xfId="6803"/>
    <cellStyle name="Normal 14 3 3 4 2" xfId="6804"/>
    <cellStyle name="Normal 14 3 3 4 3" xfId="6805"/>
    <cellStyle name="Normal 14 3 3 5" xfId="6806"/>
    <cellStyle name="Normal 14 3 3 6" xfId="6807"/>
    <cellStyle name="Normal 14 3 4" xfId="6808"/>
    <cellStyle name="Normal 14 3 4 2" xfId="6809"/>
    <cellStyle name="Normal 14 3 4 2 2" xfId="6810"/>
    <cellStyle name="Normal 14 3 4 2 3" xfId="6811"/>
    <cellStyle name="Normal 14 3 4 3" xfId="6812"/>
    <cellStyle name="Normal 14 3 4 3 2" xfId="6813"/>
    <cellStyle name="Normal 14 3 4 3 3" xfId="6814"/>
    <cellStyle name="Normal 14 3 4 4" xfId="6815"/>
    <cellStyle name="Normal 14 3 4 5" xfId="6816"/>
    <cellStyle name="Normal 14 3 5" xfId="6817"/>
    <cellStyle name="Normal 14 3 5 2" xfId="6818"/>
    <cellStyle name="Normal 14 3 5 3" xfId="6819"/>
    <cellStyle name="Normal 14 3 6" xfId="6820"/>
    <cellStyle name="Normal 14 3 6 2" xfId="6821"/>
    <cellStyle name="Normal 14 3 6 3" xfId="6822"/>
    <cellStyle name="Normal 14 3 7" xfId="6823"/>
    <cellStyle name="Normal 14 3 8" xfId="6824"/>
    <cellStyle name="Normal 14 4" xfId="6825"/>
    <cellStyle name="Normal 14 4 2" xfId="6826"/>
    <cellStyle name="Normal 14 4 2 2" xfId="6827"/>
    <cellStyle name="Normal 14 4 2 2 2" xfId="6828"/>
    <cellStyle name="Normal 14 4 2 2 2 2" xfId="6829"/>
    <cellStyle name="Normal 14 4 2 2 2 3" xfId="6830"/>
    <cellStyle name="Normal 14 4 2 2 3" xfId="6831"/>
    <cellStyle name="Normal 14 4 2 2 3 2" xfId="6832"/>
    <cellStyle name="Normal 14 4 2 2 3 3" xfId="6833"/>
    <cellStyle name="Normal 14 4 2 2 4" xfId="6834"/>
    <cellStyle name="Normal 14 4 2 2 5" xfId="6835"/>
    <cellStyle name="Normal 14 4 2 3" xfId="6836"/>
    <cellStyle name="Normal 14 4 2 3 2" xfId="6837"/>
    <cellStyle name="Normal 14 4 2 3 3" xfId="6838"/>
    <cellStyle name="Normal 14 4 2 4" xfId="6839"/>
    <cellStyle name="Normal 14 4 2 4 2" xfId="6840"/>
    <cellStyle name="Normal 14 4 2 4 3" xfId="6841"/>
    <cellStyle name="Normal 14 4 2 5" xfId="6842"/>
    <cellStyle name="Normal 14 4 2 6" xfId="6843"/>
    <cellStyle name="Normal 14 4 3" xfId="6844"/>
    <cellStyle name="Normal 14 4 3 2" xfId="6845"/>
    <cellStyle name="Normal 14 4 3 2 2" xfId="6846"/>
    <cellStyle name="Normal 14 4 3 2 3" xfId="6847"/>
    <cellStyle name="Normal 14 4 3 3" xfId="6848"/>
    <cellStyle name="Normal 14 4 3 3 2" xfId="6849"/>
    <cellStyle name="Normal 14 4 3 3 3" xfId="6850"/>
    <cellStyle name="Normal 14 4 3 4" xfId="6851"/>
    <cellStyle name="Normal 14 4 3 5" xfId="6852"/>
    <cellStyle name="Normal 14 4 4" xfId="6853"/>
    <cellStyle name="Normal 14 4 4 2" xfId="6854"/>
    <cellStyle name="Normal 14 4 4 3" xfId="6855"/>
    <cellStyle name="Normal 14 4 5" xfId="6856"/>
    <cellStyle name="Normal 14 4 5 2" xfId="6857"/>
    <cellStyle name="Normal 14 4 5 3" xfId="6858"/>
    <cellStyle name="Normal 14 4 6" xfId="6859"/>
    <cellStyle name="Normal 14 4 7" xfId="6860"/>
    <cellStyle name="Normal 14 5" xfId="6861"/>
    <cellStyle name="Normal 14 5 2" xfId="6862"/>
    <cellStyle name="Normal 14 5 2 2" xfId="6863"/>
    <cellStyle name="Normal 14 5 2 2 2" xfId="6864"/>
    <cellStyle name="Normal 14 5 2 2 3" xfId="6865"/>
    <cellStyle name="Normal 14 5 2 3" xfId="6866"/>
    <cellStyle name="Normal 14 5 2 3 2" xfId="6867"/>
    <cellStyle name="Normal 14 5 2 3 3" xfId="6868"/>
    <cellStyle name="Normal 14 5 2 4" xfId="6869"/>
    <cellStyle name="Normal 14 5 2 5" xfId="6870"/>
    <cellStyle name="Normal 14 5 3" xfId="6871"/>
    <cellStyle name="Normal 14 5 3 2" xfId="6872"/>
    <cellStyle name="Normal 14 5 3 3" xfId="6873"/>
    <cellStyle name="Normal 14 5 4" xfId="6874"/>
    <cellStyle name="Normal 14 5 4 2" xfId="6875"/>
    <cellStyle name="Normal 14 5 4 3" xfId="6876"/>
    <cellStyle name="Normal 14 5 5" xfId="6877"/>
    <cellStyle name="Normal 14 5 6" xfId="6878"/>
    <cellStyle name="Normal 14 6" xfId="6879"/>
    <cellStyle name="Normal 14 6 2" xfId="6880"/>
    <cellStyle name="Normal 14 6 2 2" xfId="6881"/>
    <cellStyle name="Normal 14 6 2 3" xfId="6882"/>
    <cellStyle name="Normal 14 6 3" xfId="6883"/>
    <cellStyle name="Normal 14 6 3 2" xfId="6884"/>
    <cellStyle name="Normal 14 6 3 3" xfId="6885"/>
    <cellStyle name="Normal 14 6 4" xfId="6886"/>
    <cellStyle name="Normal 14 6 5" xfId="6887"/>
    <cellStyle name="Normal 14 7" xfId="6888"/>
    <cellStyle name="Normal 14 7 2" xfId="6889"/>
    <cellStyle name="Normal 14 7 3" xfId="6890"/>
    <cellStyle name="Normal 14 8" xfId="6891"/>
    <cellStyle name="Normal 14 8 2" xfId="6892"/>
    <cellStyle name="Normal 14 8 3" xfId="6893"/>
    <cellStyle name="Normal 14 9" xfId="6894"/>
    <cellStyle name="Normal 14_Rate Sheet" xfId="37431"/>
    <cellStyle name="Normal 140" xfId="6895"/>
    <cellStyle name="Normal 141" xfId="6896"/>
    <cellStyle name="Normal 142" xfId="6897"/>
    <cellStyle name="Normal 143" xfId="6898"/>
    <cellStyle name="Normal 144" xfId="37462"/>
    <cellStyle name="Normal 145" xfId="37533"/>
    <cellStyle name="Normal 146" xfId="37534"/>
    <cellStyle name="Normal 147" xfId="37535"/>
    <cellStyle name="Normal 148" xfId="37536"/>
    <cellStyle name="Normal 149" xfId="37537"/>
    <cellStyle name="Normal 15" xfId="161"/>
    <cellStyle name="Normal 15 2" xfId="342"/>
    <cellStyle name="Normal 15 2 2" xfId="6899"/>
    <cellStyle name="Normal 15 2 2 2" xfId="6900"/>
    <cellStyle name="Normal 15 2 3" xfId="6901"/>
    <cellStyle name="Normal 15 3" xfId="6902"/>
    <cellStyle name="Normal 15 3 2" xfId="6903"/>
    <cellStyle name="Normal 15 3 3" xfId="6904"/>
    <cellStyle name="Normal 15 4" xfId="6905"/>
    <cellStyle name="Normal 15 4 2" xfId="6906"/>
    <cellStyle name="Normal 15 5" xfId="6907"/>
    <cellStyle name="Normal 15 6" xfId="6908"/>
    <cellStyle name="Normal 15_Rate Sheet" xfId="37432"/>
    <cellStyle name="Normal 150" xfId="37538"/>
    <cellStyle name="Normal 151" xfId="37539"/>
    <cellStyle name="Normal 152" xfId="37540"/>
    <cellStyle name="Normal 153" xfId="37541"/>
    <cellStyle name="Normal 154" xfId="37475"/>
    <cellStyle name="Normal 155" xfId="37542"/>
    <cellStyle name="Normal 156" xfId="37543"/>
    <cellStyle name="Normal 157" xfId="37544"/>
    <cellStyle name="Normal 158" xfId="37545"/>
    <cellStyle name="Normal 159" xfId="37546"/>
    <cellStyle name="Normal 16" xfId="162"/>
    <cellStyle name="Normal 16 10" xfId="6909"/>
    <cellStyle name="Normal 16 2" xfId="343"/>
    <cellStyle name="Normal 16 2 2" xfId="6910"/>
    <cellStyle name="Normal 16 2 2 2" xfId="6911"/>
    <cellStyle name="Normal 16 2 3" xfId="6912"/>
    <cellStyle name="Normal 16 3" xfId="6913"/>
    <cellStyle name="Normal 16 3 2" xfId="6914"/>
    <cellStyle name="Normal 16 3 2 2" xfId="6915"/>
    <cellStyle name="Normal 16 3 2 2 2" xfId="6916"/>
    <cellStyle name="Normal 16 3 2 2 2 2" xfId="6917"/>
    <cellStyle name="Normal 16 3 2 2 2 2 2" xfId="6918"/>
    <cellStyle name="Normal 16 3 2 2 2 2 3" xfId="6919"/>
    <cellStyle name="Normal 16 3 2 2 2 3" xfId="6920"/>
    <cellStyle name="Normal 16 3 2 2 2 3 2" xfId="6921"/>
    <cellStyle name="Normal 16 3 2 2 2 3 3" xfId="6922"/>
    <cellStyle name="Normal 16 3 2 2 2 4" xfId="6923"/>
    <cellStyle name="Normal 16 3 2 2 2 5" xfId="6924"/>
    <cellStyle name="Normal 16 3 2 2 3" xfId="6925"/>
    <cellStyle name="Normal 16 3 2 2 3 2" xfId="6926"/>
    <cellStyle name="Normal 16 3 2 2 3 3" xfId="6927"/>
    <cellStyle name="Normal 16 3 2 2 4" xfId="6928"/>
    <cellStyle name="Normal 16 3 2 2 4 2" xfId="6929"/>
    <cellStyle name="Normal 16 3 2 2 4 3" xfId="6930"/>
    <cellStyle name="Normal 16 3 2 2 5" xfId="6931"/>
    <cellStyle name="Normal 16 3 2 2 6" xfId="6932"/>
    <cellStyle name="Normal 16 3 2 3" xfId="6933"/>
    <cellStyle name="Normal 16 3 2 3 2" xfId="6934"/>
    <cellStyle name="Normal 16 3 2 3 2 2" xfId="6935"/>
    <cellStyle name="Normal 16 3 2 3 2 3" xfId="6936"/>
    <cellStyle name="Normal 16 3 2 3 3" xfId="6937"/>
    <cellStyle name="Normal 16 3 2 3 3 2" xfId="6938"/>
    <cellStyle name="Normal 16 3 2 3 3 3" xfId="6939"/>
    <cellStyle name="Normal 16 3 2 3 4" xfId="6940"/>
    <cellStyle name="Normal 16 3 2 3 5" xfId="6941"/>
    <cellStyle name="Normal 16 3 2 4" xfId="6942"/>
    <cellStyle name="Normal 16 3 2 4 2" xfId="6943"/>
    <cellStyle name="Normal 16 3 2 4 3" xfId="6944"/>
    <cellStyle name="Normal 16 3 2 5" xfId="6945"/>
    <cellStyle name="Normal 16 3 2 5 2" xfId="6946"/>
    <cellStyle name="Normal 16 3 2 5 3" xfId="6947"/>
    <cellStyle name="Normal 16 3 2 6" xfId="6948"/>
    <cellStyle name="Normal 16 3 2 7" xfId="6949"/>
    <cellStyle name="Normal 16 3 3" xfId="6950"/>
    <cellStyle name="Normal 16 3 3 2" xfId="6951"/>
    <cellStyle name="Normal 16 3 3 2 2" xfId="6952"/>
    <cellStyle name="Normal 16 3 3 2 2 2" xfId="6953"/>
    <cellStyle name="Normal 16 3 3 2 2 3" xfId="6954"/>
    <cellStyle name="Normal 16 3 3 2 3" xfId="6955"/>
    <cellStyle name="Normal 16 3 3 2 3 2" xfId="6956"/>
    <cellStyle name="Normal 16 3 3 2 3 3" xfId="6957"/>
    <cellStyle name="Normal 16 3 3 2 4" xfId="6958"/>
    <cellStyle name="Normal 16 3 3 2 5" xfId="6959"/>
    <cellStyle name="Normal 16 3 3 3" xfId="6960"/>
    <cellStyle name="Normal 16 3 3 3 2" xfId="6961"/>
    <cellStyle name="Normal 16 3 3 3 3" xfId="6962"/>
    <cellStyle name="Normal 16 3 3 4" xfId="6963"/>
    <cellStyle name="Normal 16 3 3 4 2" xfId="6964"/>
    <cellStyle name="Normal 16 3 3 4 3" xfId="6965"/>
    <cellStyle name="Normal 16 3 3 5" xfId="6966"/>
    <cellStyle name="Normal 16 3 3 6" xfId="6967"/>
    <cellStyle name="Normal 16 3 4" xfId="6968"/>
    <cellStyle name="Normal 16 3 4 2" xfId="6969"/>
    <cellStyle name="Normal 16 3 4 2 2" xfId="6970"/>
    <cellStyle name="Normal 16 3 4 2 3" xfId="6971"/>
    <cellStyle name="Normal 16 3 4 3" xfId="6972"/>
    <cellStyle name="Normal 16 3 4 3 2" xfId="6973"/>
    <cellStyle name="Normal 16 3 4 3 3" xfId="6974"/>
    <cellStyle name="Normal 16 3 4 4" xfId="6975"/>
    <cellStyle name="Normal 16 3 4 5" xfId="6976"/>
    <cellStyle name="Normal 16 3 5" xfId="6977"/>
    <cellStyle name="Normal 16 3 5 2" xfId="6978"/>
    <cellStyle name="Normal 16 3 5 3" xfId="6979"/>
    <cellStyle name="Normal 16 3 6" xfId="6980"/>
    <cellStyle name="Normal 16 3 6 2" xfId="6981"/>
    <cellStyle name="Normal 16 3 6 3" xfId="6982"/>
    <cellStyle name="Normal 16 3 7" xfId="6983"/>
    <cellStyle name="Normal 16 3 8" xfId="6984"/>
    <cellStyle name="Normal 16 4" xfId="6985"/>
    <cellStyle name="Normal 16 4 2" xfId="6986"/>
    <cellStyle name="Normal 16 4 2 2" xfId="6987"/>
    <cellStyle name="Normal 16 4 2 2 2" xfId="6988"/>
    <cellStyle name="Normal 16 4 2 2 2 2" xfId="6989"/>
    <cellStyle name="Normal 16 4 2 2 2 3" xfId="6990"/>
    <cellStyle name="Normal 16 4 2 2 3" xfId="6991"/>
    <cellStyle name="Normal 16 4 2 2 3 2" xfId="6992"/>
    <cellStyle name="Normal 16 4 2 2 3 3" xfId="6993"/>
    <cellStyle name="Normal 16 4 2 2 4" xfId="6994"/>
    <cellStyle name="Normal 16 4 2 2 5" xfId="6995"/>
    <cellStyle name="Normal 16 4 2 3" xfId="6996"/>
    <cellStyle name="Normal 16 4 2 3 2" xfId="6997"/>
    <cellStyle name="Normal 16 4 2 3 3" xfId="6998"/>
    <cellStyle name="Normal 16 4 2 4" xfId="6999"/>
    <cellStyle name="Normal 16 4 2 4 2" xfId="7000"/>
    <cellStyle name="Normal 16 4 2 4 3" xfId="7001"/>
    <cellStyle name="Normal 16 4 2 5" xfId="7002"/>
    <cellStyle name="Normal 16 4 2 6" xfId="7003"/>
    <cellStyle name="Normal 16 4 3" xfId="7004"/>
    <cellStyle name="Normal 16 4 3 2" xfId="7005"/>
    <cellStyle name="Normal 16 4 3 2 2" xfId="7006"/>
    <cellStyle name="Normal 16 4 3 2 3" xfId="7007"/>
    <cellStyle name="Normal 16 4 3 3" xfId="7008"/>
    <cellStyle name="Normal 16 4 3 3 2" xfId="7009"/>
    <cellStyle name="Normal 16 4 3 3 3" xfId="7010"/>
    <cellStyle name="Normal 16 4 3 4" xfId="7011"/>
    <cellStyle name="Normal 16 4 3 5" xfId="7012"/>
    <cellStyle name="Normal 16 4 4" xfId="7013"/>
    <cellStyle name="Normal 16 4 4 2" xfId="7014"/>
    <cellStyle name="Normal 16 4 4 3" xfId="7015"/>
    <cellStyle name="Normal 16 4 5" xfId="7016"/>
    <cellStyle name="Normal 16 4 5 2" xfId="7017"/>
    <cellStyle name="Normal 16 4 5 3" xfId="7018"/>
    <cellStyle name="Normal 16 4 6" xfId="7019"/>
    <cellStyle name="Normal 16 4 7" xfId="7020"/>
    <cellStyle name="Normal 16 5" xfId="7021"/>
    <cellStyle name="Normal 16 5 2" xfId="7022"/>
    <cellStyle name="Normal 16 5 2 2" xfId="7023"/>
    <cellStyle name="Normal 16 5 2 2 2" xfId="7024"/>
    <cellStyle name="Normal 16 5 2 2 3" xfId="7025"/>
    <cellStyle name="Normal 16 5 2 3" xfId="7026"/>
    <cellStyle name="Normal 16 5 2 3 2" xfId="7027"/>
    <cellStyle name="Normal 16 5 2 3 3" xfId="7028"/>
    <cellStyle name="Normal 16 5 2 4" xfId="7029"/>
    <cellStyle name="Normal 16 5 2 5" xfId="7030"/>
    <cellStyle name="Normal 16 5 3" xfId="7031"/>
    <cellStyle name="Normal 16 5 3 2" xfId="7032"/>
    <cellStyle name="Normal 16 5 3 3" xfId="7033"/>
    <cellStyle name="Normal 16 5 4" xfId="7034"/>
    <cellStyle name="Normal 16 5 4 2" xfId="7035"/>
    <cellStyle name="Normal 16 5 4 3" xfId="7036"/>
    <cellStyle name="Normal 16 5 5" xfId="7037"/>
    <cellStyle name="Normal 16 5 6" xfId="7038"/>
    <cellStyle name="Normal 16 6" xfId="7039"/>
    <cellStyle name="Normal 16 6 2" xfId="7040"/>
    <cellStyle name="Normal 16 6 2 2" xfId="7041"/>
    <cellStyle name="Normal 16 6 2 3" xfId="7042"/>
    <cellStyle name="Normal 16 6 3" xfId="7043"/>
    <cellStyle name="Normal 16 6 3 2" xfId="7044"/>
    <cellStyle name="Normal 16 6 3 3" xfId="7045"/>
    <cellStyle name="Normal 16 6 4" xfId="7046"/>
    <cellStyle name="Normal 16 6 5" xfId="7047"/>
    <cellStyle name="Normal 16 7" xfId="7048"/>
    <cellStyle name="Normal 16 7 2" xfId="7049"/>
    <cellStyle name="Normal 16 7 3" xfId="7050"/>
    <cellStyle name="Normal 16 8" xfId="7051"/>
    <cellStyle name="Normal 16 8 2" xfId="7052"/>
    <cellStyle name="Normal 16 8 3" xfId="7053"/>
    <cellStyle name="Normal 16 9" xfId="7054"/>
    <cellStyle name="Normal 16_Rate Sheet" xfId="37433"/>
    <cellStyle name="Normal 160" xfId="37547"/>
    <cellStyle name="Normal 161" xfId="37548"/>
    <cellStyle name="Normal 162" xfId="37549"/>
    <cellStyle name="Normal 163" xfId="37550"/>
    <cellStyle name="Normal 17" xfId="163"/>
    <cellStyle name="Normal 17 2" xfId="344"/>
    <cellStyle name="Normal 17 2 2" xfId="7055"/>
    <cellStyle name="Normal 17 2 2 2" xfId="7056"/>
    <cellStyle name="Normal 17 2 3" xfId="7057"/>
    <cellStyle name="Normal 17 3" xfId="7058"/>
    <cellStyle name="Normal 17 3 2" xfId="7059"/>
    <cellStyle name="Normal 17 3 3" xfId="7060"/>
    <cellStyle name="Normal 17 4" xfId="7061"/>
    <cellStyle name="Normal 17 5" xfId="7062"/>
    <cellStyle name="Normal 17_Rate Sheet" xfId="37434"/>
    <cellStyle name="Normal 18" xfId="164"/>
    <cellStyle name="Normal 18 10" xfId="7063"/>
    <cellStyle name="Normal 18 11" xfId="7064"/>
    <cellStyle name="Normal 18 2" xfId="345"/>
    <cellStyle name="Normal 18 2 2" xfId="7065"/>
    <cellStyle name="Normal 18 2 2 2" xfId="7066"/>
    <cellStyle name="Normal 18 2 2 2 2" xfId="7067"/>
    <cellStyle name="Normal 18 2 2 2 2 2" xfId="7068"/>
    <cellStyle name="Normal 18 2 2 2 2 2 2" xfId="7069"/>
    <cellStyle name="Normal 18 2 2 2 2 2 3" xfId="7070"/>
    <cellStyle name="Normal 18 2 2 2 2 3" xfId="7071"/>
    <cellStyle name="Normal 18 2 2 2 2 3 2" xfId="7072"/>
    <cellStyle name="Normal 18 2 2 2 2 3 3" xfId="7073"/>
    <cellStyle name="Normal 18 2 2 2 2 4" xfId="7074"/>
    <cellStyle name="Normal 18 2 2 2 2 5" xfId="7075"/>
    <cellStyle name="Normal 18 2 2 2 3" xfId="7076"/>
    <cellStyle name="Normal 18 2 2 2 3 2" xfId="7077"/>
    <cellStyle name="Normal 18 2 2 2 3 3" xfId="7078"/>
    <cellStyle name="Normal 18 2 2 2 4" xfId="7079"/>
    <cellStyle name="Normal 18 2 2 2 4 2" xfId="7080"/>
    <cellStyle name="Normal 18 2 2 2 4 3" xfId="7081"/>
    <cellStyle name="Normal 18 2 2 2 5" xfId="7082"/>
    <cellStyle name="Normal 18 2 2 2 6" xfId="7083"/>
    <cellStyle name="Normal 18 2 2 3" xfId="7084"/>
    <cellStyle name="Normal 18 2 2 3 2" xfId="7085"/>
    <cellStyle name="Normal 18 2 2 3 2 2" xfId="7086"/>
    <cellStyle name="Normal 18 2 2 3 2 3" xfId="7087"/>
    <cellStyle name="Normal 18 2 2 3 3" xfId="7088"/>
    <cellStyle name="Normal 18 2 2 3 3 2" xfId="7089"/>
    <cellStyle name="Normal 18 2 2 3 3 3" xfId="7090"/>
    <cellStyle name="Normal 18 2 2 3 4" xfId="7091"/>
    <cellStyle name="Normal 18 2 2 3 5" xfId="7092"/>
    <cellStyle name="Normal 18 2 2 4" xfId="7093"/>
    <cellStyle name="Normal 18 2 2 4 2" xfId="7094"/>
    <cellStyle name="Normal 18 2 2 4 3" xfId="7095"/>
    <cellStyle name="Normal 18 2 2 5" xfId="7096"/>
    <cellStyle name="Normal 18 2 2 5 2" xfId="7097"/>
    <cellStyle name="Normal 18 2 2 5 3" xfId="7098"/>
    <cellStyle name="Normal 18 2 2 6" xfId="7099"/>
    <cellStyle name="Normal 18 2 2 7" xfId="7100"/>
    <cellStyle name="Normal 18 2 3" xfId="7101"/>
    <cellStyle name="Normal 18 2 3 2" xfId="7102"/>
    <cellStyle name="Normal 18 2 3 2 2" xfId="7103"/>
    <cellStyle name="Normal 18 2 3 2 2 2" xfId="7104"/>
    <cellStyle name="Normal 18 2 3 2 2 3" xfId="7105"/>
    <cellStyle name="Normal 18 2 3 2 3" xfId="7106"/>
    <cellStyle name="Normal 18 2 3 2 3 2" xfId="7107"/>
    <cellStyle name="Normal 18 2 3 2 3 3" xfId="7108"/>
    <cellStyle name="Normal 18 2 3 2 4" xfId="7109"/>
    <cellStyle name="Normal 18 2 3 2 5" xfId="7110"/>
    <cellStyle name="Normal 18 2 3 3" xfId="7111"/>
    <cellStyle name="Normal 18 2 3 3 2" xfId="7112"/>
    <cellStyle name="Normal 18 2 3 3 3" xfId="7113"/>
    <cellStyle name="Normal 18 2 3 4" xfId="7114"/>
    <cellStyle name="Normal 18 2 3 4 2" xfId="7115"/>
    <cellStyle name="Normal 18 2 3 4 3" xfId="7116"/>
    <cellStyle name="Normal 18 2 3 5" xfId="7117"/>
    <cellStyle name="Normal 18 2 3 6" xfId="7118"/>
    <cellStyle name="Normal 18 2 4" xfId="7119"/>
    <cellStyle name="Normal 18 2 4 2" xfId="7120"/>
    <cellStyle name="Normal 18 2 4 2 2" xfId="7121"/>
    <cellStyle name="Normal 18 2 4 2 3" xfId="7122"/>
    <cellStyle name="Normal 18 2 4 3" xfId="7123"/>
    <cellStyle name="Normal 18 2 4 3 2" xfId="7124"/>
    <cellStyle name="Normal 18 2 4 3 3" xfId="7125"/>
    <cellStyle name="Normal 18 2 4 4" xfId="7126"/>
    <cellStyle name="Normal 18 2 4 5" xfId="7127"/>
    <cellStyle name="Normal 18 2 5" xfId="7128"/>
    <cellStyle name="Normal 18 2 5 2" xfId="7129"/>
    <cellStyle name="Normal 18 2 5 3" xfId="7130"/>
    <cellStyle name="Normal 18 2 6" xfId="7131"/>
    <cellStyle name="Normal 18 2 6 2" xfId="7132"/>
    <cellStyle name="Normal 18 2 6 3" xfId="7133"/>
    <cellStyle name="Normal 18 2 7" xfId="7134"/>
    <cellStyle name="Normal 18 2 8" xfId="7135"/>
    <cellStyle name="Normal 18 3" xfId="7136"/>
    <cellStyle name="Normal 18 3 2" xfId="7137"/>
    <cellStyle name="Normal 18 3 2 2" xfId="7138"/>
    <cellStyle name="Normal 18 3 2 2 2" xfId="7139"/>
    <cellStyle name="Normal 18 3 2 2 2 2" xfId="7140"/>
    <cellStyle name="Normal 18 3 2 2 2 2 2" xfId="7141"/>
    <cellStyle name="Normal 18 3 2 2 2 2 3" xfId="7142"/>
    <cellStyle name="Normal 18 3 2 2 2 3" xfId="7143"/>
    <cellStyle name="Normal 18 3 2 2 2 3 2" xfId="7144"/>
    <cellStyle name="Normal 18 3 2 2 2 3 3" xfId="7145"/>
    <cellStyle name="Normal 18 3 2 2 2 4" xfId="7146"/>
    <cellStyle name="Normal 18 3 2 2 2 5" xfId="7147"/>
    <cellStyle name="Normal 18 3 2 2 3" xfId="7148"/>
    <cellStyle name="Normal 18 3 2 2 3 2" xfId="7149"/>
    <cellStyle name="Normal 18 3 2 2 3 3" xfId="7150"/>
    <cellStyle name="Normal 18 3 2 2 4" xfId="7151"/>
    <cellStyle name="Normal 18 3 2 2 4 2" xfId="7152"/>
    <cellStyle name="Normal 18 3 2 2 4 3" xfId="7153"/>
    <cellStyle name="Normal 18 3 2 2 5" xfId="7154"/>
    <cellStyle name="Normal 18 3 2 2 6" xfId="7155"/>
    <cellStyle name="Normal 18 3 2 3" xfId="7156"/>
    <cellStyle name="Normal 18 3 2 3 2" xfId="7157"/>
    <cellStyle name="Normal 18 3 2 3 2 2" xfId="7158"/>
    <cellStyle name="Normal 18 3 2 3 2 3" xfId="7159"/>
    <cellStyle name="Normal 18 3 2 3 3" xfId="7160"/>
    <cellStyle name="Normal 18 3 2 3 3 2" xfId="7161"/>
    <cellStyle name="Normal 18 3 2 3 3 3" xfId="7162"/>
    <cellStyle name="Normal 18 3 2 3 4" xfId="7163"/>
    <cellStyle name="Normal 18 3 2 3 5" xfId="7164"/>
    <cellStyle name="Normal 18 3 2 4" xfId="7165"/>
    <cellStyle name="Normal 18 3 2 4 2" xfId="7166"/>
    <cellStyle name="Normal 18 3 2 4 3" xfId="7167"/>
    <cellStyle name="Normal 18 3 2 5" xfId="7168"/>
    <cellStyle name="Normal 18 3 2 5 2" xfId="7169"/>
    <cellStyle name="Normal 18 3 2 5 3" xfId="7170"/>
    <cellStyle name="Normal 18 3 2 6" xfId="7171"/>
    <cellStyle name="Normal 18 3 2 7" xfId="7172"/>
    <cellStyle name="Normal 18 3 3" xfId="7173"/>
    <cellStyle name="Normal 18 3 3 2" xfId="7174"/>
    <cellStyle name="Normal 18 3 3 2 2" xfId="7175"/>
    <cellStyle name="Normal 18 3 3 2 2 2" xfId="7176"/>
    <cellStyle name="Normal 18 3 3 2 2 3" xfId="7177"/>
    <cellStyle name="Normal 18 3 3 2 3" xfId="7178"/>
    <cellStyle name="Normal 18 3 3 2 3 2" xfId="7179"/>
    <cellStyle name="Normal 18 3 3 2 3 3" xfId="7180"/>
    <cellStyle name="Normal 18 3 3 2 4" xfId="7181"/>
    <cellStyle name="Normal 18 3 3 2 5" xfId="7182"/>
    <cellStyle name="Normal 18 3 3 3" xfId="7183"/>
    <cellStyle name="Normal 18 3 3 3 2" xfId="7184"/>
    <cellStyle name="Normal 18 3 3 3 3" xfId="7185"/>
    <cellStyle name="Normal 18 3 3 4" xfId="7186"/>
    <cellStyle name="Normal 18 3 3 4 2" xfId="7187"/>
    <cellStyle name="Normal 18 3 3 4 3" xfId="7188"/>
    <cellStyle name="Normal 18 3 3 5" xfId="7189"/>
    <cellStyle name="Normal 18 3 3 6" xfId="7190"/>
    <cellStyle name="Normal 18 3 4" xfId="7191"/>
    <cellStyle name="Normal 18 3 4 2" xfId="7192"/>
    <cellStyle name="Normal 18 3 4 2 2" xfId="7193"/>
    <cellStyle name="Normal 18 3 4 2 3" xfId="7194"/>
    <cellStyle name="Normal 18 3 4 3" xfId="7195"/>
    <cellStyle name="Normal 18 3 4 3 2" xfId="7196"/>
    <cellStyle name="Normal 18 3 4 3 3" xfId="7197"/>
    <cellStyle name="Normal 18 3 4 4" xfId="7198"/>
    <cellStyle name="Normal 18 3 4 5" xfId="7199"/>
    <cellStyle name="Normal 18 3 5" xfId="7200"/>
    <cellStyle name="Normal 18 3 5 2" xfId="7201"/>
    <cellStyle name="Normal 18 3 5 3" xfId="7202"/>
    <cellStyle name="Normal 18 3 6" xfId="7203"/>
    <cellStyle name="Normal 18 3 6 2" xfId="7204"/>
    <cellStyle name="Normal 18 3 6 3" xfId="7205"/>
    <cellStyle name="Normal 18 3 7" xfId="7206"/>
    <cellStyle name="Normal 18 3 8" xfId="7207"/>
    <cellStyle name="Normal 18 4" xfId="7208"/>
    <cellStyle name="Normal 18 4 2" xfId="7209"/>
    <cellStyle name="Normal 18 4 3" xfId="34876"/>
    <cellStyle name="Normal 18 5" xfId="7210"/>
    <cellStyle name="Normal 18 5 2" xfId="7211"/>
    <cellStyle name="Normal 18 5 2 2" xfId="7212"/>
    <cellStyle name="Normal 18 5 2 2 2" xfId="7213"/>
    <cellStyle name="Normal 18 5 2 2 2 2" xfId="7214"/>
    <cellStyle name="Normal 18 5 2 2 2 3" xfId="7215"/>
    <cellStyle name="Normal 18 5 2 2 3" xfId="7216"/>
    <cellStyle name="Normal 18 5 2 2 3 2" xfId="7217"/>
    <cellStyle name="Normal 18 5 2 2 3 3" xfId="7218"/>
    <cellStyle name="Normal 18 5 2 2 4" xfId="7219"/>
    <cellStyle name="Normal 18 5 2 2 5" xfId="7220"/>
    <cellStyle name="Normal 18 5 2 3" xfId="7221"/>
    <cellStyle name="Normal 18 5 2 3 2" xfId="7222"/>
    <cellStyle name="Normal 18 5 2 3 3" xfId="7223"/>
    <cellStyle name="Normal 18 5 2 4" xfId="7224"/>
    <cellStyle name="Normal 18 5 2 4 2" xfId="7225"/>
    <cellStyle name="Normal 18 5 2 4 3" xfId="7226"/>
    <cellStyle name="Normal 18 5 2 5" xfId="7227"/>
    <cellStyle name="Normal 18 5 2 6" xfId="7228"/>
    <cellStyle name="Normal 18 5 3" xfId="7229"/>
    <cellStyle name="Normal 18 5 3 2" xfId="7230"/>
    <cellStyle name="Normal 18 5 3 2 2" xfId="7231"/>
    <cellStyle name="Normal 18 5 3 2 3" xfId="7232"/>
    <cellStyle name="Normal 18 5 3 3" xfId="7233"/>
    <cellStyle name="Normal 18 5 3 3 2" xfId="7234"/>
    <cellStyle name="Normal 18 5 3 3 3" xfId="7235"/>
    <cellStyle name="Normal 18 5 3 4" xfId="7236"/>
    <cellStyle name="Normal 18 5 3 5" xfId="7237"/>
    <cellStyle name="Normal 18 5 4" xfId="7238"/>
    <cellStyle name="Normal 18 5 4 2" xfId="7239"/>
    <cellStyle name="Normal 18 5 4 3" xfId="7240"/>
    <cellStyle name="Normal 18 5 5" xfId="7241"/>
    <cellStyle name="Normal 18 5 5 2" xfId="7242"/>
    <cellStyle name="Normal 18 5 5 3" xfId="7243"/>
    <cellStyle name="Normal 18 5 6" xfId="7244"/>
    <cellStyle name="Normal 18 5 7" xfId="7245"/>
    <cellStyle name="Normal 18 6" xfId="7246"/>
    <cellStyle name="Normal 18 6 2" xfId="7247"/>
    <cellStyle name="Normal 18 6 2 2" xfId="7248"/>
    <cellStyle name="Normal 18 6 2 2 2" xfId="7249"/>
    <cellStyle name="Normal 18 6 2 2 3" xfId="7250"/>
    <cellStyle name="Normal 18 6 2 3" xfId="7251"/>
    <cellStyle name="Normal 18 6 2 3 2" xfId="7252"/>
    <cellStyle name="Normal 18 6 2 3 3" xfId="7253"/>
    <cellStyle name="Normal 18 6 2 4" xfId="7254"/>
    <cellStyle name="Normal 18 6 2 5" xfId="7255"/>
    <cellStyle name="Normal 18 6 3" xfId="7256"/>
    <cellStyle name="Normal 18 6 3 2" xfId="7257"/>
    <cellStyle name="Normal 18 6 3 3" xfId="7258"/>
    <cellStyle name="Normal 18 6 4" xfId="7259"/>
    <cellStyle name="Normal 18 6 4 2" xfId="7260"/>
    <cellStyle name="Normal 18 6 4 3" xfId="7261"/>
    <cellStyle name="Normal 18 6 5" xfId="7262"/>
    <cellStyle name="Normal 18 6 6" xfId="7263"/>
    <cellStyle name="Normal 18 7" xfId="7264"/>
    <cellStyle name="Normal 18 7 2" xfId="7265"/>
    <cellStyle name="Normal 18 7 2 2" xfId="7266"/>
    <cellStyle name="Normal 18 7 2 3" xfId="7267"/>
    <cellStyle name="Normal 18 7 3" xfId="7268"/>
    <cellStyle name="Normal 18 7 3 2" xfId="7269"/>
    <cellStyle name="Normal 18 7 3 3" xfId="7270"/>
    <cellStyle name="Normal 18 7 4" xfId="7271"/>
    <cellStyle name="Normal 18 7 5" xfId="7272"/>
    <cellStyle name="Normal 18 8" xfId="7273"/>
    <cellStyle name="Normal 18 8 2" xfId="7274"/>
    <cellStyle name="Normal 18 8 3" xfId="7275"/>
    <cellStyle name="Normal 18 9" xfId="7276"/>
    <cellStyle name="Normal 18 9 2" xfId="7277"/>
    <cellStyle name="Normal 18 9 3" xfId="7278"/>
    <cellStyle name="Normal 18_Rate Sheet" xfId="37435"/>
    <cellStyle name="Normal 19" xfId="165"/>
    <cellStyle name="Normal 19 2" xfId="346"/>
    <cellStyle name="Normal 19 2 2" xfId="7279"/>
    <cellStyle name="Normal 19 2 3" xfId="7280"/>
    <cellStyle name="Normal 19 3" xfId="7281"/>
    <cellStyle name="Normal 19 3 2" xfId="7282"/>
    <cellStyle name="Normal 19 3 3" xfId="7283"/>
    <cellStyle name="Normal 19 4" xfId="7284"/>
    <cellStyle name="Normal 19 5" xfId="7285"/>
    <cellStyle name="Normal 19 6" xfId="7286"/>
    <cellStyle name="Normal 19 7" xfId="7287"/>
    <cellStyle name="Normal 19_Rate Sheet" xfId="37436"/>
    <cellStyle name="Normal 2" xfId="18"/>
    <cellStyle name="Normal 2 10" xfId="7288"/>
    <cellStyle name="Normal 2 10 2" xfId="7289"/>
    <cellStyle name="Normal 2 10 2 2" xfId="7290"/>
    <cellStyle name="Normal 2 10 3" xfId="7291"/>
    <cellStyle name="Normal 2 10 4" xfId="7292"/>
    <cellStyle name="Normal 2 10 5" xfId="7293"/>
    <cellStyle name="Normal 2 11" xfId="7294"/>
    <cellStyle name="Normal 2 11 2" xfId="7295"/>
    <cellStyle name="Normal 2 11 3" xfId="7296"/>
    <cellStyle name="Normal 2 12" xfId="7297"/>
    <cellStyle name="Normal 2 12 2" xfId="7298"/>
    <cellStyle name="Normal 2 13" xfId="7299"/>
    <cellStyle name="Normal 2 14" xfId="7300"/>
    <cellStyle name="Normal 2 15" xfId="7301"/>
    <cellStyle name="Normal 2 16" xfId="7302"/>
    <cellStyle name="Normal 2 17" xfId="7303"/>
    <cellStyle name="Normal 2 18" xfId="7304"/>
    <cellStyle name="Normal 2 2" xfId="19"/>
    <cellStyle name="Normal 2 2 10" xfId="7305"/>
    <cellStyle name="Normal 2 2 11" xfId="7306"/>
    <cellStyle name="Normal 2 2 12" xfId="7307"/>
    <cellStyle name="Normal 2 2 2" xfId="167"/>
    <cellStyle name="Normal 2 2 2 10" xfId="7308"/>
    <cellStyle name="Normal 2 2 2 2" xfId="7309"/>
    <cellStyle name="Normal 2 2 2 2 2" xfId="7310"/>
    <cellStyle name="Normal 2 2 2 2 2 2" xfId="7311"/>
    <cellStyle name="Normal 2 2 2 2 2 2 2" xfId="7312"/>
    <cellStyle name="Normal 2 2 2 2 2 2 3" xfId="7313"/>
    <cellStyle name="Normal 2 2 2 2 2 3" xfId="7314"/>
    <cellStyle name="Normal 2 2 2 2 2 3 2" xfId="7315"/>
    <cellStyle name="Normal 2 2 2 2 2 3 3" xfId="7316"/>
    <cellStyle name="Normal 2 2 2 2 2 4" xfId="7317"/>
    <cellStyle name="Normal 2 2 2 2 2 5" xfId="7318"/>
    <cellStyle name="Normal 2 2 2 2 2 6" xfId="37448"/>
    <cellStyle name="Normal 2 2 2 2 3" xfId="7319"/>
    <cellStyle name="Normal 2 2 2 2 3 2" xfId="7320"/>
    <cellStyle name="Normal 2 2 2 2 3 3" xfId="7321"/>
    <cellStyle name="Normal 2 2 2 2 3 4" xfId="7322"/>
    <cellStyle name="Normal 2 2 2 2 3 5" xfId="7323"/>
    <cellStyle name="Normal 2 2 2 2 4" xfId="7324"/>
    <cellStyle name="Normal 2 2 2 2 4 2" xfId="7325"/>
    <cellStyle name="Normal 2 2 2 2 4 3" xfId="7326"/>
    <cellStyle name="Normal 2 2 2 2 5" xfId="7327"/>
    <cellStyle name="Normal 2 2 2 2 5 2" xfId="7328"/>
    <cellStyle name="Normal 2 2 2 2 5 3" xfId="7329"/>
    <cellStyle name="Normal 2 2 2 2 6" xfId="7330"/>
    <cellStyle name="Normal 2 2 2 2 7" xfId="7331"/>
    <cellStyle name="Normal 2 2 2 2_District-Division Listing" xfId="37447"/>
    <cellStyle name="Normal 2 2 2 3" xfId="7332"/>
    <cellStyle name="Normal 2 2 2 3 2" xfId="7333"/>
    <cellStyle name="Normal 2 2 2 3 2 2" xfId="7334"/>
    <cellStyle name="Normal 2 2 2 3 2 3" xfId="7335"/>
    <cellStyle name="Normal 2 2 2 3 3" xfId="7336"/>
    <cellStyle name="Normal 2 2 2 3 3 2" xfId="7337"/>
    <cellStyle name="Normal 2 2 2 3 3 3" xfId="7338"/>
    <cellStyle name="Normal 2 2 2 3 4" xfId="7339"/>
    <cellStyle name="Normal 2 2 2 3 5" xfId="7340"/>
    <cellStyle name="Normal 2 2 2 4" xfId="7341"/>
    <cellStyle name="Normal 2 2 2 4 2" xfId="7342"/>
    <cellStyle name="Normal 2 2 2 4 3" xfId="7343"/>
    <cellStyle name="Normal 2 2 2 4 4" xfId="7344"/>
    <cellStyle name="Normal 2 2 2 4 5" xfId="7345"/>
    <cellStyle name="Normal 2 2 2 5" xfId="7346"/>
    <cellStyle name="Normal 2 2 2 5 2" xfId="7347"/>
    <cellStyle name="Normal 2 2 2 5 3" xfId="7348"/>
    <cellStyle name="Normal 2 2 2 6" xfId="7349"/>
    <cellStyle name="Normal 2 2 2 6 2" xfId="7350"/>
    <cellStyle name="Normal 2 2 2 6 3" xfId="7351"/>
    <cellStyle name="Normal 2 2 2 7" xfId="7352"/>
    <cellStyle name="Normal 2 2 2 8" xfId="7353"/>
    <cellStyle name="Normal 2 2 2 9" xfId="7354"/>
    <cellStyle name="Normal 2 2 2_Close Narrative" xfId="37446"/>
    <cellStyle name="Normal 2 2 3" xfId="166"/>
    <cellStyle name="Normal 2 2 3 2" xfId="7355"/>
    <cellStyle name="Normal 2 2 3 2 2" xfId="7356"/>
    <cellStyle name="Normal 2 2 3 2 2 2" xfId="7357"/>
    <cellStyle name="Normal 2 2 3 2 2 3" xfId="7358"/>
    <cellStyle name="Normal 2 2 3 2 3" xfId="7359"/>
    <cellStyle name="Normal 2 2 3 2 3 2" xfId="7360"/>
    <cellStyle name="Normal 2 2 3 2 3 3" xfId="7361"/>
    <cellStyle name="Normal 2 2 3 2 4" xfId="7362"/>
    <cellStyle name="Normal 2 2 3 2 5" xfId="7363"/>
    <cellStyle name="Normal 2 2 3 3" xfId="7364"/>
    <cellStyle name="Normal 2 2 3 3 2" xfId="7365"/>
    <cellStyle name="Normal 2 2 3 3 3" xfId="7366"/>
    <cellStyle name="Normal 2 2 3 3 4" xfId="7367"/>
    <cellStyle name="Normal 2 2 3 3 5" xfId="7368"/>
    <cellStyle name="Normal 2 2 3 4" xfId="7369"/>
    <cellStyle name="Normal 2 2 3 4 2" xfId="7370"/>
    <cellStyle name="Normal 2 2 3 4 3" xfId="7371"/>
    <cellStyle name="Normal 2 2 3 5" xfId="7372"/>
    <cellStyle name="Normal 2 2 3 5 2" xfId="7373"/>
    <cellStyle name="Normal 2 2 3 5 3" xfId="7374"/>
    <cellStyle name="Normal 2 2 3 6" xfId="7375"/>
    <cellStyle name="Normal 2 2 3 7" xfId="7376"/>
    <cellStyle name="Normal 2 2 3 8" xfId="7377"/>
    <cellStyle name="Normal 2 2 4" xfId="7378"/>
    <cellStyle name="Normal 2 2 4 2" xfId="7379"/>
    <cellStyle name="Normal 2 2 4 2 2" xfId="7380"/>
    <cellStyle name="Normal 2 2 4 2 3" xfId="7381"/>
    <cellStyle name="Normal 2 2 4 3" xfId="7382"/>
    <cellStyle name="Normal 2 2 4 3 2" xfId="7383"/>
    <cellStyle name="Normal 2 2 4 3 3" xfId="7384"/>
    <cellStyle name="Normal 2 2 4 4" xfId="7385"/>
    <cellStyle name="Normal 2 2 4 5" xfId="7386"/>
    <cellStyle name="Normal 2 2 4 6" xfId="37401"/>
    <cellStyle name="Normal 2 2 5" xfId="7387"/>
    <cellStyle name="Normal 2 2 5 2" xfId="7388"/>
    <cellStyle name="Normal 2 2 5 3" xfId="7389"/>
    <cellStyle name="Normal 2 2 5 4" xfId="7390"/>
    <cellStyle name="Normal 2 2 5 5" xfId="7391"/>
    <cellStyle name="Normal 2 2 6" xfId="7392"/>
    <cellStyle name="Normal 2 2 6 2" xfId="7393"/>
    <cellStyle name="Normal 2 2 6 3" xfId="7394"/>
    <cellStyle name="Normal 2 2 7" xfId="7395"/>
    <cellStyle name="Normal 2 2 7 2" xfId="7396"/>
    <cellStyle name="Normal 2 2 7 3" xfId="7397"/>
    <cellStyle name="Normal 2 2 8" xfId="7398"/>
    <cellStyle name="Normal 2 2 9" xfId="7399"/>
    <cellStyle name="Normal 2 2_10051" xfId="7400"/>
    <cellStyle name="Normal 2 3" xfId="168"/>
    <cellStyle name="Normal 2 3 2" xfId="169"/>
    <cellStyle name="Normal 2 3 2 2" xfId="7401"/>
    <cellStyle name="Normal 2 3 2 3" xfId="7402"/>
    <cellStyle name="Normal 2 3 2 4" xfId="7403"/>
    <cellStyle name="Normal 2 3 2_Active emp List" xfId="7404"/>
    <cellStyle name="Normal 2 3 3" xfId="293"/>
    <cellStyle name="Normal 2 3 3 2" xfId="7405"/>
    <cellStyle name="Normal 2 3 3 2 2" xfId="7406"/>
    <cellStyle name="Normal 2 3 3 3" xfId="7407"/>
    <cellStyle name="Normal 2 3 3 4" xfId="7408"/>
    <cellStyle name="Normal 2 3 4" xfId="7409"/>
    <cellStyle name="Normal 2 3 4 2" xfId="7410"/>
    <cellStyle name="Normal 2 3 5" xfId="7411"/>
    <cellStyle name="Normal 2 3 6" xfId="7412"/>
    <cellStyle name="Normal 2 3_2012 TV Budget" xfId="7413"/>
    <cellStyle name="Normal 2 4" xfId="294"/>
    <cellStyle name="Normal 2 4 2" xfId="7414"/>
    <cellStyle name="Normal 2 4 2 2" xfId="7415"/>
    <cellStyle name="Normal 2 4 2 2 2" xfId="7416"/>
    <cellStyle name="Normal 2 4 2 3" xfId="7417"/>
    <cellStyle name="Normal 2 4 2 4" xfId="7418"/>
    <cellStyle name="Normal 2 4 2 5" xfId="7419"/>
    <cellStyle name="Normal 2 4 2 6" xfId="7420"/>
    <cellStyle name="Normal 2 4 3" xfId="7421"/>
    <cellStyle name="Normal 2 4 3 2" xfId="7422"/>
    <cellStyle name="Normal 2 4 3 3" xfId="7423"/>
    <cellStyle name="Normal 2 4 4" xfId="7424"/>
    <cellStyle name="Normal 2 4 4 2" xfId="7425"/>
    <cellStyle name="Normal 2 4 4 3" xfId="7426"/>
    <cellStyle name="Normal 2 4 5" xfId="7427"/>
    <cellStyle name="Normal 2 4 6" xfId="7428"/>
    <cellStyle name="Normal 2 4 7" xfId="7429"/>
    <cellStyle name="Normal 2 5" xfId="295"/>
    <cellStyle name="Normal 2 5 2" xfId="7430"/>
    <cellStyle name="Normal 2 5 3" xfId="7431"/>
    <cellStyle name="Normal 2 5 4" xfId="7432"/>
    <cellStyle name="Normal 2 6" xfId="7433"/>
    <cellStyle name="Normal 2 6 2" xfId="7434"/>
    <cellStyle name="Normal 2 6 2 2" xfId="7435"/>
    <cellStyle name="Normal 2 6 2 3" xfId="34877"/>
    <cellStyle name="Normal 2 6 2 4" xfId="34919"/>
    <cellStyle name="Normal 2 6 3" xfId="7436"/>
    <cellStyle name="Normal 2 6 4" xfId="7437"/>
    <cellStyle name="Normal 2 6 5" xfId="7438"/>
    <cellStyle name="Normal 2 6 6" xfId="37445"/>
    <cellStyle name="Normal 2 7" xfId="7439"/>
    <cellStyle name="Normal 2 7 2" xfId="7440"/>
    <cellStyle name="Normal 2 7 3" xfId="7441"/>
    <cellStyle name="Normal 2 7 4" xfId="7442"/>
    <cellStyle name="Normal 2 7 5" xfId="7443"/>
    <cellStyle name="Normal 2 7 6" xfId="37444"/>
    <cellStyle name="Normal 2 8" xfId="7444"/>
    <cellStyle name="Normal 2 8 2" xfId="7445"/>
    <cellStyle name="Normal 2 8 2 2" xfId="7446"/>
    <cellStyle name="Normal 2 8 3" xfId="7447"/>
    <cellStyle name="Normal 2 8 4" xfId="7448"/>
    <cellStyle name="Normal 2 8 5" xfId="7449"/>
    <cellStyle name="Normal 2 9" xfId="7450"/>
    <cellStyle name="Normal 2 9 2" xfId="7451"/>
    <cellStyle name="Normal 2 9 3" xfId="7452"/>
    <cellStyle name="Normal 2 9 4" xfId="7453"/>
    <cellStyle name="Normal 2 9 5" xfId="7454"/>
    <cellStyle name="Normal 2_2009 Regulated Price Out" xfId="7455"/>
    <cellStyle name="Normal 20" xfId="170"/>
    <cellStyle name="Normal 20 2" xfId="7456"/>
    <cellStyle name="Normal 20 2 2" xfId="7457"/>
    <cellStyle name="Normal 20 2 3" xfId="7458"/>
    <cellStyle name="Normal 20 2 4" xfId="7459"/>
    <cellStyle name="Normal 20 3" xfId="7460"/>
    <cellStyle name="Normal 20 4" xfId="7461"/>
    <cellStyle name="Normal 20 4 2" xfId="7462"/>
    <cellStyle name="Normal 20 5" xfId="7463"/>
    <cellStyle name="Normal 20 6" xfId="7464"/>
    <cellStyle name="Normal 20 7" xfId="7465"/>
    <cellStyle name="Normal 21" xfId="171"/>
    <cellStyle name="Normal 21 2" xfId="7466"/>
    <cellStyle name="Normal 21 2 2" xfId="7467"/>
    <cellStyle name="Normal 21 2 3" xfId="7468"/>
    <cellStyle name="Normal 21 2 4" xfId="7469"/>
    <cellStyle name="Normal 21 3" xfId="7470"/>
    <cellStyle name="Normal 21 3 2" xfId="7471"/>
    <cellStyle name="Normal 21 4" xfId="7472"/>
    <cellStyle name="Normal 21 5" xfId="7473"/>
    <cellStyle name="Normal 22" xfId="172"/>
    <cellStyle name="Normal 22 2" xfId="7474"/>
    <cellStyle name="Normal 22 2 2" xfId="7475"/>
    <cellStyle name="Normal 22 2 3" xfId="7476"/>
    <cellStyle name="Normal 22 3" xfId="7477"/>
    <cellStyle name="Normal 22 3 2" xfId="7478"/>
    <cellStyle name="Normal 22 4" xfId="7479"/>
    <cellStyle name="Normal 22 5" xfId="7480"/>
    <cellStyle name="Normal 22 6" xfId="37443"/>
    <cellStyle name="Normal 23" xfId="173"/>
    <cellStyle name="Normal 23 2" xfId="7481"/>
    <cellStyle name="Normal 23 2 2" xfId="7482"/>
    <cellStyle name="Normal 23 2 3" xfId="7483"/>
    <cellStyle name="Normal 23 3" xfId="7484"/>
    <cellStyle name="Normal 23 3 2" xfId="7485"/>
    <cellStyle name="Normal 23 3 3" xfId="7486"/>
    <cellStyle name="Normal 23 4" xfId="7487"/>
    <cellStyle name="Normal 24" xfId="174"/>
    <cellStyle name="Normal 24 2" xfId="7488"/>
    <cellStyle name="Normal 24 2 2" xfId="7489"/>
    <cellStyle name="Normal 24 2 3" xfId="7490"/>
    <cellStyle name="Normal 24 3" xfId="7491"/>
    <cellStyle name="Normal 24 3 2" xfId="7492"/>
    <cellStyle name="Normal 24 4" xfId="7493"/>
    <cellStyle name="Normal 24 5" xfId="7494"/>
    <cellStyle name="Normal 25" xfId="175"/>
    <cellStyle name="Normal 25 2" xfId="7495"/>
    <cellStyle name="Normal 25 2 2" xfId="7496"/>
    <cellStyle name="Normal 25 2 3" xfId="7497"/>
    <cellStyle name="Normal 25 3" xfId="7498"/>
    <cellStyle name="Normal 25 3 2" xfId="7499"/>
    <cellStyle name="Normal 25 4" xfId="7500"/>
    <cellStyle name="Normal 26" xfId="176"/>
    <cellStyle name="Normal 26 2" xfId="7501"/>
    <cellStyle name="Normal 26 2 2" xfId="7502"/>
    <cellStyle name="Normal 26 2 3" xfId="7503"/>
    <cellStyle name="Normal 26 3" xfId="7504"/>
    <cellStyle name="Normal 26 4" xfId="7505"/>
    <cellStyle name="Normal 27" xfId="177"/>
    <cellStyle name="Normal 27 2" xfId="7506"/>
    <cellStyle name="Normal 27 2 2" xfId="7507"/>
    <cellStyle name="Normal 27 2 2 2" xfId="7508"/>
    <cellStyle name="Normal 27 2 2 3" xfId="34878"/>
    <cellStyle name="Normal 27 3" xfId="7509"/>
    <cellStyle name="Normal 27 3 2" xfId="7510"/>
    <cellStyle name="Normal 27 3 3" xfId="7511"/>
    <cellStyle name="Normal 27 4" xfId="7512"/>
    <cellStyle name="Normal 27 5" xfId="7513"/>
    <cellStyle name="Normal 28" xfId="178"/>
    <cellStyle name="Normal 28 2" xfId="7514"/>
    <cellStyle name="Normal 28 2 2" xfId="7515"/>
    <cellStyle name="Normal 28 2 3" xfId="7516"/>
    <cellStyle name="Normal 28 3" xfId="7517"/>
    <cellStyle name="Normal 28 4" xfId="7518"/>
    <cellStyle name="Normal 29" xfId="179"/>
    <cellStyle name="Normal 29 2" xfId="7519"/>
    <cellStyle name="Normal 29 2 2" xfId="7520"/>
    <cellStyle name="Normal 29 3" xfId="7521"/>
    <cellStyle name="Normal 29 4" xfId="7522"/>
    <cellStyle name="Normal 3" xfId="20"/>
    <cellStyle name="Normal 3 2" xfId="181"/>
    <cellStyle name="Normal 3 2 2" xfId="7523"/>
    <cellStyle name="Normal 3 2 2 2" xfId="7524"/>
    <cellStyle name="Normal 3 2 2 2 2" xfId="7525"/>
    <cellStyle name="Normal 3 2 2 2 2 2" xfId="7526"/>
    <cellStyle name="Normal 3 2 2 2 2 3" xfId="7527"/>
    <cellStyle name="Normal 3 2 2 2 3" xfId="7528"/>
    <cellStyle name="Normal 3 2 2 2 3 2" xfId="7529"/>
    <cellStyle name="Normal 3 2 2 2 3 3" xfId="7530"/>
    <cellStyle name="Normal 3 2 2 2 4" xfId="7531"/>
    <cellStyle name="Normal 3 2 2 2 5" xfId="7532"/>
    <cellStyle name="Normal 3 2 2 3" xfId="7533"/>
    <cellStyle name="Normal 3 2 2 3 2" xfId="7534"/>
    <cellStyle name="Normal 3 2 2 3 3" xfId="7535"/>
    <cellStyle name="Normal 3 2 2 4" xfId="7536"/>
    <cellStyle name="Normal 3 2 2 4 2" xfId="7537"/>
    <cellStyle name="Normal 3 2 2 4 3" xfId="7538"/>
    <cellStyle name="Normal 3 2 2 5" xfId="7539"/>
    <cellStyle name="Normal 3 2 2 6" xfId="7540"/>
    <cellStyle name="Normal 3 2 2 7" xfId="7541"/>
    <cellStyle name="Normal 3 2 3" xfId="7542"/>
    <cellStyle name="Normal 3 2 3 2" xfId="7543"/>
    <cellStyle name="Normal 3 2 3 2 2" xfId="7544"/>
    <cellStyle name="Normal 3 2 3 2 3" xfId="7545"/>
    <cellStyle name="Normal 3 2 3 3" xfId="7546"/>
    <cellStyle name="Normal 3 2 3 3 2" xfId="7547"/>
    <cellStyle name="Normal 3 2 3 3 3" xfId="7548"/>
    <cellStyle name="Normal 3 2 3 4" xfId="7549"/>
    <cellStyle name="Normal 3 2 3 5" xfId="7550"/>
    <cellStyle name="Normal 3 2 4" xfId="7551"/>
    <cellStyle name="Normal 3 2 4 2" xfId="7552"/>
    <cellStyle name="Normal 3 2 4 3" xfId="7553"/>
    <cellStyle name="Normal 3 2 5" xfId="7554"/>
    <cellStyle name="Normal 3 2 5 2" xfId="7555"/>
    <cellStyle name="Normal 3 2 5 3" xfId="7556"/>
    <cellStyle name="Normal 3 2 6" xfId="7557"/>
    <cellStyle name="Normal 3 2 7" xfId="7558"/>
    <cellStyle name="Normal 3 2 8" xfId="7559"/>
    <cellStyle name="Normal 3 2 9" xfId="7560"/>
    <cellStyle name="Normal 3 3" xfId="180"/>
    <cellStyle name="Normal 3 3 2" xfId="7561"/>
    <cellStyle name="Normal 3 3 2 2" xfId="7562"/>
    <cellStyle name="Normal 3 3 3" xfId="7563"/>
    <cellStyle name="Normal 3 3 3 2" xfId="7564"/>
    <cellStyle name="Normal 3 3 4" xfId="7565"/>
    <cellStyle name="Normal 3 3 4 2" xfId="7566"/>
    <cellStyle name="Normal 3 3 5" xfId="7567"/>
    <cellStyle name="Normal 3 3 6" xfId="37442"/>
    <cellStyle name="Normal 3 4" xfId="278"/>
    <cellStyle name="Normal 3 4 2" xfId="7568"/>
    <cellStyle name="Normal 3 4 3" xfId="7569"/>
    <cellStyle name="Normal 3 4 4" xfId="7570"/>
    <cellStyle name="Normal 3 5" xfId="7571"/>
    <cellStyle name="Normal 3 5 2" xfId="7572"/>
    <cellStyle name="Normal 3 6" xfId="7573"/>
    <cellStyle name="Normal 3 7" xfId="7574"/>
    <cellStyle name="Normal 3 8" xfId="7575"/>
    <cellStyle name="Normal 3_10051" xfId="7576"/>
    <cellStyle name="Normal 30" xfId="182"/>
    <cellStyle name="Normal 30 2" xfId="7577"/>
    <cellStyle name="Normal 30 3" xfId="7578"/>
    <cellStyle name="Normal 30 4" xfId="7579"/>
    <cellStyle name="Normal 31" xfId="183"/>
    <cellStyle name="Normal 31 2" xfId="7580"/>
    <cellStyle name="Normal 31 2 2" xfId="7581"/>
    <cellStyle name="Normal 31 2 2 2" xfId="7582"/>
    <cellStyle name="Normal 31 2 2 2 2" xfId="7583"/>
    <cellStyle name="Normal 31 2 2 2 2 2" xfId="7584"/>
    <cellStyle name="Normal 31 2 2 2 2 2 2" xfId="7585"/>
    <cellStyle name="Normal 31 2 2 2 2 2 3" xfId="7586"/>
    <cellStyle name="Normal 31 2 2 2 2 3" xfId="7587"/>
    <cellStyle name="Normal 31 2 2 2 2 3 2" xfId="7588"/>
    <cellStyle name="Normal 31 2 2 2 2 3 3" xfId="7589"/>
    <cellStyle name="Normal 31 2 2 2 2 4" xfId="7590"/>
    <cellStyle name="Normal 31 2 2 2 2 5" xfId="7591"/>
    <cellStyle name="Normal 31 2 2 2 3" xfId="7592"/>
    <cellStyle name="Normal 31 2 2 2 3 2" xfId="7593"/>
    <cellStyle name="Normal 31 2 2 2 3 3" xfId="7594"/>
    <cellStyle name="Normal 31 2 2 2 4" xfId="7595"/>
    <cellStyle name="Normal 31 2 2 2 4 2" xfId="7596"/>
    <cellStyle name="Normal 31 2 2 2 4 3" xfId="7597"/>
    <cellStyle name="Normal 31 2 2 2 5" xfId="7598"/>
    <cellStyle name="Normal 31 2 2 2 6" xfId="7599"/>
    <cellStyle name="Normal 31 2 2 3" xfId="7600"/>
    <cellStyle name="Normal 31 2 2 3 2" xfId="7601"/>
    <cellStyle name="Normal 31 2 2 3 2 2" xfId="7602"/>
    <cellStyle name="Normal 31 2 2 3 2 3" xfId="7603"/>
    <cellStyle name="Normal 31 2 2 3 3" xfId="7604"/>
    <cellStyle name="Normal 31 2 2 3 3 2" xfId="7605"/>
    <cellStyle name="Normal 31 2 2 3 3 3" xfId="7606"/>
    <cellStyle name="Normal 31 2 2 3 4" xfId="7607"/>
    <cellStyle name="Normal 31 2 2 3 5" xfId="7608"/>
    <cellStyle name="Normal 31 2 2 3 6" xfId="34880"/>
    <cellStyle name="Normal 31 2 2 4" xfId="7609"/>
    <cellStyle name="Normal 31 2 2 4 2" xfId="7610"/>
    <cellStyle name="Normal 31 2 2 4 3" xfId="7611"/>
    <cellStyle name="Normal 31 2 2 5" xfId="7612"/>
    <cellStyle name="Normal 31 2 2 5 2" xfId="7613"/>
    <cellStyle name="Normal 31 2 2 5 3" xfId="7614"/>
    <cellStyle name="Normal 31 2 2 6" xfId="7615"/>
    <cellStyle name="Normal 31 2 2 7" xfId="7616"/>
    <cellStyle name="Normal 31 2 3" xfId="7617"/>
    <cellStyle name="Normal 31 2 3 2" xfId="7618"/>
    <cellStyle name="Normal 31 2 3 2 2" xfId="7619"/>
    <cellStyle name="Normal 31 2 3 2 2 2" xfId="7620"/>
    <cellStyle name="Normal 31 2 3 2 2 3" xfId="7621"/>
    <cellStyle name="Normal 31 2 3 2 3" xfId="7622"/>
    <cellStyle name="Normal 31 2 3 2 3 2" xfId="7623"/>
    <cellStyle name="Normal 31 2 3 2 3 3" xfId="7624"/>
    <cellStyle name="Normal 31 2 3 2 4" xfId="7625"/>
    <cellStyle name="Normal 31 2 3 2 5" xfId="7626"/>
    <cellStyle name="Normal 31 2 3 3" xfId="7627"/>
    <cellStyle name="Normal 31 2 3 3 2" xfId="7628"/>
    <cellStyle name="Normal 31 2 3 3 3" xfId="7629"/>
    <cellStyle name="Normal 31 2 3 4" xfId="7630"/>
    <cellStyle name="Normal 31 2 3 4 2" xfId="7631"/>
    <cellStyle name="Normal 31 2 3 4 3" xfId="7632"/>
    <cellStyle name="Normal 31 2 3 5" xfId="7633"/>
    <cellStyle name="Normal 31 2 3 6" xfId="7634"/>
    <cellStyle name="Normal 31 2 4" xfId="7635"/>
    <cellStyle name="Normal 31 2 4 2" xfId="7636"/>
    <cellStyle name="Normal 31 2 4 2 2" xfId="7637"/>
    <cellStyle name="Normal 31 2 4 2 3" xfId="7638"/>
    <cellStyle name="Normal 31 2 4 3" xfId="7639"/>
    <cellStyle name="Normal 31 2 4 3 2" xfId="7640"/>
    <cellStyle name="Normal 31 2 4 3 3" xfId="7641"/>
    <cellStyle name="Normal 31 2 4 4" xfId="7642"/>
    <cellStyle name="Normal 31 2 4 5" xfId="7643"/>
    <cellStyle name="Normal 31 2 5" xfId="7644"/>
    <cellStyle name="Normal 31 2 5 2" xfId="7645"/>
    <cellStyle name="Normal 31 2 5 3" xfId="7646"/>
    <cellStyle name="Normal 31 2 6" xfId="7647"/>
    <cellStyle name="Normal 31 2 6 2" xfId="7648"/>
    <cellStyle name="Normal 31 2 6 3" xfId="7649"/>
    <cellStyle name="Normal 31 2 7" xfId="7650"/>
    <cellStyle name="Normal 31 2 8" xfId="7651"/>
    <cellStyle name="Normal 31 3" xfId="7652"/>
    <cellStyle name="Normal 31 3 2" xfId="7653"/>
    <cellStyle name="Normal 31 3 2 2" xfId="7654"/>
    <cellStyle name="Normal 31 3 2 2 2" xfId="7655"/>
    <cellStyle name="Normal 31 3 2 2 2 2" xfId="7656"/>
    <cellStyle name="Normal 31 3 2 2 2 3" xfId="7657"/>
    <cellStyle name="Normal 31 3 2 2 3" xfId="7658"/>
    <cellStyle name="Normal 31 3 2 2 3 2" xfId="7659"/>
    <cellStyle name="Normal 31 3 2 2 3 3" xfId="7660"/>
    <cellStyle name="Normal 31 3 2 2 4" xfId="7661"/>
    <cellStyle name="Normal 31 3 2 2 5" xfId="7662"/>
    <cellStyle name="Normal 31 3 2 3" xfId="7663"/>
    <cellStyle name="Normal 31 3 2 3 2" xfId="7664"/>
    <cellStyle name="Normal 31 3 2 3 3" xfId="7665"/>
    <cellStyle name="Normal 31 3 2 4" xfId="7666"/>
    <cellStyle name="Normal 31 3 2 4 2" xfId="7667"/>
    <cellStyle name="Normal 31 3 2 4 3" xfId="7668"/>
    <cellStyle name="Normal 31 3 2 5" xfId="7669"/>
    <cellStyle name="Normal 31 3 2 6" xfId="7670"/>
    <cellStyle name="Normal 31 3 3" xfId="7671"/>
    <cellStyle name="Normal 31 3 3 2" xfId="7672"/>
    <cellStyle name="Normal 31 3 3 2 2" xfId="7673"/>
    <cellStyle name="Normal 31 3 3 2 3" xfId="7674"/>
    <cellStyle name="Normal 31 3 3 3" xfId="7675"/>
    <cellStyle name="Normal 31 3 3 3 2" xfId="7676"/>
    <cellStyle name="Normal 31 3 3 3 3" xfId="7677"/>
    <cellStyle name="Normal 31 3 3 4" xfId="7678"/>
    <cellStyle name="Normal 31 3 3 5" xfId="7679"/>
    <cellStyle name="Normal 31 3 4" xfId="7680"/>
    <cellStyle name="Normal 31 3 4 2" xfId="7681"/>
    <cellStyle name="Normal 31 3 4 3" xfId="7682"/>
    <cellStyle name="Normal 31 3 5" xfId="7683"/>
    <cellStyle name="Normal 31 3 5 2" xfId="7684"/>
    <cellStyle name="Normal 31 3 5 3" xfId="7685"/>
    <cellStyle name="Normal 31 3 6" xfId="7686"/>
    <cellStyle name="Normal 31 3 7" xfId="7687"/>
    <cellStyle name="Normal 31 4" xfId="7688"/>
    <cellStyle name="Normal 31 4 2" xfId="7689"/>
    <cellStyle name="Normal 31 4 2 2" xfId="7690"/>
    <cellStyle name="Normal 31 4 2 2 2" xfId="7691"/>
    <cellStyle name="Normal 31 4 2 2 3" xfId="7692"/>
    <cellStyle name="Normal 31 4 2 3" xfId="7693"/>
    <cellStyle name="Normal 31 4 2 3 2" xfId="7694"/>
    <cellStyle name="Normal 31 4 2 3 3" xfId="7695"/>
    <cellStyle name="Normal 31 4 2 4" xfId="7696"/>
    <cellStyle name="Normal 31 4 2 5" xfId="7697"/>
    <cellStyle name="Normal 31 4 3" xfId="7698"/>
    <cellStyle name="Normal 31 4 3 2" xfId="7699"/>
    <cellStyle name="Normal 31 4 3 3" xfId="7700"/>
    <cellStyle name="Normal 31 4 4" xfId="7701"/>
    <cellStyle name="Normal 31 4 4 2" xfId="7702"/>
    <cellStyle name="Normal 31 4 4 3" xfId="7703"/>
    <cellStyle name="Normal 31 4 5" xfId="7704"/>
    <cellStyle name="Normal 31 4 6" xfId="7705"/>
    <cellStyle name="Normal 31 5" xfId="7706"/>
    <cellStyle name="Normal 31 5 2" xfId="7707"/>
    <cellStyle name="Normal 31 5 2 2" xfId="7708"/>
    <cellStyle name="Normal 31 5 2 3" xfId="7709"/>
    <cellStyle name="Normal 31 5 3" xfId="7710"/>
    <cellStyle name="Normal 31 5 3 2" xfId="7711"/>
    <cellStyle name="Normal 31 5 3 3" xfId="7712"/>
    <cellStyle name="Normal 31 5 4" xfId="7713"/>
    <cellStyle name="Normal 31 5 5" xfId="7714"/>
    <cellStyle name="Normal 31 6" xfId="7715"/>
    <cellStyle name="Normal 31 6 2" xfId="7716"/>
    <cellStyle name="Normal 31 6 3" xfId="7717"/>
    <cellStyle name="Normal 31 7" xfId="7718"/>
    <cellStyle name="Normal 31 7 2" xfId="7719"/>
    <cellStyle name="Normal 31 7 3" xfId="7720"/>
    <cellStyle name="Normal 31 8" xfId="7721"/>
    <cellStyle name="Normal 31 9" xfId="7722"/>
    <cellStyle name="Normal 32" xfId="184"/>
    <cellStyle name="Normal 32 2" xfId="7723"/>
    <cellStyle name="Normal 32 2 2" xfId="7724"/>
    <cellStyle name="Normal 32 2 2 2" xfId="7725"/>
    <cellStyle name="Normal 32 2 2 2 2" xfId="7726"/>
    <cellStyle name="Normal 32 2 2 2 2 2" xfId="7727"/>
    <cellStyle name="Normal 32 2 2 2 2 2 2" xfId="7728"/>
    <cellStyle name="Normal 32 2 2 2 2 2 3" xfId="7729"/>
    <cellStyle name="Normal 32 2 2 2 2 3" xfId="7730"/>
    <cellStyle name="Normal 32 2 2 2 2 3 2" xfId="7731"/>
    <cellStyle name="Normal 32 2 2 2 2 3 3" xfId="7732"/>
    <cellStyle name="Normal 32 2 2 2 2 4" xfId="7733"/>
    <cellStyle name="Normal 32 2 2 2 2 5" xfId="7734"/>
    <cellStyle name="Normal 32 2 2 2 3" xfId="7735"/>
    <cellStyle name="Normal 32 2 2 2 3 2" xfId="7736"/>
    <cellStyle name="Normal 32 2 2 2 3 3" xfId="7737"/>
    <cellStyle name="Normal 32 2 2 2 4" xfId="7738"/>
    <cellStyle name="Normal 32 2 2 2 4 2" xfId="7739"/>
    <cellStyle name="Normal 32 2 2 2 4 3" xfId="7740"/>
    <cellStyle name="Normal 32 2 2 2 5" xfId="7741"/>
    <cellStyle name="Normal 32 2 2 2 6" xfId="7742"/>
    <cellStyle name="Normal 32 2 2 3" xfId="7743"/>
    <cellStyle name="Normal 32 2 2 3 2" xfId="7744"/>
    <cellStyle name="Normal 32 2 2 3 2 2" xfId="7745"/>
    <cellStyle name="Normal 32 2 2 3 2 3" xfId="7746"/>
    <cellStyle name="Normal 32 2 2 3 3" xfId="7747"/>
    <cellStyle name="Normal 32 2 2 3 3 2" xfId="7748"/>
    <cellStyle name="Normal 32 2 2 3 3 3" xfId="7749"/>
    <cellStyle name="Normal 32 2 2 3 4" xfId="7750"/>
    <cellStyle name="Normal 32 2 2 3 5" xfId="7751"/>
    <cellStyle name="Normal 32 2 2 4" xfId="7752"/>
    <cellStyle name="Normal 32 2 2 4 2" xfId="7753"/>
    <cellStyle name="Normal 32 2 2 4 3" xfId="7754"/>
    <cellStyle name="Normal 32 2 2 5" xfId="7755"/>
    <cellStyle name="Normal 32 2 2 5 2" xfId="7756"/>
    <cellStyle name="Normal 32 2 2 5 3" xfId="7757"/>
    <cellStyle name="Normal 32 2 2 6" xfId="7758"/>
    <cellStyle name="Normal 32 2 2 7" xfId="7759"/>
    <cellStyle name="Normal 32 2 3" xfId="7760"/>
    <cellStyle name="Normal 32 2 3 2" xfId="7761"/>
    <cellStyle name="Normal 32 2 3 2 2" xfId="7762"/>
    <cellStyle name="Normal 32 2 3 2 2 2" xfId="7763"/>
    <cellStyle name="Normal 32 2 3 2 2 3" xfId="7764"/>
    <cellStyle name="Normal 32 2 3 2 3" xfId="7765"/>
    <cellStyle name="Normal 32 2 3 2 3 2" xfId="7766"/>
    <cellStyle name="Normal 32 2 3 2 3 3" xfId="7767"/>
    <cellStyle name="Normal 32 2 3 2 4" xfId="7768"/>
    <cellStyle name="Normal 32 2 3 2 5" xfId="7769"/>
    <cellStyle name="Normal 32 2 3 3" xfId="7770"/>
    <cellStyle name="Normal 32 2 3 3 2" xfId="7771"/>
    <cellStyle name="Normal 32 2 3 3 3" xfId="7772"/>
    <cellStyle name="Normal 32 2 3 4" xfId="7773"/>
    <cellStyle name="Normal 32 2 3 4 2" xfId="7774"/>
    <cellStyle name="Normal 32 2 3 4 3" xfId="7775"/>
    <cellStyle name="Normal 32 2 3 5" xfId="7776"/>
    <cellStyle name="Normal 32 2 3 6" xfId="7777"/>
    <cellStyle name="Normal 32 2 4" xfId="7778"/>
    <cellStyle name="Normal 32 2 4 2" xfId="7779"/>
    <cellStyle name="Normal 32 2 4 2 2" xfId="7780"/>
    <cellStyle name="Normal 32 2 4 2 3" xfId="7781"/>
    <cellStyle name="Normal 32 2 4 3" xfId="7782"/>
    <cellStyle name="Normal 32 2 4 3 2" xfId="7783"/>
    <cellStyle name="Normal 32 2 4 3 3" xfId="7784"/>
    <cellStyle name="Normal 32 2 4 4" xfId="7785"/>
    <cellStyle name="Normal 32 2 4 5" xfId="7786"/>
    <cellStyle name="Normal 32 2 5" xfId="7787"/>
    <cellStyle name="Normal 32 2 5 2" xfId="7788"/>
    <cellStyle name="Normal 32 2 5 3" xfId="7789"/>
    <cellStyle name="Normal 32 2 6" xfId="7790"/>
    <cellStyle name="Normal 32 2 6 2" xfId="7791"/>
    <cellStyle name="Normal 32 2 6 3" xfId="7792"/>
    <cellStyle name="Normal 32 2 7" xfId="7793"/>
    <cellStyle name="Normal 32 2 8" xfId="7794"/>
    <cellStyle name="Normal 32 3" xfId="7795"/>
    <cellStyle name="Normal 32 3 2" xfId="7796"/>
    <cellStyle name="Normal 32 3 2 2" xfId="7797"/>
    <cellStyle name="Normal 32 3 2 2 2" xfId="7798"/>
    <cellStyle name="Normal 32 3 2 2 2 2" xfId="7799"/>
    <cellStyle name="Normal 32 3 2 2 2 3" xfId="7800"/>
    <cellStyle name="Normal 32 3 2 2 3" xfId="7801"/>
    <cellStyle name="Normal 32 3 2 2 3 2" xfId="7802"/>
    <cellStyle name="Normal 32 3 2 2 3 3" xfId="7803"/>
    <cellStyle name="Normal 32 3 2 2 4" xfId="7804"/>
    <cellStyle name="Normal 32 3 2 2 5" xfId="7805"/>
    <cellStyle name="Normal 32 3 2 3" xfId="7806"/>
    <cellStyle name="Normal 32 3 2 3 2" xfId="7807"/>
    <cellStyle name="Normal 32 3 2 3 3" xfId="7808"/>
    <cellStyle name="Normal 32 3 2 4" xfId="7809"/>
    <cellStyle name="Normal 32 3 2 4 2" xfId="7810"/>
    <cellStyle name="Normal 32 3 2 4 3" xfId="7811"/>
    <cellStyle name="Normal 32 3 2 5" xfId="7812"/>
    <cellStyle name="Normal 32 3 2 6" xfId="7813"/>
    <cellStyle name="Normal 32 3 3" xfId="7814"/>
    <cellStyle name="Normal 32 3 3 2" xfId="7815"/>
    <cellStyle name="Normal 32 3 3 2 2" xfId="7816"/>
    <cellStyle name="Normal 32 3 3 2 3" xfId="7817"/>
    <cellStyle name="Normal 32 3 3 3" xfId="7818"/>
    <cellStyle name="Normal 32 3 3 3 2" xfId="7819"/>
    <cellStyle name="Normal 32 3 3 3 3" xfId="7820"/>
    <cellStyle name="Normal 32 3 3 4" xfId="7821"/>
    <cellStyle name="Normal 32 3 3 5" xfId="7822"/>
    <cellStyle name="Normal 32 3 4" xfId="7823"/>
    <cellStyle name="Normal 32 3 4 2" xfId="7824"/>
    <cellStyle name="Normal 32 3 4 3" xfId="7825"/>
    <cellStyle name="Normal 32 3 5" xfId="7826"/>
    <cellStyle name="Normal 32 3 5 2" xfId="7827"/>
    <cellStyle name="Normal 32 3 5 3" xfId="7828"/>
    <cellStyle name="Normal 32 3 6" xfId="7829"/>
    <cellStyle name="Normal 32 3 7" xfId="7830"/>
    <cellStyle name="Normal 32 4" xfId="7831"/>
    <cellStyle name="Normal 32 4 2" xfId="7832"/>
    <cellStyle name="Normal 32 4 2 2" xfId="7833"/>
    <cellStyle name="Normal 32 4 2 2 2" xfId="7834"/>
    <cellStyle name="Normal 32 4 2 2 3" xfId="7835"/>
    <cellStyle name="Normal 32 4 2 3" xfId="7836"/>
    <cellStyle name="Normal 32 4 2 3 2" xfId="7837"/>
    <cellStyle name="Normal 32 4 2 3 3" xfId="7838"/>
    <cellStyle name="Normal 32 4 2 4" xfId="7839"/>
    <cellStyle name="Normal 32 4 2 5" xfId="7840"/>
    <cellStyle name="Normal 32 4 3" xfId="7841"/>
    <cellStyle name="Normal 32 4 3 2" xfId="7842"/>
    <cellStyle name="Normal 32 4 3 3" xfId="7843"/>
    <cellStyle name="Normal 32 4 4" xfId="7844"/>
    <cellStyle name="Normal 32 4 4 2" xfId="7845"/>
    <cellStyle name="Normal 32 4 4 3" xfId="7846"/>
    <cellStyle name="Normal 32 4 5" xfId="7847"/>
    <cellStyle name="Normal 32 4 6" xfId="7848"/>
    <cellStyle name="Normal 32 5" xfId="7849"/>
    <cellStyle name="Normal 32 5 2" xfId="7850"/>
    <cellStyle name="Normal 32 5 2 2" xfId="7851"/>
    <cellStyle name="Normal 32 5 2 3" xfId="7852"/>
    <cellStyle name="Normal 32 5 3" xfId="7853"/>
    <cellStyle name="Normal 32 5 3 2" xfId="7854"/>
    <cellStyle name="Normal 32 5 3 3" xfId="7855"/>
    <cellStyle name="Normal 32 5 4" xfId="7856"/>
    <cellStyle name="Normal 32 5 5" xfId="7857"/>
    <cellStyle name="Normal 32 6" xfId="7858"/>
    <cellStyle name="Normal 32 6 2" xfId="7859"/>
    <cellStyle name="Normal 32 6 3" xfId="7860"/>
    <cellStyle name="Normal 32 7" xfId="7861"/>
    <cellStyle name="Normal 32 7 2" xfId="7862"/>
    <cellStyle name="Normal 32 7 3" xfId="7863"/>
    <cellStyle name="Normal 32 8" xfId="7864"/>
    <cellStyle name="Normal 32 9" xfId="7865"/>
    <cellStyle name="Normal 33" xfId="185"/>
    <cellStyle name="Normal 33 2" xfId="7866"/>
    <cellStyle name="Normal 33 3" xfId="7867"/>
    <cellStyle name="Normal 34" xfId="186"/>
    <cellStyle name="Normal 34 2" xfId="7868"/>
    <cellStyle name="Normal 34 3" xfId="7869"/>
    <cellStyle name="Normal 35" xfId="187"/>
    <cellStyle name="Normal 35 2" xfId="7870"/>
    <cellStyle name="Normal 35 2 2" xfId="7871"/>
    <cellStyle name="Normal 35 2 2 2" xfId="7872"/>
    <cellStyle name="Normal 35 2 2 2 2" xfId="7873"/>
    <cellStyle name="Normal 35 2 2 2 2 2" xfId="7874"/>
    <cellStyle name="Normal 35 2 2 2 2 3" xfId="7875"/>
    <cellStyle name="Normal 35 2 2 2 3" xfId="7876"/>
    <cellStyle name="Normal 35 2 2 2 3 2" xfId="7877"/>
    <cellStyle name="Normal 35 2 2 2 3 3" xfId="7878"/>
    <cellStyle name="Normal 35 2 2 2 4" xfId="7879"/>
    <cellStyle name="Normal 35 2 2 2 5" xfId="7880"/>
    <cellStyle name="Normal 35 2 2 3" xfId="7881"/>
    <cellStyle name="Normal 35 2 2 3 2" xfId="7882"/>
    <cellStyle name="Normal 35 2 2 3 3" xfId="7883"/>
    <cellStyle name="Normal 35 2 2 4" xfId="7884"/>
    <cellStyle name="Normal 35 2 2 4 2" xfId="7885"/>
    <cellStyle name="Normal 35 2 2 4 3" xfId="7886"/>
    <cellStyle name="Normal 35 2 2 5" xfId="7887"/>
    <cellStyle name="Normal 35 2 2 6" xfId="7888"/>
    <cellStyle name="Normal 35 2 3" xfId="7889"/>
    <cellStyle name="Normal 35 2 3 2" xfId="7890"/>
    <cellStyle name="Normal 35 2 3 2 2" xfId="7891"/>
    <cellStyle name="Normal 35 2 3 2 3" xfId="7892"/>
    <cellStyle name="Normal 35 2 3 3" xfId="7893"/>
    <cellStyle name="Normal 35 2 3 3 2" xfId="7894"/>
    <cellStyle name="Normal 35 2 3 3 3" xfId="7895"/>
    <cellStyle name="Normal 35 2 3 4" xfId="7896"/>
    <cellStyle name="Normal 35 2 3 5" xfId="7897"/>
    <cellStyle name="Normal 35 2 4" xfId="7898"/>
    <cellStyle name="Normal 35 2 4 2" xfId="7899"/>
    <cellStyle name="Normal 35 2 4 3" xfId="7900"/>
    <cellStyle name="Normal 35 2 5" xfId="7901"/>
    <cellStyle name="Normal 35 2 5 2" xfId="7902"/>
    <cellStyle name="Normal 35 2 5 3" xfId="7903"/>
    <cellStyle name="Normal 35 2 6" xfId="7904"/>
    <cellStyle name="Normal 35 2 7" xfId="7905"/>
    <cellStyle name="Normal 35 3" xfId="7906"/>
    <cellStyle name="Normal 35 3 2" xfId="7907"/>
    <cellStyle name="Normal 35 3 2 2" xfId="7908"/>
    <cellStyle name="Normal 35 3 2 2 2" xfId="7909"/>
    <cellStyle name="Normal 35 3 2 2 3" xfId="7910"/>
    <cellStyle name="Normal 35 3 2 3" xfId="7911"/>
    <cellStyle name="Normal 35 3 2 3 2" xfId="7912"/>
    <cellStyle name="Normal 35 3 2 3 3" xfId="7913"/>
    <cellStyle name="Normal 35 3 2 4" xfId="7914"/>
    <cellStyle name="Normal 35 3 2 5" xfId="7915"/>
    <cellStyle name="Normal 35 3 3" xfId="7916"/>
    <cellStyle name="Normal 35 3 3 2" xfId="7917"/>
    <cellStyle name="Normal 35 3 3 3" xfId="7918"/>
    <cellStyle name="Normal 35 3 4" xfId="7919"/>
    <cellStyle name="Normal 35 3 4 2" xfId="7920"/>
    <cellStyle name="Normal 35 3 4 3" xfId="7921"/>
    <cellStyle name="Normal 35 3 5" xfId="7922"/>
    <cellStyle name="Normal 35 3 6" xfId="7923"/>
    <cellStyle name="Normal 35 4" xfId="7924"/>
    <cellStyle name="Normal 35 4 2" xfId="7925"/>
    <cellStyle name="Normal 35 4 2 2" xfId="7926"/>
    <cellStyle name="Normal 35 4 2 3" xfId="7927"/>
    <cellStyle name="Normal 35 4 3" xfId="7928"/>
    <cellStyle name="Normal 35 4 3 2" xfId="7929"/>
    <cellStyle name="Normal 35 4 3 3" xfId="7930"/>
    <cellStyle name="Normal 35 4 4" xfId="7931"/>
    <cellStyle name="Normal 35 4 5" xfId="7932"/>
    <cellStyle name="Normal 35 5" xfId="7933"/>
    <cellStyle name="Normal 35 5 2" xfId="7934"/>
    <cellStyle name="Normal 35 5 3" xfId="7935"/>
    <cellStyle name="Normal 35 6" xfId="7936"/>
    <cellStyle name="Normal 35 6 2" xfId="7937"/>
    <cellStyle name="Normal 35 6 3" xfId="7938"/>
    <cellStyle name="Normal 35 7" xfId="7939"/>
    <cellStyle name="Normal 35 8" xfId="7940"/>
    <cellStyle name="Normal 36" xfId="188"/>
    <cellStyle name="Normal 36 2" xfId="7941"/>
    <cellStyle name="Normal 36 2 2" xfId="7942"/>
    <cellStyle name="Normal 36 2 2 2" xfId="7943"/>
    <cellStyle name="Normal 36 2 2 2 2" xfId="7944"/>
    <cellStyle name="Normal 36 2 2 2 2 2" xfId="7945"/>
    <cellStyle name="Normal 36 2 2 2 2 3" xfId="7946"/>
    <cellStyle name="Normal 36 2 2 2 3" xfId="7947"/>
    <cellStyle name="Normal 36 2 2 2 3 2" xfId="7948"/>
    <cellStyle name="Normal 36 2 2 2 3 3" xfId="7949"/>
    <cellStyle name="Normal 36 2 2 2 4" xfId="7950"/>
    <cellStyle name="Normal 36 2 2 2 5" xfId="7951"/>
    <cellStyle name="Normal 36 2 2 3" xfId="7952"/>
    <cellStyle name="Normal 36 2 2 3 2" xfId="7953"/>
    <cellStyle name="Normal 36 2 2 3 3" xfId="7954"/>
    <cellStyle name="Normal 36 2 2 4" xfId="7955"/>
    <cellStyle name="Normal 36 2 2 4 2" xfId="7956"/>
    <cellStyle name="Normal 36 2 2 4 3" xfId="7957"/>
    <cellStyle name="Normal 36 2 2 5" xfId="7958"/>
    <cellStyle name="Normal 36 2 2 6" xfId="7959"/>
    <cellStyle name="Normal 36 2 3" xfId="7960"/>
    <cellStyle name="Normal 36 2 3 2" xfId="7961"/>
    <cellStyle name="Normal 36 2 3 2 2" xfId="7962"/>
    <cellStyle name="Normal 36 2 3 2 3" xfId="7963"/>
    <cellStyle name="Normal 36 2 3 3" xfId="7964"/>
    <cellStyle name="Normal 36 2 3 3 2" xfId="7965"/>
    <cellStyle name="Normal 36 2 3 3 3" xfId="7966"/>
    <cellStyle name="Normal 36 2 3 4" xfId="7967"/>
    <cellStyle name="Normal 36 2 3 5" xfId="7968"/>
    <cellStyle name="Normal 36 2 4" xfId="7969"/>
    <cellStyle name="Normal 36 2 4 2" xfId="7970"/>
    <cellStyle name="Normal 36 2 4 3" xfId="7971"/>
    <cellStyle name="Normal 36 2 5" xfId="7972"/>
    <cellStyle name="Normal 36 2 5 2" xfId="7973"/>
    <cellStyle name="Normal 36 2 5 3" xfId="7974"/>
    <cellStyle name="Normal 36 2 6" xfId="7975"/>
    <cellStyle name="Normal 36 2 7" xfId="7976"/>
    <cellStyle name="Normal 36 3" xfId="7977"/>
    <cellStyle name="Normal 36 3 2" xfId="7978"/>
    <cellStyle name="Normal 36 3 2 2" xfId="7979"/>
    <cellStyle name="Normal 36 3 2 2 2" xfId="7980"/>
    <cellStyle name="Normal 36 3 2 2 3" xfId="7981"/>
    <cellStyle name="Normal 36 3 2 3" xfId="7982"/>
    <cellStyle name="Normal 36 3 2 3 2" xfId="7983"/>
    <cellStyle name="Normal 36 3 2 3 3" xfId="7984"/>
    <cellStyle name="Normal 36 3 2 4" xfId="7985"/>
    <cellStyle name="Normal 36 3 2 5" xfId="7986"/>
    <cellStyle name="Normal 36 3 3" xfId="7987"/>
    <cellStyle name="Normal 36 3 3 2" xfId="7988"/>
    <cellStyle name="Normal 36 3 3 3" xfId="7989"/>
    <cellStyle name="Normal 36 3 4" xfId="7990"/>
    <cellStyle name="Normal 36 3 4 2" xfId="7991"/>
    <cellStyle name="Normal 36 3 4 3" xfId="7992"/>
    <cellStyle name="Normal 36 3 5" xfId="7993"/>
    <cellStyle name="Normal 36 3 6" xfId="7994"/>
    <cellStyle name="Normal 36 4" xfId="7995"/>
    <cellStyle name="Normal 36 4 2" xfId="7996"/>
    <cellStyle name="Normal 36 4 2 2" xfId="7997"/>
    <cellStyle name="Normal 36 4 2 3" xfId="7998"/>
    <cellStyle name="Normal 36 4 3" xfId="7999"/>
    <cellStyle name="Normal 36 4 3 2" xfId="8000"/>
    <cellStyle name="Normal 36 4 3 3" xfId="8001"/>
    <cellStyle name="Normal 36 4 4" xfId="8002"/>
    <cellStyle name="Normal 36 4 5" xfId="8003"/>
    <cellStyle name="Normal 36 5" xfId="8004"/>
    <cellStyle name="Normal 36 5 2" xfId="8005"/>
    <cellStyle name="Normal 36 5 3" xfId="8006"/>
    <cellStyle name="Normal 36 6" xfId="8007"/>
    <cellStyle name="Normal 36 6 2" xfId="8008"/>
    <cellStyle name="Normal 36 6 3" xfId="8009"/>
    <cellStyle name="Normal 36 7" xfId="8010"/>
    <cellStyle name="Normal 36 8" xfId="8011"/>
    <cellStyle name="Normal 37" xfId="189"/>
    <cellStyle name="Normal 37 2" xfId="8012"/>
    <cellStyle name="Normal 37 2 2" xfId="8013"/>
    <cellStyle name="Normal 37 2 2 2" xfId="8014"/>
    <cellStyle name="Normal 37 2 2 2 2" xfId="8015"/>
    <cellStyle name="Normal 37 2 2 2 2 2" xfId="8016"/>
    <cellStyle name="Normal 37 2 2 2 2 3" xfId="8017"/>
    <cellStyle name="Normal 37 2 2 2 3" xfId="8018"/>
    <cellStyle name="Normal 37 2 2 2 3 2" xfId="8019"/>
    <cellStyle name="Normal 37 2 2 2 3 3" xfId="8020"/>
    <cellStyle name="Normal 37 2 2 2 4" xfId="8021"/>
    <cellStyle name="Normal 37 2 2 2 5" xfId="8022"/>
    <cellStyle name="Normal 37 2 2 3" xfId="8023"/>
    <cellStyle name="Normal 37 2 2 3 2" xfId="8024"/>
    <cellStyle name="Normal 37 2 2 3 3" xfId="8025"/>
    <cellStyle name="Normal 37 2 2 4" xfId="8026"/>
    <cellStyle name="Normal 37 2 2 4 2" xfId="8027"/>
    <cellStyle name="Normal 37 2 2 4 3" xfId="8028"/>
    <cellStyle name="Normal 37 2 2 5" xfId="8029"/>
    <cellStyle name="Normal 37 2 2 6" xfId="8030"/>
    <cellStyle name="Normal 37 2 3" xfId="8031"/>
    <cellStyle name="Normal 37 2 3 2" xfId="8032"/>
    <cellStyle name="Normal 37 2 3 2 2" xfId="8033"/>
    <cellStyle name="Normal 37 2 3 2 3" xfId="8034"/>
    <cellStyle name="Normal 37 2 3 3" xfId="8035"/>
    <cellStyle name="Normal 37 2 3 3 2" xfId="8036"/>
    <cellStyle name="Normal 37 2 3 3 3" xfId="8037"/>
    <cellStyle name="Normal 37 2 3 4" xfId="8038"/>
    <cellStyle name="Normal 37 2 3 5" xfId="8039"/>
    <cellStyle name="Normal 37 2 4" xfId="8040"/>
    <cellStyle name="Normal 37 2 4 2" xfId="8041"/>
    <cellStyle name="Normal 37 2 4 3" xfId="8042"/>
    <cellStyle name="Normal 37 2 5" xfId="8043"/>
    <cellStyle name="Normal 37 2 5 2" xfId="8044"/>
    <cellStyle name="Normal 37 2 5 3" xfId="8045"/>
    <cellStyle name="Normal 37 2 6" xfId="8046"/>
    <cellStyle name="Normal 37 2 7" xfId="8047"/>
    <cellStyle name="Normal 37 3" xfId="8048"/>
    <cellStyle name="Normal 37 3 2" xfId="8049"/>
    <cellStyle name="Normal 37 3 2 2" xfId="8050"/>
    <cellStyle name="Normal 37 3 2 2 2" xfId="8051"/>
    <cellStyle name="Normal 37 3 2 2 3" xfId="8052"/>
    <cellStyle name="Normal 37 3 2 3" xfId="8053"/>
    <cellStyle name="Normal 37 3 2 3 2" xfId="8054"/>
    <cellStyle name="Normal 37 3 2 3 3" xfId="8055"/>
    <cellStyle name="Normal 37 3 2 4" xfId="8056"/>
    <cellStyle name="Normal 37 3 2 5" xfId="8057"/>
    <cellStyle name="Normal 37 3 3" xfId="8058"/>
    <cellStyle name="Normal 37 3 3 2" xfId="8059"/>
    <cellStyle name="Normal 37 3 3 3" xfId="8060"/>
    <cellStyle name="Normal 37 3 4" xfId="8061"/>
    <cellStyle name="Normal 37 3 4 2" xfId="8062"/>
    <cellStyle name="Normal 37 3 4 3" xfId="8063"/>
    <cellStyle name="Normal 37 3 5" xfId="8064"/>
    <cellStyle name="Normal 37 3 6" xfId="8065"/>
    <cellStyle name="Normal 37 4" xfId="8066"/>
    <cellStyle name="Normal 37 4 2" xfId="8067"/>
    <cellStyle name="Normal 37 4 2 2" xfId="8068"/>
    <cellStyle name="Normal 37 4 2 3" xfId="8069"/>
    <cellStyle name="Normal 37 4 3" xfId="8070"/>
    <cellStyle name="Normal 37 4 3 2" xfId="8071"/>
    <cellStyle name="Normal 37 4 3 3" xfId="8072"/>
    <cellStyle name="Normal 37 4 4" xfId="8073"/>
    <cellStyle name="Normal 37 4 5" xfId="8074"/>
    <cellStyle name="Normal 37 5" xfId="8075"/>
    <cellStyle name="Normal 37 5 2" xfId="8076"/>
    <cellStyle name="Normal 37 5 3" xfId="8077"/>
    <cellStyle name="Normal 37 6" xfId="8078"/>
    <cellStyle name="Normal 37 6 2" xfId="8079"/>
    <cellStyle name="Normal 37 6 3" xfId="8080"/>
    <cellStyle name="Normal 37 7" xfId="8081"/>
    <cellStyle name="Normal 37 8" xfId="8082"/>
    <cellStyle name="Normal 38" xfId="190"/>
    <cellStyle name="Normal 38 2" xfId="8083"/>
    <cellStyle name="Normal 38 2 2" xfId="8084"/>
    <cellStyle name="Normal 38 2 2 2" xfId="8085"/>
    <cellStyle name="Normal 38 2 2 2 2" xfId="8086"/>
    <cellStyle name="Normal 38 2 2 2 2 2" xfId="8087"/>
    <cellStyle name="Normal 38 2 2 2 2 3" xfId="8088"/>
    <cellStyle name="Normal 38 2 2 2 3" xfId="8089"/>
    <cellStyle name="Normal 38 2 2 2 3 2" xfId="8090"/>
    <cellStyle name="Normal 38 2 2 2 3 3" xfId="8091"/>
    <cellStyle name="Normal 38 2 2 2 4" xfId="8092"/>
    <cellStyle name="Normal 38 2 2 2 5" xfId="8093"/>
    <cellStyle name="Normal 38 2 2 3" xfId="8094"/>
    <cellStyle name="Normal 38 2 2 3 2" xfId="8095"/>
    <cellStyle name="Normal 38 2 2 3 3" xfId="8096"/>
    <cellStyle name="Normal 38 2 2 4" xfId="8097"/>
    <cellStyle name="Normal 38 2 2 4 2" xfId="8098"/>
    <cellStyle name="Normal 38 2 2 4 3" xfId="8099"/>
    <cellStyle name="Normal 38 2 2 5" xfId="8100"/>
    <cellStyle name="Normal 38 2 2 6" xfId="8101"/>
    <cellStyle name="Normal 38 2 3" xfId="8102"/>
    <cellStyle name="Normal 38 2 3 2" xfId="8103"/>
    <cellStyle name="Normal 38 2 3 2 2" xfId="8104"/>
    <cellStyle name="Normal 38 2 3 2 3" xfId="8105"/>
    <cellStyle name="Normal 38 2 3 3" xfId="8106"/>
    <cellStyle name="Normal 38 2 3 3 2" xfId="8107"/>
    <cellStyle name="Normal 38 2 3 3 3" xfId="8108"/>
    <cellStyle name="Normal 38 2 3 4" xfId="8109"/>
    <cellStyle name="Normal 38 2 3 5" xfId="8110"/>
    <cellStyle name="Normal 38 2 4" xfId="8111"/>
    <cellStyle name="Normal 38 2 4 2" xfId="8112"/>
    <cellStyle name="Normal 38 2 4 3" xfId="8113"/>
    <cellStyle name="Normal 38 2 5" xfId="8114"/>
    <cellStyle name="Normal 38 2 5 2" xfId="8115"/>
    <cellStyle name="Normal 38 2 5 3" xfId="8116"/>
    <cellStyle name="Normal 38 2 6" xfId="8117"/>
    <cellStyle name="Normal 38 2 7" xfId="8118"/>
    <cellStyle name="Normal 38 3" xfId="8119"/>
    <cellStyle name="Normal 38 3 2" xfId="8120"/>
    <cellStyle name="Normal 38 3 2 2" xfId="8121"/>
    <cellStyle name="Normal 38 3 2 2 2" xfId="8122"/>
    <cellStyle name="Normal 38 3 2 2 3" xfId="8123"/>
    <cellStyle name="Normal 38 3 2 3" xfId="8124"/>
    <cellStyle name="Normal 38 3 2 3 2" xfId="8125"/>
    <cellStyle name="Normal 38 3 2 3 3" xfId="8126"/>
    <cellStyle name="Normal 38 3 2 4" xfId="8127"/>
    <cellStyle name="Normal 38 3 2 5" xfId="8128"/>
    <cellStyle name="Normal 38 3 3" xfId="8129"/>
    <cellStyle name="Normal 38 3 3 2" xfId="8130"/>
    <cellStyle name="Normal 38 3 3 3" xfId="8131"/>
    <cellStyle name="Normal 38 3 4" xfId="8132"/>
    <cellStyle name="Normal 38 3 4 2" xfId="8133"/>
    <cellStyle name="Normal 38 3 4 3" xfId="8134"/>
    <cellStyle name="Normal 38 3 5" xfId="8135"/>
    <cellStyle name="Normal 38 3 6" xfId="8136"/>
    <cellStyle name="Normal 38 4" xfId="8137"/>
    <cellStyle name="Normal 38 4 2" xfId="8138"/>
    <cellStyle name="Normal 38 4 2 2" xfId="8139"/>
    <cellStyle name="Normal 38 4 2 3" xfId="8140"/>
    <cellStyle name="Normal 38 4 3" xfId="8141"/>
    <cellStyle name="Normal 38 4 3 2" xfId="8142"/>
    <cellStyle name="Normal 38 4 3 3" xfId="8143"/>
    <cellStyle name="Normal 38 4 4" xfId="8144"/>
    <cellStyle name="Normal 38 4 5" xfId="8145"/>
    <cellStyle name="Normal 38 5" xfId="8146"/>
    <cellStyle name="Normal 38 5 2" xfId="8147"/>
    <cellStyle name="Normal 38 5 3" xfId="8148"/>
    <cellStyle name="Normal 38 6" xfId="8149"/>
    <cellStyle name="Normal 38 6 2" xfId="8150"/>
    <cellStyle name="Normal 38 6 3" xfId="8151"/>
    <cellStyle name="Normal 38 7" xfId="8152"/>
    <cellStyle name="Normal 38 8" xfId="8153"/>
    <cellStyle name="Normal 39" xfId="191"/>
    <cellStyle name="Normal 39 2" xfId="8154"/>
    <cellStyle name="Normal 39 2 2" xfId="8155"/>
    <cellStyle name="Normal 39 2 2 2" xfId="8156"/>
    <cellStyle name="Normal 39 2 2 2 2" xfId="8157"/>
    <cellStyle name="Normal 39 2 2 2 2 2" xfId="8158"/>
    <cellStyle name="Normal 39 2 2 2 2 3" xfId="8159"/>
    <cellStyle name="Normal 39 2 2 2 3" xfId="8160"/>
    <cellStyle name="Normal 39 2 2 2 3 2" xfId="8161"/>
    <cellStyle name="Normal 39 2 2 2 3 3" xfId="8162"/>
    <cellStyle name="Normal 39 2 2 2 4" xfId="8163"/>
    <cellStyle name="Normal 39 2 2 2 5" xfId="8164"/>
    <cellStyle name="Normal 39 2 2 3" xfId="8165"/>
    <cellStyle name="Normal 39 2 2 3 2" xfId="8166"/>
    <cellStyle name="Normal 39 2 2 3 3" xfId="8167"/>
    <cellStyle name="Normal 39 2 2 4" xfId="8168"/>
    <cellStyle name="Normal 39 2 2 4 2" xfId="8169"/>
    <cellStyle name="Normal 39 2 2 4 3" xfId="8170"/>
    <cellStyle name="Normal 39 2 2 5" xfId="8171"/>
    <cellStyle name="Normal 39 2 2 6" xfId="8172"/>
    <cellStyle name="Normal 39 2 3" xfId="8173"/>
    <cellStyle name="Normal 39 2 3 2" xfId="8174"/>
    <cellStyle name="Normal 39 2 3 2 2" xfId="8175"/>
    <cellStyle name="Normal 39 2 3 2 3" xfId="8176"/>
    <cellStyle name="Normal 39 2 3 3" xfId="8177"/>
    <cellStyle name="Normal 39 2 3 3 2" xfId="8178"/>
    <cellStyle name="Normal 39 2 3 3 3" xfId="8179"/>
    <cellStyle name="Normal 39 2 3 4" xfId="8180"/>
    <cellStyle name="Normal 39 2 3 5" xfId="8181"/>
    <cellStyle name="Normal 39 2 4" xfId="8182"/>
    <cellStyle name="Normal 39 2 4 2" xfId="8183"/>
    <cellStyle name="Normal 39 2 4 3" xfId="8184"/>
    <cellStyle name="Normal 39 2 5" xfId="8185"/>
    <cellStyle name="Normal 39 2 5 2" xfId="8186"/>
    <cellStyle name="Normal 39 2 5 3" xfId="8187"/>
    <cellStyle name="Normal 39 2 6" xfId="8188"/>
    <cellStyle name="Normal 39 2 7" xfId="8189"/>
    <cellStyle name="Normal 39 3" xfId="8190"/>
    <cellStyle name="Normal 39 3 2" xfId="8191"/>
    <cellStyle name="Normal 39 3 2 2" xfId="8192"/>
    <cellStyle name="Normal 39 3 2 2 2" xfId="8193"/>
    <cellStyle name="Normal 39 3 2 2 3" xfId="8194"/>
    <cellStyle name="Normal 39 3 2 3" xfId="8195"/>
    <cellStyle name="Normal 39 3 2 3 2" xfId="8196"/>
    <cellStyle name="Normal 39 3 2 3 3" xfId="8197"/>
    <cellStyle name="Normal 39 3 2 4" xfId="8198"/>
    <cellStyle name="Normal 39 3 2 5" xfId="8199"/>
    <cellStyle name="Normal 39 3 3" xfId="8200"/>
    <cellStyle name="Normal 39 3 3 2" xfId="8201"/>
    <cellStyle name="Normal 39 3 3 3" xfId="8202"/>
    <cellStyle name="Normal 39 3 4" xfId="8203"/>
    <cellStyle name="Normal 39 3 4 2" xfId="8204"/>
    <cellStyle name="Normal 39 3 4 3" xfId="8205"/>
    <cellStyle name="Normal 39 3 5" xfId="8206"/>
    <cellStyle name="Normal 39 3 6" xfId="8207"/>
    <cellStyle name="Normal 39 4" xfId="8208"/>
    <cellStyle name="Normal 39 4 2" xfId="8209"/>
    <cellStyle name="Normal 39 4 2 2" xfId="8210"/>
    <cellStyle name="Normal 39 4 2 3" xfId="8211"/>
    <cellStyle name="Normal 39 4 3" xfId="8212"/>
    <cellStyle name="Normal 39 4 3 2" xfId="8213"/>
    <cellStyle name="Normal 39 4 3 3" xfId="8214"/>
    <cellStyle name="Normal 39 4 4" xfId="8215"/>
    <cellStyle name="Normal 39 4 5" xfId="8216"/>
    <cellStyle name="Normal 39 5" xfId="8217"/>
    <cellStyle name="Normal 39 5 2" xfId="8218"/>
    <cellStyle name="Normal 39 5 3" xfId="8219"/>
    <cellStyle name="Normal 39 6" xfId="8220"/>
    <cellStyle name="Normal 39 6 2" xfId="8221"/>
    <cellStyle name="Normal 39 6 3" xfId="8222"/>
    <cellStyle name="Normal 39 7" xfId="8223"/>
    <cellStyle name="Normal 39 8" xfId="8224"/>
    <cellStyle name="Normal 4" xfId="21"/>
    <cellStyle name="Normal 4 2" xfId="192"/>
    <cellStyle name="Normal 4 2 2" xfId="8225"/>
    <cellStyle name="Normal 4 2 2 2" xfId="8226"/>
    <cellStyle name="Normal 4 2 2 2 2" xfId="8227"/>
    <cellStyle name="Normal 4 2 2 2 2 2" xfId="8228"/>
    <cellStyle name="Normal 4 2 2 2 2 3" xfId="8229"/>
    <cellStyle name="Normal 4 2 2 2 3" xfId="8230"/>
    <cellStyle name="Normal 4 2 2 2 3 2" xfId="8231"/>
    <cellStyle name="Normal 4 2 2 2 3 3" xfId="8232"/>
    <cellStyle name="Normal 4 2 2 2 4" xfId="8233"/>
    <cellStyle name="Normal 4 2 2 2 5" xfId="8234"/>
    <cellStyle name="Normal 4 2 2 3" xfId="8235"/>
    <cellStyle name="Normal 4 2 2 3 2" xfId="8236"/>
    <cellStyle name="Normal 4 2 2 3 3" xfId="8237"/>
    <cellStyle name="Normal 4 2 2 4" xfId="8238"/>
    <cellStyle name="Normal 4 2 2 4 2" xfId="8239"/>
    <cellStyle name="Normal 4 2 2 4 3" xfId="8240"/>
    <cellStyle name="Normal 4 2 2 5" xfId="8241"/>
    <cellStyle name="Normal 4 2 2 6" xfId="8242"/>
    <cellStyle name="Normal 4 2 3" xfId="8243"/>
    <cellStyle name="Normal 4 2 3 2" xfId="8244"/>
    <cellStyle name="Normal 4 2 3 2 2" xfId="8245"/>
    <cellStyle name="Normal 4 2 3 2 3" xfId="8246"/>
    <cellStyle name="Normal 4 2 3 3" xfId="8247"/>
    <cellStyle name="Normal 4 2 3 3 2" xfId="8248"/>
    <cellStyle name="Normal 4 2 3 3 3" xfId="8249"/>
    <cellStyle name="Normal 4 2 3 4" xfId="8250"/>
    <cellStyle name="Normal 4 2 3 5" xfId="8251"/>
    <cellStyle name="Normal 4 2 4" xfId="8252"/>
    <cellStyle name="Normal 4 2 4 2" xfId="8253"/>
    <cellStyle name="Normal 4 2 4 3" xfId="8254"/>
    <cellStyle name="Normal 4 2 5" xfId="8255"/>
    <cellStyle name="Normal 4 2 5 2" xfId="8256"/>
    <cellStyle name="Normal 4 2 5 3" xfId="8257"/>
    <cellStyle name="Normal 4 2 6" xfId="8258"/>
    <cellStyle name="Normal 4 2 7" xfId="8259"/>
    <cellStyle name="Normal 4 3" xfId="8260"/>
    <cellStyle name="Normal 4 3 2" xfId="8261"/>
    <cellStyle name="Normal 4 3 2 2" xfId="8262"/>
    <cellStyle name="Normal 4 3 2 3" xfId="8263"/>
    <cellStyle name="Normal 4 3 3" xfId="8264"/>
    <cellStyle name="Normal 4 3 4" xfId="8265"/>
    <cellStyle name="Normal 4 3 5" xfId="8266"/>
    <cellStyle name="Normal 4 4" xfId="8267"/>
    <cellStyle name="Normal 4 4 2" xfId="8268"/>
    <cellStyle name="Normal 4 5" xfId="8269"/>
    <cellStyle name="Normal 4 6" xfId="8270"/>
    <cellStyle name="Normal 4_2180" xfId="8271"/>
    <cellStyle name="Normal 40" xfId="193"/>
    <cellStyle name="Normal 40 2" xfId="8272"/>
    <cellStyle name="Normal 40 2 2" xfId="8273"/>
    <cellStyle name="Normal 40 2 2 2" xfId="8274"/>
    <cellStyle name="Normal 40 2 2 2 2" xfId="8275"/>
    <cellStyle name="Normal 40 2 2 2 2 2" xfId="8276"/>
    <cellStyle name="Normal 40 2 2 2 2 3" xfId="8277"/>
    <cellStyle name="Normal 40 2 2 2 3" xfId="8278"/>
    <cellStyle name="Normal 40 2 2 2 3 2" xfId="8279"/>
    <cellStyle name="Normal 40 2 2 2 3 3" xfId="8280"/>
    <cellStyle name="Normal 40 2 2 2 4" xfId="8281"/>
    <cellStyle name="Normal 40 2 2 2 5" xfId="8282"/>
    <cellStyle name="Normal 40 2 2 3" xfId="8283"/>
    <cellStyle name="Normal 40 2 2 3 2" xfId="8284"/>
    <cellStyle name="Normal 40 2 2 3 3" xfId="8285"/>
    <cellStyle name="Normal 40 2 2 4" xfId="8286"/>
    <cellStyle name="Normal 40 2 2 4 2" xfId="8287"/>
    <cellStyle name="Normal 40 2 2 4 3" xfId="8288"/>
    <cellStyle name="Normal 40 2 2 5" xfId="8289"/>
    <cellStyle name="Normal 40 2 2 6" xfId="8290"/>
    <cellStyle name="Normal 40 2 3" xfId="8291"/>
    <cellStyle name="Normal 40 2 3 2" xfId="8292"/>
    <cellStyle name="Normal 40 2 3 2 2" xfId="8293"/>
    <cellStyle name="Normal 40 2 3 2 3" xfId="8294"/>
    <cellStyle name="Normal 40 2 3 3" xfId="8295"/>
    <cellStyle name="Normal 40 2 3 3 2" xfId="8296"/>
    <cellStyle name="Normal 40 2 3 3 3" xfId="8297"/>
    <cellStyle name="Normal 40 2 3 4" xfId="8298"/>
    <cellStyle name="Normal 40 2 3 5" xfId="8299"/>
    <cellStyle name="Normal 40 2 4" xfId="8300"/>
    <cellStyle name="Normal 40 2 4 2" xfId="8301"/>
    <cellStyle name="Normal 40 2 4 3" xfId="8302"/>
    <cellStyle name="Normal 40 2 5" xfId="8303"/>
    <cellStyle name="Normal 40 2 5 2" xfId="8304"/>
    <cellStyle name="Normal 40 2 5 3" xfId="8305"/>
    <cellStyle name="Normal 40 2 6" xfId="8306"/>
    <cellStyle name="Normal 40 2 7" xfId="8307"/>
    <cellStyle name="Normal 40 3" xfId="8308"/>
    <cellStyle name="Normal 40 3 2" xfId="8309"/>
    <cellStyle name="Normal 40 3 2 2" xfId="8310"/>
    <cellStyle name="Normal 40 3 2 2 2" xfId="8311"/>
    <cellStyle name="Normal 40 3 2 2 3" xfId="8312"/>
    <cellStyle name="Normal 40 3 2 3" xfId="8313"/>
    <cellStyle name="Normal 40 3 2 3 2" xfId="8314"/>
    <cellStyle name="Normal 40 3 2 3 3" xfId="8315"/>
    <cellStyle name="Normal 40 3 2 4" xfId="8316"/>
    <cellStyle name="Normal 40 3 2 5" xfId="8317"/>
    <cellStyle name="Normal 40 3 3" xfId="8318"/>
    <cellStyle name="Normal 40 3 3 2" xfId="8319"/>
    <cellStyle name="Normal 40 3 3 3" xfId="8320"/>
    <cellStyle name="Normal 40 3 4" xfId="8321"/>
    <cellStyle name="Normal 40 3 4 2" xfId="8322"/>
    <cellStyle name="Normal 40 3 4 3" xfId="8323"/>
    <cellStyle name="Normal 40 3 5" xfId="8324"/>
    <cellStyle name="Normal 40 3 6" xfId="8325"/>
    <cellStyle name="Normal 40 4" xfId="8326"/>
    <cellStyle name="Normal 40 4 2" xfId="8327"/>
    <cellStyle name="Normal 40 4 2 2" xfId="8328"/>
    <cellStyle name="Normal 40 4 2 3" xfId="8329"/>
    <cellStyle name="Normal 40 4 3" xfId="8330"/>
    <cellStyle name="Normal 40 4 3 2" xfId="8331"/>
    <cellStyle name="Normal 40 4 3 3" xfId="8332"/>
    <cellStyle name="Normal 40 4 4" xfId="8333"/>
    <cellStyle name="Normal 40 4 5" xfId="8334"/>
    <cellStyle name="Normal 40 5" xfId="8335"/>
    <cellStyle name="Normal 40 5 2" xfId="8336"/>
    <cellStyle name="Normal 40 5 3" xfId="8337"/>
    <cellStyle name="Normal 40 6" xfId="8338"/>
    <cellStyle name="Normal 40 6 2" xfId="8339"/>
    <cellStyle name="Normal 40 6 3" xfId="8340"/>
    <cellStyle name="Normal 40 7" xfId="8341"/>
    <cellStyle name="Normal 40 8" xfId="8342"/>
    <cellStyle name="Normal 41" xfId="194"/>
    <cellStyle name="Normal 41 2" xfId="8343"/>
    <cellStyle name="Normal 41 2 2" xfId="8344"/>
    <cellStyle name="Normal 41 2 2 2" xfId="8345"/>
    <cellStyle name="Normal 41 2 2 2 2" xfId="8346"/>
    <cellStyle name="Normal 41 2 2 2 2 2" xfId="8347"/>
    <cellStyle name="Normal 41 2 2 2 2 3" xfId="8348"/>
    <cellStyle name="Normal 41 2 2 2 3" xfId="8349"/>
    <cellStyle name="Normal 41 2 2 2 3 2" xfId="8350"/>
    <cellStyle name="Normal 41 2 2 2 3 3" xfId="8351"/>
    <cellStyle name="Normal 41 2 2 2 4" xfId="8352"/>
    <cellStyle name="Normal 41 2 2 2 5" xfId="8353"/>
    <cellStyle name="Normal 41 2 2 3" xfId="8354"/>
    <cellStyle name="Normal 41 2 2 3 2" xfId="8355"/>
    <cellStyle name="Normal 41 2 2 3 3" xfId="8356"/>
    <cellStyle name="Normal 41 2 2 4" xfId="8357"/>
    <cellStyle name="Normal 41 2 2 4 2" xfId="8358"/>
    <cellStyle name="Normal 41 2 2 4 3" xfId="8359"/>
    <cellStyle name="Normal 41 2 2 5" xfId="8360"/>
    <cellStyle name="Normal 41 2 2 6" xfId="8361"/>
    <cellStyle name="Normal 41 2 3" xfId="8362"/>
    <cellStyle name="Normal 41 2 3 2" xfId="8363"/>
    <cellStyle name="Normal 41 2 3 2 2" xfId="8364"/>
    <cellStyle name="Normal 41 2 3 2 3" xfId="8365"/>
    <cellStyle name="Normal 41 2 3 3" xfId="8366"/>
    <cellStyle name="Normal 41 2 3 3 2" xfId="8367"/>
    <cellStyle name="Normal 41 2 3 3 3" xfId="8368"/>
    <cellStyle name="Normal 41 2 3 4" xfId="8369"/>
    <cellStyle name="Normal 41 2 3 5" xfId="8370"/>
    <cellStyle name="Normal 41 2 4" xfId="8371"/>
    <cellStyle name="Normal 41 2 4 2" xfId="8372"/>
    <cellStyle name="Normal 41 2 4 3" xfId="8373"/>
    <cellStyle name="Normal 41 2 5" xfId="8374"/>
    <cellStyle name="Normal 41 2 5 2" xfId="8375"/>
    <cellStyle name="Normal 41 2 5 3" xfId="8376"/>
    <cellStyle name="Normal 41 2 6" xfId="8377"/>
    <cellStyle name="Normal 41 2 7" xfId="8378"/>
    <cellStyle name="Normal 41 3" xfId="8379"/>
    <cellStyle name="Normal 41 3 2" xfId="8380"/>
    <cellStyle name="Normal 41 3 2 2" xfId="8381"/>
    <cellStyle name="Normal 41 3 2 2 2" xfId="8382"/>
    <cellStyle name="Normal 41 3 2 2 3" xfId="8383"/>
    <cellStyle name="Normal 41 3 2 3" xfId="8384"/>
    <cellStyle name="Normal 41 3 2 3 2" xfId="8385"/>
    <cellStyle name="Normal 41 3 2 3 3" xfId="8386"/>
    <cellStyle name="Normal 41 3 2 4" xfId="8387"/>
    <cellStyle name="Normal 41 3 2 5" xfId="8388"/>
    <cellStyle name="Normal 41 3 3" xfId="8389"/>
    <cellStyle name="Normal 41 3 3 2" xfId="8390"/>
    <cellStyle name="Normal 41 3 3 3" xfId="8391"/>
    <cellStyle name="Normal 41 3 4" xfId="8392"/>
    <cellStyle name="Normal 41 3 4 2" xfId="8393"/>
    <cellStyle name="Normal 41 3 4 3" xfId="8394"/>
    <cellStyle name="Normal 41 3 5" xfId="8395"/>
    <cellStyle name="Normal 41 3 6" xfId="8396"/>
    <cellStyle name="Normal 41 4" xfId="8397"/>
    <cellStyle name="Normal 41 4 2" xfId="8398"/>
    <cellStyle name="Normal 41 4 2 2" xfId="8399"/>
    <cellStyle name="Normal 41 4 2 3" xfId="8400"/>
    <cellStyle name="Normal 41 4 3" xfId="8401"/>
    <cellStyle name="Normal 41 4 3 2" xfId="8402"/>
    <cellStyle name="Normal 41 4 3 3" xfId="8403"/>
    <cellStyle name="Normal 41 4 4" xfId="8404"/>
    <cellStyle name="Normal 41 4 5" xfId="8405"/>
    <cellStyle name="Normal 41 5" xfId="8406"/>
    <cellStyle name="Normal 41 5 2" xfId="8407"/>
    <cellStyle name="Normal 41 5 3" xfId="8408"/>
    <cellStyle name="Normal 41 6" xfId="8409"/>
    <cellStyle name="Normal 41 6 2" xfId="8410"/>
    <cellStyle name="Normal 41 6 3" xfId="8411"/>
    <cellStyle name="Normal 41 7" xfId="8412"/>
    <cellStyle name="Normal 41 8" xfId="8413"/>
    <cellStyle name="Normal 42" xfId="195"/>
    <cellStyle name="Normal 42 2" xfId="8414"/>
    <cellStyle name="Normal 42 3" xfId="8415"/>
    <cellStyle name="Normal 43" xfId="196"/>
    <cellStyle name="Normal 43 2" xfId="8416"/>
    <cellStyle name="Normal 43 2 2" xfId="8417"/>
    <cellStyle name="Normal 43 2 2 2" xfId="8418"/>
    <cellStyle name="Normal 43 2 2 2 2" xfId="8419"/>
    <cellStyle name="Normal 43 2 2 2 2 2" xfId="8420"/>
    <cellStyle name="Normal 43 2 2 2 2 3" xfId="8421"/>
    <cellStyle name="Normal 43 2 2 2 3" xfId="8422"/>
    <cellStyle name="Normal 43 2 2 2 3 2" xfId="8423"/>
    <cellStyle name="Normal 43 2 2 2 3 3" xfId="8424"/>
    <cellStyle name="Normal 43 2 2 2 4" xfId="8425"/>
    <cellStyle name="Normal 43 2 2 2 5" xfId="8426"/>
    <cellStyle name="Normal 43 2 2 3" xfId="8427"/>
    <cellStyle name="Normal 43 2 2 3 2" xfId="8428"/>
    <cellStyle name="Normal 43 2 2 3 3" xfId="8429"/>
    <cellStyle name="Normal 43 2 2 4" xfId="8430"/>
    <cellStyle name="Normal 43 2 2 4 2" xfId="8431"/>
    <cellStyle name="Normal 43 2 2 4 3" xfId="8432"/>
    <cellStyle name="Normal 43 2 2 5" xfId="8433"/>
    <cellStyle name="Normal 43 2 2 6" xfId="8434"/>
    <cellStyle name="Normal 43 2 3" xfId="8435"/>
    <cellStyle name="Normal 43 2 3 2" xfId="8436"/>
    <cellStyle name="Normal 43 2 3 2 2" xfId="8437"/>
    <cellStyle name="Normal 43 2 3 2 3" xfId="8438"/>
    <cellStyle name="Normal 43 2 3 3" xfId="8439"/>
    <cellStyle name="Normal 43 2 3 3 2" xfId="8440"/>
    <cellStyle name="Normal 43 2 3 3 3" xfId="8441"/>
    <cellStyle name="Normal 43 2 3 4" xfId="8442"/>
    <cellStyle name="Normal 43 2 3 5" xfId="8443"/>
    <cellStyle name="Normal 43 2 4" xfId="8444"/>
    <cellStyle name="Normal 43 2 4 2" xfId="8445"/>
    <cellStyle name="Normal 43 2 4 3" xfId="8446"/>
    <cellStyle name="Normal 43 2 5" xfId="8447"/>
    <cellStyle name="Normal 43 2 5 2" xfId="8448"/>
    <cellStyle name="Normal 43 2 5 3" xfId="8449"/>
    <cellStyle name="Normal 43 2 6" xfId="8450"/>
    <cellStyle name="Normal 43 2 7" xfId="8451"/>
    <cellStyle name="Normal 43 3" xfId="8452"/>
    <cellStyle name="Normal 44" xfId="197"/>
    <cellStyle name="Normal 44 2" xfId="8453"/>
    <cellStyle name="Normal 44 2 2" xfId="8454"/>
    <cellStyle name="Normal 44 2 2 2" xfId="8455"/>
    <cellStyle name="Normal 44 2 2 2 2" xfId="8456"/>
    <cellStyle name="Normal 44 2 2 2 2 2" xfId="8457"/>
    <cellStyle name="Normal 44 2 2 2 2 3" xfId="8458"/>
    <cellStyle name="Normal 44 2 2 2 3" xfId="8459"/>
    <cellStyle name="Normal 44 2 2 2 3 2" xfId="8460"/>
    <cellStyle name="Normal 44 2 2 2 3 3" xfId="8461"/>
    <cellStyle name="Normal 44 2 2 2 4" xfId="8462"/>
    <cellStyle name="Normal 44 2 2 2 5" xfId="8463"/>
    <cellStyle name="Normal 44 2 2 3" xfId="8464"/>
    <cellStyle name="Normal 44 2 2 3 2" xfId="8465"/>
    <cellStyle name="Normal 44 2 2 3 3" xfId="8466"/>
    <cellStyle name="Normal 44 2 2 4" xfId="8467"/>
    <cellStyle name="Normal 44 2 2 4 2" xfId="8468"/>
    <cellStyle name="Normal 44 2 2 4 3" xfId="8469"/>
    <cellStyle name="Normal 44 2 2 5" xfId="8470"/>
    <cellStyle name="Normal 44 2 2 6" xfId="8471"/>
    <cellStyle name="Normal 44 2 3" xfId="8472"/>
    <cellStyle name="Normal 44 2 3 2" xfId="8473"/>
    <cellStyle name="Normal 44 2 3 2 2" xfId="8474"/>
    <cellStyle name="Normal 44 2 3 2 3" xfId="8475"/>
    <cellStyle name="Normal 44 2 3 3" xfId="8476"/>
    <cellStyle name="Normal 44 2 3 3 2" xfId="8477"/>
    <cellStyle name="Normal 44 2 3 3 3" xfId="8478"/>
    <cellStyle name="Normal 44 2 3 4" xfId="8479"/>
    <cellStyle name="Normal 44 2 3 5" xfId="8480"/>
    <cellStyle name="Normal 44 2 4" xfId="8481"/>
    <cellStyle name="Normal 44 2 4 2" xfId="8482"/>
    <cellStyle name="Normal 44 2 4 3" xfId="8483"/>
    <cellStyle name="Normal 44 2 5" xfId="8484"/>
    <cellStyle name="Normal 44 2 5 2" xfId="8485"/>
    <cellStyle name="Normal 44 2 5 3" xfId="8486"/>
    <cellStyle name="Normal 44 2 6" xfId="8487"/>
    <cellStyle name="Normal 44 2 7" xfId="8488"/>
    <cellStyle name="Normal 44 3" xfId="8489"/>
    <cellStyle name="Normal 44 3 2" xfId="8490"/>
    <cellStyle name="Normal 44 3 2 2" xfId="8491"/>
    <cellStyle name="Normal 44 3 2 2 2" xfId="8492"/>
    <cellStyle name="Normal 44 3 2 2 3" xfId="8493"/>
    <cellStyle name="Normal 44 3 2 3" xfId="8494"/>
    <cellStyle name="Normal 44 3 2 3 2" xfId="8495"/>
    <cellStyle name="Normal 44 3 2 3 3" xfId="8496"/>
    <cellStyle name="Normal 44 3 2 4" xfId="8497"/>
    <cellStyle name="Normal 44 3 2 5" xfId="8498"/>
    <cellStyle name="Normal 44 3 3" xfId="8499"/>
    <cellStyle name="Normal 44 3 3 2" xfId="8500"/>
    <cellStyle name="Normal 44 3 3 3" xfId="8501"/>
    <cellStyle name="Normal 44 3 4" xfId="8502"/>
    <cellStyle name="Normal 44 3 4 2" xfId="8503"/>
    <cellStyle name="Normal 44 3 4 3" xfId="8504"/>
    <cellStyle name="Normal 44 3 5" xfId="8505"/>
    <cellStyle name="Normal 44 3 6" xfId="8506"/>
    <cellStyle name="Normal 44 4" xfId="8507"/>
    <cellStyle name="Normal 44 4 2" xfId="8508"/>
    <cellStyle name="Normal 44 4 2 2" xfId="8509"/>
    <cellStyle name="Normal 44 4 2 3" xfId="8510"/>
    <cellStyle name="Normal 44 4 3" xfId="8511"/>
    <cellStyle name="Normal 44 4 3 2" xfId="8512"/>
    <cellStyle name="Normal 44 4 3 3" xfId="8513"/>
    <cellStyle name="Normal 44 4 4" xfId="8514"/>
    <cellStyle name="Normal 44 4 5" xfId="8515"/>
    <cellStyle name="Normal 44 5" xfId="8516"/>
    <cellStyle name="Normal 44 5 2" xfId="8517"/>
    <cellStyle name="Normal 44 5 3" xfId="8518"/>
    <cellStyle name="Normal 44 6" xfId="8519"/>
    <cellStyle name="Normal 44 6 2" xfId="8520"/>
    <cellStyle name="Normal 44 6 3" xfId="8521"/>
    <cellStyle name="Normal 44 7" xfId="8522"/>
    <cellStyle name="Normal 44 8" xfId="8523"/>
    <cellStyle name="Normal 45" xfId="198"/>
    <cellStyle name="Normal 45 2" xfId="8524"/>
    <cellStyle name="Normal 45 2 2" xfId="8525"/>
    <cellStyle name="Normal 45 2 2 2" xfId="8526"/>
    <cellStyle name="Normal 45 2 2 2 2" xfId="8527"/>
    <cellStyle name="Normal 45 2 2 2 2 2" xfId="8528"/>
    <cellStyle name="Normal 45 2 2 2 2 3" xfId="8529"/>
    <cellStyle name="Normal 45 2 2 2 3" xfId="8530"/>
    <cellStyle name="Normal 45 2 2 2 3 2" xfId="8531"/>
    <cellStyle name="Normal 45 2 2 2 3 3" xfId="8532"/>
    <cellStyle name="Normal 45 2 2 2 4" xfId="8533"/>
    <cellStyle name="Normal 45 2 2 2 5" xfId="8534"/>
    <cellStyle name="Normal 45 2 2 3" xfId="8535"/>
    <cellStyle name="Normal 45 2 2 3 2" xfId="8536"/>
    <cellStyle name="Normal 45 2 2 3 3" xfId="8537"/>
    <cellStyle name="Normal 45 2 2 4" xfId="8538"/>
    <cellStyle name="Normal 45 2 2 4 2" xfId="8539"/>
    <cellStyle name="Normal 45 2 2 4 3" xfId="8540"/>
    <cellStyle name="Normal 45 2 2 5" xfId="8541"/>
    <cellStyle name="Normal 45 2 2 6" xfId="8542"/>
    <cellStyle name="Normal 45 2 3" xfId="8543"/>
    <cellStyle name="Normal 45 2 3 2" xfId="8544"/>
    <cellStyle name="Normal 45 2 3 2 2" xfId="8545"/>
    <cellStyle name="Normal 45 2 3 2 3" xfId="8546"/>
    <cellStyle name="Normal 45 2 3 3" xfId="8547"/>
    <cellStyle name="Normal 45 2 3 3 2" xfId="8548"/>
    <cellStyle name="Normal 45 2 3 3 3" xfId="8549"/>
    <cellStyle name="Normal 45 2 3 4" xfId="8550"/>
    <cellStyle name="Normal 45 2 3 5" xfId="8551"/>
    <cellStyle name="Normal 45 2 4" xfId="8552"/>
    <cellStyle name="Normal 45 2 4 2" xfId="8553"/>
    <cellStyle name="Normal 45 2 4 3" xfId="8554"/>
    <cellStyle name="Normal 45 2 5" xfId="8555"/>
    <cellStyle name="Normal 45 2 5 2" xfId="8556"/>
    <cellStyle name="Normal 45 2 5 3" xfId="8557"/>
    <cellStyle name="Normal 45 2 6" xfId="8558"/>
    <cellStyle name="Normal 45 2 7" xfId="8559"/>
    <cellStyle name="Normal 45 3" xfId="8560"/>
    <cellStyle name="Normal 46" xfId="199"/>
    <cellStyle name="Normal 46 2" xfId="8561"/>
    <cellStyle name="Normal 46 2 2" xfId="8562"/>
    <cellStyle name="Normal 46 2 2 2" xfId="8563"/>
    <cellStyle name="Normal 46 2 2 2 2" xfId="8564"/>
    <cellStyle name="Normal 46 2 2 2 2 2" xfId="8565"/>
    <cellStyle name="Normal 46 2 2 2 2 3" xfId="8566"/>
    <cellStyle name="Normal 46 2 2 2 3" xfId="8567"/>
    <cellStyle name="Normal 46 2 2 2 3 2" xfId="8568"/>
    <cellStyle name="Normal 46 2 2 2 3 3" xfId="8569"/>
    <cellStyle name="Normal 46 2 2 2 4" xfId="8570"/>
    <cellStyle name="Normal 46 2 2 2 5" xfId="8571"/>
    <cellStyle name="Normal 46 2 2 3" xfId="8572"/>
    <cellStyle name="Normal 46 2 2 3 2" xfId="8573"/>
    <cellStyle name="Normal 46 2 2 3 3" xfId="8574"/>
    <cellStyle name="Normal 46 2 2 4" xfId="8575"/>
    <cellStyle name="Normal 46 2 2 4 2" xfId="8576"/>
    <cellStyle name="Normal 46 2 2 4 3" xfId="8577"/>
    <cellStyle name="Normal 46 2 2 5" xfId="8578"/>
    <cellStyle name="Normal 46 2 2 6" xfId="8579"/>
    <cellStyle name="Normal 46 2 3" xfId="8580"/>
    <cellStyle name="Normal 46 2 3 2" xfId="8581"/>
    <cellStyle name="Normal 46 2 3 2 2" xfId="8582"/>
    <cellStyle name="Normal 46 2 3 2 3" xfId="8583"/>
    <cellStyle name="Normal 46 2 3 3" xfId="8584"/>
    <cellStyle name="Normal 46 2 3 3 2" xfId="8585"/>
    <cellStyle name="Normal 46 2 3 3 3" xfId="8586"/>
    <cellStyle name="Normal 46 2 3 4" xfId="8587"/>
    <cellStyle name="Normal 46 2 3 5" xfId="8588"/>
    <cellStyle name="Normal 46 2 4" xfId="8589"/>
    <cellStyle name="Normal 46 2 4 2" xfId="8590"/>
    <cellStyle name="Normal 46 2 4 3" xfId="8591"/>
    <cellStyle name="Normal 46 2 5" xfId="8592"/>
    <cellStyle name="Normal 46 2 5 2" xfId="8593"/>
    <cellStyle name="Normal 46 2 5 3" xfId="8594"/>
    <cellStyle name="Normal 46 2 6" xfId="8595"/>
    <cellStyle name="Normal 46 2 7" xfId="8596"/>
    <cellStyle name="Normal 46 3" xfId="8597"/>
    <cellStyle name="Normal 47" xfId="200"/>
    <cellStyle name="Normal 47 2" xfId="8598"/>
    <cellStyle name="Normal 47 2 2" xfId="8599"/>
    <cellStyle name="Normal 47 2 2 2" xfId="8600"/>
    <cellStyle name="Normal 47 2 2 2 2" xfId="8601"/>
    <cellStyle name="Normal 47 2 2 2 2 2" xfId="8602"/>
    <cellStyle name="Normal 47 2 2 2 2 3" xfId="8603"/>
    <cellStyle name="Normal 47 2 2 2 3" xfId="8604"/>
    <cellStyle name="Normal 47 2 2 2 3 2" xfId="8605"/>
    <cellStyle name="Normal 47 2 2 2 3 3" xfId="8606"/>
    <cellStyle name="Normal 47 2 2 2 4" xfId="8607"/>
    <cellStyle name="Normal 47 2 2 2 5" xfId="8608"/>
    <cellStyle name="Normal 47 2 2 3" xfId="8609"/>
    <cellStyle name="Normal 47 2 2 3 2" xfId="8610"/>
    <cellStyle name="Normal 47 2 2 3 3" xfId="8611"/>
    <cellStyle name="Normal 47 2 2 4" xfId="8612"/>
    <cellStyle name="Normal 47 2 2 4 2" xfId="8613"/>
    <cellStyle name="Normal 47 2 2 4 3" xfId="8614"/>
    <cellStyle name="Normal 47 2 2 5" xfId="8615"/>
    <cellStyle name="Normal 47 2 2 6" xfId="8616"/>
    <cellStyle name="Normal 47 2 3" xfId="8617"/>
    <cellStyle name="Normal 47 2 3 2" xfId="8618"/>
    <cellStyle name="Normal 47 2 3 2 2" xfId="8619"/>
    <cellStyle name="Normal 47 2 3 2 3" xfId="8620"/>
    <cellStyle name="Normal 47 2 3 3" xfId="8621"/>
    <cellStyle name="Normal 47 2 3 3 2" xfId="8622"/>
    <cellStyle name="Normal 47 2 3 3 3" xfId="8623"/>
    <cellStyle name="Normal 47 2 3 4" xfId="8624"/>
    <cellStyle name="Normal 47 2 3 5" xfId="8625"/>
    <cellStyle name="Normal 47 2 4" xfId="8626"/>
    <cellStyle name="Normal 47 2 4 2" xfId="8627"/>
    <cellStyle name="Normal 47 2 4 3" xfId="8628"/>
    <cellStyle name="Normal 47 2 5" xfId="8629"/>
    <cellStyle name="Normal 47 2 5 2" xfId="8630"/>
    <cellStyle name="Normal 47 2 5 3" xfId="8631"/>
    <cellStyle name="Normal 47 2 6" xfId="8632"/>
    <cellStyle name="Normal 47 2 7" xfId="8633"/>
    <cellStyle name="Normal 47 3" xfId="8634"/>
    <cellStyle name="Normal 48" xfId="201"/>
    <cellStyle name="Normal 48 2" xfId="8635"/>
    <cellStyle name="Normal 48 2 2" xfId="8636"/>
    <cellStyle name="Normal 48 2 2 2" xfId="8637"/>
    <cellStyle name="Normal 48 2 2 2 2" xfId="8638"/>
    <cellStyle name="Normal 48 2 2 2 2 2" xfId="8639"/>
    <cellStyle name="Normal 48 2 2 2 2 3" xfId="8640"/>
    <cellStyle name="Normal 48 2 2 2 3" xfId="8641"/>
    <cellStyle name="Normal 48 2 2 2 3 2" xfId="8642"/>
    <cellStyle name="Normal 48 2 2 2 3 3" xfId="8643"/>
    <cellStyle name="Normal 48 2 2 2 4" xfId="8644"/>
    <cellStyle name="Normal 48 2 2 2 5" xfId="8645"/>
    <cellStyle name="Normal 48 2 2 3" xfId="8646"/>
    <cellStyle name="Normal 48 2 2 3 2" xfId="8647"/>
    <cellStyle name="Normal 48 2 2 3 3" xfId="8648"/>
    <cellStyle name="Normal 48 2 2 4" xfId="8649"/>
    <cellStyle name="Normal 48 2 2 4 2" xfId="8650"/>
    <cellStyle name="Normal 48 2 2 4 3" xfId="8651"/>
    <cellStyle name="Normal 48 2 2 5" xfId="8652"/>
    <cellStyle name="Normal 48 2 2 6" xfId="8653"/>
    <cellStyle name="Normal 48 2 3" xfId="8654"/>
    <cellStyle name="Normal 48 2 3 2" xfId="8655"/>
    <cellStyle name="Normal 48 2 3 2 2" xfId="8656"/>
    <cellStyle name="Normal 48 2 3 2 3" xfId="8657"/>
    <cellStyle name="Normal 48 2 3 3" xfId="8658"/>
    <cellStyle name="Normal 48 2 3 3 2" xfId="8659"/>
    <cellStyle name="Normal 48 2 3 3 3" xfId="8660"/>
    <cellStyle name="Normal 48 2 3 4" xfId="8661"/>
    <cellStyle name="Normal 48 2 3 5" xfId="8662"/>
    <cellStyle name="Normal 48 2 4" xfId="8663"/>
    <cellStyle name="Normal 48 2 4 2" xfId="8664"/>
    <cellStyle name="Normal 48 2 4 3" xfId="8665"/>
    <cellStyle name="Normal 48 2 5" xfId="8666"/>
    <cellStyle name="Normal 48 2 5 2" xfId="8667"/>
    <cellStyle name="Normal 48 2 5 3" xfId="8668"/>
    <cellStyle name="Normal 48 2 6" xfId="8669"/>
    <cellStyle name="Normal 48 2 7" xfId="8670"/>
    <cellStyle name="Normal 48 3" xfId="8671"/>
    <cellStyle name="Normal 48 3 2" xfId="8672"/>
    <cellStyle name="Normal 48 3 2 2" xfId="8673"/>
    <cellStyle name="Normal 48 3 2 2 2" xfId="8674"/>
    <cellStyle name="Normal 48 3 2 2 3" xfId="8675"/>
    <cellStyle name="Normal 48 3 2 3" xfId="8676"/>
    <cellStyle name="Normal 48 3 2 3 2" xfId="8677"/>
    <cellStyle name="Normal 48 3 2 3 3" xfId="8678"/>
    <cellStyle name="Normal 48 3 2 4" xfId="8679"/>
    <cellStyle name="Normal 48 3 2 5" xfId="8680"/>
    <cellStyle name="Normal 48 3 3" xfId="8681"/>
    <cellStyle name="Normal 48 3 3 2" xfId="8682"/>
    <cellStyle name="Normal 48 3 3 3" xfId="8683"/>
    <cellStyle name="Normal 48 3 4" xfId="8684"/>
    <cellStyle name="Normal 48 3 4 2" xfId="8685"/>
    <cellStyle name="Normal 48 3 4 3" xfId="8686"/>
    <cellStyle name="Normal 48 3 5" xfId="8687"/>
    <cellStyle name="Normal 48 3 6" xfId="8688"/>
    <cellStyle name="Normal 48 4" xfId="8689"/>
    <cellStyle name="Normal 48 4 2" xfId="8690"/>
    <cellStyle name="Normal 48 4 2 2" xfId="8691"/>
    <cellStyle name="Normal 48 4 2 3" xfId="8692"/>
    <cellStyle name="Normal 48 4 3" xfId="8693"/>
    <cellStyle name="Normal 48 4 3 2" xfId="8694"/>
    <cellStyle name="Normal 48 4 3 3" xfId="8695"/>
    <cellStyle name="Normal 48 4 4" xfId="8696"/>
    <cellStyle name="Normal 48 4 5" xfId="8697"/>
    <cellStyle name="Normal 48 5" xfId="8698"/>
    <cellStyle name="Normal 48 5 2" xfId="8699"/>
    <cellStyle name="Normal 48 5 3" xfId="8700"/>
    <cellStyle name="Normal 48 6" xfId="8701"/>
    <cellStyle name="Normal 48 6 2" xfId="8702"/>
    <cellStyle name="Normal 48 6 3" xfId="8703"/>
    <cellStyle name="Normal 48 7" xfId="8704"/>
    <cellStyle name="Normal 48 8" xfId="8705"/>
    <cellStyle name="Normal 49" xfId="202"/>
    <cellStyle name="Normal 49 2" xfId="8706"/>
    <cellStyle name="Normal 49 2 2" xfId="8707"/>
    <cellStyle name="Normal 49 2 2 2" xfId="8708"/>
    <cellStyle name="Normal 49 2 2 2 2" xfId="8709"/>
    <cellStyle name="Normal 49 2 2 2 2 2" xfId="8710"/>
    <cellStyle name="Normal 49 2 2 2 2 3" xfId="8711"/>
    <cellStyle name="Normal 49 2 2 2 3" xfId="8712"/>
    <cellStyle name="Normal 49 2 2 2 3 2" xfId="8713"/>
    <cellStyle name="Normal 49 2 2 2 3 3" xfId="8714"/>
    <cellStyle name="Normal 49 2 2 2 4" xfId="8715"/>
    <cellStyle name="Normal 49 2 2 2 5" xfId="8716"/>
    <cellStyle name="Normal 49 2 2 3" xfId="8717"/>
    <cellStyle name="Normal 49 2 2 3 2" xfId="8718"/>
    <cellStyle name="Normal 49 2 2 3 3" xfId="8719"/>
    <cellStyle name="Normal 49 2 2 4" xfId="8720"/>
    <cellStyle name="Normal 49 2 2 4 2" xfId="8721"/>
    <cellStyle name="Normal 49 2 2 4 3" xfId="8722"/>
    <cellStyle name="Normal 49 2 2 5" xfId="8723"/>
    <cellStyle name="Normal 49 2 2 6" xfId="8724"/>
    <cellStyle name="Normal 49 2 3" xfId="8725"/>
    <cellStyle name="Normal 49 2 3 2" xfId="8726"/>
    <cellStyle name="Normal 49 2 3 2 2" xfId="8727"/>
    <cellStyle name="Normal 49 2 3 2 3" xfId="8728"/>
    <cellStyle name="Normal 49 2 3 3" xfId="8729"/>
    <cellStyle name="Normal 49 2 3 3 2" xfId="8730"/>
    <cellStyle name="Normal 49 2 3 3 3" xfId="8731"/>
    <cellStyle name="Normal 49 2 3 4" xfId="8732"/>
    <cellStyle name="Normal 49 2 3 5" xfId="8733"/>
    <cellStyle name="Normal 49 2 4" xfId="8734"/>
    <cellStyle name="Normal 49 2 4 2" xfId="8735"/>
    <cellStyle name="Normal 49 2 4 3" xfId="8736"/>
    <cellStyle name="Normal 49 2 5" xfId="8737"/>
    <cellStyle name="Normal 49 2 5 2" xfId="8738"/>
    <cellStyle name="Normal 49 2 5 3" xfId="8739"/>
    <cellStyle name="Normal 49 2 6" xfId="8740"/>
    <cellStyle name="Normal 49 2 7" xfId="8741"/>
    <cellStyle name="Normal 49 3" xfId="8742"/>
    <cellStyle name="Normal 49 3 2" xfId="8743"/>
    <cellStyle name="Normal 49 3 2 2" xfId="8744"/>
    <cellStyle name="Normal 49 3 2 2 2" xfId="8745"/>
    <cellStyle name="Normal 49 3 2 2 3" xfId="8746"/>
    <cellStyle name="Normal 49 3 2 3" xfId="8747"/>
    <cellStyle name="Normal 49 3 2 3 2" xfId="8748"/>
    <cellStyle name="Normal 49 3 2 3 3" xfId="8749"/>
    <cellStyle name="Normal 49 3 2 4" xfId="8750"/>
    <cellStyle name="Normal 49 3 2 5" xfId="8751"/>
    <cellStyle name="Normal 49 3 3" xfId="8752"/>
    <cellStyle name="Normal 49 3 3 2" xfId="8753"/>
    <cellStyle name="Normal 49 3 3 3" xfId="8754"/>
    <cellStyle name="Normal 49 3 4" xfId="8755"/>
    <cellStyle name="Normal 49 3 4 2" xfId="8756"/>
    <cellStyle name="Normal 49 3 4 3" xfId="8757"/>
    <cellStyle name="Normal 49 3 5" xfId="8758"/>
    <cellStyle name="Normal 49 3 6" xfId="8759"/>
    <cellStyle name="Normal 49 4" xfId="8760"/>
    <cellStyle name="Normal 49 4 2" xfId="8761"/>
    <cellStyle name="Normal 49 4 2 2" xfId="8762"/>
    <cellStyle name="Normal 49 4 2 3" xfId="8763"/>
    <cellStyle name="Normal 49 4 3" xfId="8764"/>
    <cellStyle name="Normal 49 4 3 2" xfId="8765"/>
    <cellStyle name="Normal 49 4 3 3" xfId="8766"/>
    <cellStyle name="Normal 49 4 4" xfId="8767"/>
    <cellStyle name="Normal 49 4 5" xfId="8768"/>
    <cellStyle name="Normal 49 5" xfId="8769"/>
    <cellStyle name="Normal 49 5 2" xfId="8770"/>
    <cellStyle name="Normal 49 5 3" xfId="8771"/>
    <cellStyle name="Normal 49 6" xfId="8772"/>
    <cellStyle name="Normal 49 6 2" xfId="8773"/>
    <cellStyle name="Normal 49 6 3" xfId="8774"/>
    <cellStyle name="Normal 49 7" xfId="8775"/>
    <cellStyle name="Normal 49 8" xfId="8776"/>
    <cellStyle name="Normal 5" xfId="22"/>
    <cellStyle name="Normal 5 10" xfId="8777"/>
    <cellStyle name="Normal 5 11" xfId="8778"/>
    <cellStyle name="Normal 5 2" xfId="203"/>
    <cellStyle name="Normal 5 2 10" xfId="8779"/>
    <cellStyle name="Normal 5 2 11" xfId="8780"/>
    <cellStyle name="Normal 5 2 12" xfId="8781"/>
    <cellStyle name="Normal 5 2 2" xfId="8782"/>
    <cellStyle name="Normal 5 2 2 2" xfId="8783"/>
    <cellStyle name="Normal 5 2 2 2 2" xfId="8784"/>
    <cellStyle name="Normal 5 2 2 2 2 2" xfId="8785"/>
    <cellStyle name="Normal 5 2 2 2 2 2 2" xfId="8786"/>
    <cellStyle name="Normal 5 2 2 2 2 2 2 2" xfId="8787"/>
    <cellStyle name="Normal 5 2 2 2 2 2 2 3" xfId="8788"/>
    <cellStyle name="Normal 5 2 2 2 2 2 3" xfId="8789"/>
    <cellStyle name="Normal 5 2 2 2 2 2 3 2" xfId="8790"/>
    <cellStyle name="Normal 5 2 2 2 2 2 3 3" xfId="8791"/>
    <cellStyle name="Normal 5 2 2 2 2 2 4" xfId="8792"/>
    <cellStyle name="Normal 5 2 2 2 2 2 5" xfId="8793"/>
    <cellStyle name="Normal 5 2 2 2 2 3" xfId="8794"/>
    <cellStyle name="Normal 5 2 2 2 2 3 2" xfId="8795"/>
    <cellStyle name="Normal 5 2 2 2 2 3 3" xfId="8796"/>
    <cellStyle name="Normal 5 2 2 2 2 4" xfId="8797"/>
    <cellStyle name="Normal 5 2 2 2 2 4 2" xfId="8798"/>
    <cellStyle name="Normal 5 2 2 2 2 4 3" xfId="8799"/>
    <cellStyle name="Normal 5 2 2 2 2 5" xfId="8800"/>
    <cellStyle name="Normal 5 2 2 2 2 6" xfId="8801"/>
    <cellStyle name="Normal 5 2 2 2 3" xfId="8802"/>
    <cellStyle name="Normal 5 2 2 2 3 2" xfId="8803"/>
    <cellStyle name="Normal 5 2 2 2 3 2 2" xfId="8804"/>
    <cellStyle name="Normal 5 2 2 2 3 2 3" xfId="8805"/>
    <cellStyle name="Normal 5 2 2 2 3 3" xfId="8806"/>
    <cellStyle name="Normal 5 2 2 2 3 3 2" xfId="8807"/>
    <cellStyle name="Normal 5 2 2 2 3 3 3" xfId="8808"/>
    <cellStyle name="Normal 5 2 2 2 3 4" xfId="8809"/>
    <cellStyle name="Normal 5 2 2 2 3 5" xfId="8810"/>
    <cellStyle name="Normal 5 2 2 2 4" xfId="8811"/>
    <cellStyle name="Normal 5 2 2 2 4 2" xfId="8812"/>
    <cellStyle name="Normal 5 2 2 2 4 3" xfId="8813"/>
    <cellStyle name="Normal 5 2 2 2 5" xfId="8814"/>
    <cellStyle name="Normal 5 2 2 2 5 2" xfId="8815"/>
    <cellStyle name="Normal 5 2 2 2 5 3" xfId="8816"/>
    <cellStyle name="Normal 5 2 2 2 6" xfId="8817"/>
    <cellStyle name="Normal 5 2 2 2 7" xfId="8818"/>
    <cellStyle name="Normal 5 2 2 3" xfId="8819"/>
    <cellStyle name="Normal 5 2 2 3 2" xfId="8820"/>
    <cellStyle name="Normal 5 2 2 3 2 2" xfId="8821"/>
    <cellStyle name="Normal 5 2 2 3 2 2 2" xfId="8822"/>
    <cellStyle name="Normal 5 2 2 3 2 2 3" xfId="8823"/>
    <cellStyle name="Normal 5 2 2 3 2 3" xfId="8824"/>
    <cellStyle name="Normal 5 2 2 3 2 3 2" xfId="8825"/>
    <cellStyle name="Normal 5 2 2 3 2 3 3" xfId="8826"/>
    <cellStyle name="Normal 5 2 2 3 2 4" xfId="8827"/>
    <cellStyle name="Normal 5 2 2 3 2 5" xfId="8828"/>
    <cellStyle name="Normal 5 2 2 3 3" xfId="8829"/>
    <cellStyle name="Normal 5 2 2 3 3 2" xfId="8830"/>
    <cellStyle name="Normal 5 2 2 3 3 3" xfId="8831"/>
    <cellStyle name="Normal 5 2 2 3 4" xfId="8832"/>
    <cellStyle name="Normal 5 2 2 3 4 2" xfId="8833"/>
    <cellStyle name="Normal 5 2 2 3 4 3" xfId="8834"/>
    <cellStyle name="Normal 5 2 2 3 5" xfId="8835"/>
    <cellStyle name="Normal 5 2 2 3 6" xfId="8836"/>
    <cellStyle name="Normal 5 2 2 4" xfId="8837"/>
    <cellStyle name="Normal 5 2 2 4 2" xfId="8838"/>
    <cellStyle name="Normal 5 2 2 4 2 2" xfId="8839"/>
    <cellStyle name="Normal 5 2 2 4 2 3" xfId="8840"/>
    <cellStyle name="Normal 5 2 2 4 3" xfId="8841"/>
    <cellStyle name="Normal 5 2 2 4 3 2" xfId="8842"/>
    <cellStyle name="Normal 5 2 2 4 3 3" xfId="8843"/>
    <cellStyle name="Normal 5 2 2 4 4" xfId="8844"/>
    <cellStyle name="Normal 5 2 2 4 5" xfId="8845"/>
    <cellStyle name="Normal 5 2 2 5" xfId="8846"/>
    <cellStyle name="Normal 5 2 2 5 2" xfId="8847"/>
    <cellStyle name="Normal 5 2 2 5 3" xfId="8848"/>
    <cellStyle name="Normal 5 2 2 6" xfId="8849"/>
    <cellStyle name="Normal 5 2 2 6 2" xfId="8850"/>
    <cellStyle name="Normal 5 2 2 6 3" xfId="8851"/>
    <cellStyle name="Normal 5 2 2 7" xfId="8852"/>
    <cellStyle name="Normal 5 2 2 8" xfId="8853"/>
    <cellStyle name="Normal 5 2 3" xfId="8854"/>
    <cellStyle name="Normal 5 2 3 2" xfId="8855"/>
    <cellStyle name="Normal 5 2 3 2 2" xfId="8856"/>
    <cellStyle name="Normal 5 2 3 2 2 2" xfId="8857"/>
    <cellStyle name="Normal 5 2 3 2 2 2 2" xfId="8858"/>
    <cellStyle name="Normal 5 2 3 2 2 2 3" xfId="8859"/>
    <cellStyle name="Normal 5 2 3 2 2 3" xfId="8860"/>
    <cellStyle name="Normal 5 2 3 2 2 3 2" xfId="8861"/>
    <cellStyle name="Normal 5 2 3 2 2 3 3" xfId="8862"/>
    <cellStyle name="Normal 5 2 3 2 2 4" xfId="8863"/>
    <cellStyle name="Normal 5 2 3 2 2 5" xfId="8864"/>
    <cellStyle name="Normal 5 2 3 2 3" xfId="8865"/>
    <cellStyle name="Normal 5 2 3 2 3 2" xfId="8866"/>
    <cellStyle name="Normal 5 2 3 2 3 3" xfId="8867"/>
    <cellStyle name="Normal 5 2 3 2 4" xfId="8868"/>
    <cellStyle name="Normal 5 2 3 2 4 2" xfId="8869"/>
    <cellStyle name="Normal 5 2 3 2 4 3" xfId="8870"/>
    <cellStyle name="Normal 5 2 3 2 5" xfId="8871"/>
    <cellStyle name="Normal 5 2 3 2 6" xfId="8872"/>
    <cellStyle name="Normal 5 2 3 3" xfId="8873"/>
    <cellStyle name="Normal 5 2 3 3 2" xfId="8874"/>
    <cellStyle name="Normal 5 2 3 3 2 2" xfId="8875"/>
    <cellStyle name="Normal 5 2 3 3 2 3" xfId="8876"/>
    <cellStyle name="Normal 5 2 3 3 3" xfId="8877"/>
    <cellStyle name="Normal 5 2 3 3 3 2" xfId="8878"/>
    <cellStyle name="Normal 5 2 3 3 3 3" xfId="8879"/>
    <cellStyle name="Normal 5 2 3 3 4" xfId="8880"/>
    <cellStyle name="Normal 5 2 3 3 5" xfId="8881"/>
    <cellStyle name="Normal 5 2 3 4" xfId="8882"/>
    <cellStyle name="Normal 5 2 3 4 2" xfId="8883"/>
    <cellStyle name="Normal 5 2 3 4 3" xfId="8884"/>
    <cellStyle name="Normal 5 2 3 5" xfId="8885"/>
    <cellStyle name="Normal 5 2 3 5 2" xfId="8886"/>
    <cellStyle name="Normal 5 2 3 5 3" xfId="8887"/>
    <cellStyle name="Normal 5 2 3 6" xfId="8888"/>
    <cellStyle name="Normal 5 2 3 7" xfId="8889"/>
    <cellStyle name="Normal 5 2 4" xfId="8890"/>
    <cellStyle name="Normal 5 2 4 2" xfId="8891"/>
    <cellStyle name="Normal 5 2 4 2 2" xfId="8892"/>
    <cellStyle name="Normal 5 2 4 2 2 2" xfId="8893"/>
    <cellStyle name="Normal 5 2 4 2 2 3" xfId="8894"/>
    <cellStyle name="Normal 5 2 4 2 3" xfId="8895"/>
    <cellStyle name="Normal 5 2 4 2 3 2" xfId="8896"/>
    <cellStyle name="Normal 5 2 4 2 3 3" xfId="8897"/>
    <cellStyle name="Normal 5 2 4 2 4" xfId="8898"/>
    <cellStyle name="Normal 5 2 4 2 5" xfId="8899"/>
    <cellStyle name="Normal 5 2 4 3" xfId="8900"/>
    <cellStyle name="Normal 5 2 4 3 2" xfId="8901"/>
    <cellStyle name="Normal 5 2 4 3 3" xfId="8902"/>
    <cellStyle name="Normal 5 2 4 4" xfId="8903"/>
    <cellStyle name="Normal 5 2 4 4 2" xfId="8904"/>
    <cellStyle name="Normal 5 2 4 4 3" xfId="8905"/>
    <cellStyle name="Normal 5 2 4 5" xfId="8906"/>
    <cellStyle name="Normal 5 2 4 6" xfId="8907"/>
    <cellStyle name="Normal 5 2 5" xfId="8908"/>
    <cellStyle name="Normal 5 2 5 10" xfId="8909"/>
    <cellStyle name="Normal 5 2 5 10 2" xfId="8910"/>
    <cellStyle name="Normal 5 2 5 10 3" xfId="8911"/>
    <cellStyle name="Normal 5 2 5 11" xfId="8912"/>
    <cellStyle name="Normal 5 2 5 11 2" xfId="8913"/>
    <cellStyle name="Normal 5 2 5 12" xfId="8914"/>
    <cellStyle name="Normal 5 2 5 12 2" xfId="8915"/>
    <cellStyle name="Normal 5 2 5 13" xfId="8916"/>
    <cellStyle name="Normal 5 2 5 14" xfId="8917"/>
    <cellStyle name="Normal 5 2 5 15" xfId="8918"/>
    <cellStyle name="Normal 5 2 5 16" xfId="8919"/>
    <cellStyle name="Normal 5 2 5 17" xfId="8920"/>
    <cellStyle name="Normal 5 2 5 18" xfId="8921"/>
    <cellStyle name="Normal 5 2 5 19" xfId="8922"/>
    <cellStyle name="Normal 5 2 5 19 2" xfId="8923"/>
    <cellStyle name="Normal 5 2 5 19 3" xfId="8924"/>
    <cellStyle name="Normal 5 2 5 19 4" xfId="8925"/>
    <cellStyle name="Normal 5 2 5 19 5" xfId="8926"/>
    <cellStyle name="Normal 5 2 5 19 6" xfId="8927"/>
    <cellStyle name="Normal 5 2 5 19 7" xfId="8928"/>
    <cellStyle name="Normal 5 2 5 2" xfId="8929"/>
    <cellStyle name="Normal 5 2 5 2 2" xfId="8930"/>
    <cellStyle name="Normal 5 2 5 2 2 2" xfId="8931"/>
    <cellStyle name="Normal 5 2 5 2 2 3" xfId="8932"/>
    <cellStyle name="Normal 5 2 5 2 2 4" xfId="8933"/>
    <cellStyle name="Normal 5 2 5 2 2 5" xfId="8934"/>
    <cellStyle name="Normal 5 2 5 2 3" xfId="8935"/>
    <cellStyle name="Normal 5 2 5 2 3 2" xfId="8936"/>
    <cellStyle name="Normal 5 2 5 2 3 3" xfId="8937"/>
    <cellStyle name="Normal 5 2 5 2 4" xfId="8938"/>
    <cellStyle name="Normal 5 2 5 2 4 2" xfId="8939"/>
    <cellStyle name="Normal 5 2 5 2 4 3" xfId="8940"/>
    <cellStyle name="Normal 5 2 5 2 5" xfId="8941"/>
    <cellStyle name="Normal 5 2 5 2 6" xfId="8942"/>
    <cellStyle name="Normal 5 2 5 20" xfId="8943"/>
    <cellStyle name="Normal 5 2 5 21" xfId="8944"/>
    <cellStyle name="Normal 5 2 5 22" xfId="8945"/>
    <cellStyle name="Normal 5 2 5 23" xfId="8946"/>
    <cellStyle name="Normal 5 2 5 24" xfId="8947"/>
    <cellStyle name="Normal 5 2 5 25" xfId="8948"/>
    <cellStyle name="Normal 5 2 5 26" xfId="8949"/>
    <cellStyle name="Normal 5 2 5 27" xfId="8950"/>
    <cellStyle name="Normal 5 2 5 3" xfId="8951"/>
    <cellStyle name="Normal 5 2 5 3 10" xfId="8952"/>
    <cellStyle name="Normal 5 2 5 3 11" xfId="8953"/>
    <cellStyle name="Normal 5 2 5 3 12" xfId="8954"/>
    <cellStyle name="Normal 5 2 5 3 13" xfId="8955"/>
    <cellStyle name="Normal 5 2 5 3 14" xfId="8956"/>
    <cellStyle name="Normal 5 2 5 3 15" xfId="8957"/>
    <cellStyle name="Normal 5 2 5 3 16" xfId="8958"/>
    <cellStyle name="Normal 5 2 5 3 17" xfId="8959"/>
    <cellStyle name="Normal 5 2 5 3 18" xfId="8960"/>
    <cellStyle name="Normal 5 2 5 3 19" xfId="8961"/>
    <cellStyle name="Normal 5 2 5 3 2" xfId="8962"/>
    <cellStyle name="Normal 5 2 5 3 2 2" xfId="8963"/>
    <cellStyle name="Normal 5 2 5 3 2 2 2" xfId="8964"/>
    <cellStyle name="Normal 5 2 5 3 2 2 3" xfId="8965"/>
    <cellStyle name="Normal 5 2 5 3 2 3" xfId="8966"/>
    <cellStyle name="Normal 5 2 5 3 2 3 2" xfId="8967"/>
    <cellStyle name="Normal 5 2 5 3 2 3 3" xfId="8968"/>
    <cellStyle name="Normal 5 2 5 3 2 4" xfId="8969"/>
    <cellStyle name="Normal 5 2 5 3 2 5" xfId="8970"/>
    <cellStyle name="Normal 5 2 5 3 3" xfId="8971"/>
    <cellStyle name="Normal 5 2 5 3 3 2" xfId="8972"/>
    <cellStyle name="Normal 5 2 5 3 3 3" xfId="8973"/>
    <cellStyle name="Normal 5 2 5 3 3 4" xfId="8974"/>
    <cellStyle name="Normal 5 2 5 3 3 5" xfId="8975"/>
    <cellStyle name="Normal 5 2 5 3 4" xfId="8976"/>
    <cellStyle name="Normal 5 2 5 3 4 2" xfId="8977"/>
    <cellStyle name="Normal 5 2 5 3 4 3" xfId="8978"/>
    <cellStyle name="Normal 5 2 5 3 5" xfId="8979"/>
    <cellStyle name="Normal 5 2 5 3 5 2" xfId="8980"/>
    <cellStyle name="Normal 5 2 5 3 5 3" xfId="8981"/>
    <cellStyle name="Normal 5 2 5 3 6" xfId="8982"/>
    <cellStyle name="Normal 5 2 5 3 7" xfId="8983"/>
    <cellStyle name="Normal 5 2 5 3 8" xfId="8984"/>
    <cellStyle name="Normal 5 2 5 3 9" xfId="8985"/>
    <cellStyle name="Normal 5 2 5 4" xfId="8986"/>
    <cellStyle name="Normal 5 2 5 4 2" xfId="8987"/>
    <cellStyle name="Normal 5 2 5 4 2 2" xfId="8988"/>
    <cellStyle name="Normal 5 2 5 4 2 3" xfId="8989"/>
    <cellStyle name="Normal 5 2 5 4 2 4" xfId="8990"/>
    <cellStyle name="Normal 5 2 5 4 2 5" xfId="8991"/>
    <cellStyle name="Normal 5 2 5 4 3" xfId="8992"/>
    <cellStyle name="Normal 5 2 5 4 3 2" xfId="8993"/>
    <cellStyle name="Normal 5 2 5 4 3 3" xfId="8994"/>
    <cellStyle name="Normal 5 2 5 4 4" xfId="8995"/>
    <cellStyle name="Normal 5 2 5 4 4 2" xfId="8996"/>
    <cellStyle name="Normal 5 2 5 4 4 3" xfId="8997"/>
    <cellStyle name="Normal 5 2 5 4 5" xfId="8998"/>
    <cellStyle name="Normal 5 2 5 4 6" xfId="8999"/>
    <cellStyle name="Normal 5 2 5 5" xfId="9000"/>
    <cellStyle name="Normal 5 2 5 5 2" xfId="9001"/>
    <cellStyle name="Normal 5 2 5 5 2 2" xfId="9002"/>
    <cellStyle name="Normal 5 2 5 5 2 3" xfId="9003"/>
    <cellStyle name="Normal 5 2 5 5 2 4" xfId="9004"/>
    <cellStyle name="Normal 5 2 5 5 2 5" xfId="9005"/>
    <cellStyle name="Normal 5 2 5 5 3" xfId="9006"/>
    <cellStyle name="Normal 5 2 5 5 3 2" xfId="9007"/>
    <cellStyle name="Normal 5 2 5 5 3 3" xfId="9008"/>
    <cellStyle name="Normal 5 2 5 5 4" xfId="9009"/>
    <cellStyle name="Normal 5 2 5 5 4 2" xfId="9010"/>
    <cellStyle name="Normal 5 2 5 5 4 3" xfId="9011"/>
    <cellStyle name="Normal 5 2 5 5 5" xfId="9012"/>
    <cellStyle name="Normal 5 2 5 5 6" xfId="9013"/>
    <cellStyle name="Normal 5 2 5 6" xfId="9014"/>
    <cellStyle name="Normal 5 2 5 6 2" xfId="9015"/>
    <cellStyle name="Normal 5 2 5 6 2 2" xfId="9016"/>
    <cellStyle name="Normal 5 2 5 6 2 3" xfId="9017"/>
    <cellStyle name="Normal 5 2 5 6 2 4" xfId="9018"/>
    <cellStyle name="Normal 5 2 5 6 2 5" xfId="9019"/>
    <cellStyle name="Normal 5 2 5 6 3" xfId="9020"/>
    <cellStyle name="Normal 5 2 5 6 3 2" xfId="9021"/>
    <cellStyle name="Normal 5 2 5 6 3 3" xfId="9022"/>
    <cellStyle name="Normal 5 2 5 6 4" xfId="9023"/>
    <cellStyle name="Normal 5 2 5 6 4 2" xfId="9024"/>
    <cellStyle name="Normal 5 2 5 6 4 3" xfId="9025"/>
    <cellStyle name="Normal 5 2 5 6 5" xfId="9026"/>
    <cellStyle name="Normal 5 2 5 6 6" xfId="9027"/>
    <cellStyle name="Normal 5 2 5 7" xfId="9028"/>
    <cellStyle name="Normal 5 2 5 7 2" xfId="9029"/>
    <cellStyle name="Normal 5 2 5 7 2 2" xfId="9030"/>
    <cellStyle name="Normal 5 2 5 7 2 3" xfId="9031"/>
    <cellStyle name="Normal 5 2 5 7 3" xfId="9032"/>
    <cellStyle name="Normal 5 2 5 7 3 2" xfId="9033"/>
    <cellStyle name="Normal 5 2 5 7 3 3" xfId="9034"/>
    <cellStyle name="Normal 5 2 5 7 4" xfId="9035"/>
    <cellStyle name="Normal 5 2 5 7 4 2" xfId="9036"/>
    <cellStyle name="Normal 5 2 5 7 5" xfId="9037"/>
    <cellStyle name="Normal 5 2 5 7 6" xfId="9038"/>
    <cellStyle name="Normal 5 2 5 8" xfId="9039"/>
    <cellStyle name="Normal 5 2 5 8 2" xfId="9040"/>
    <cellStyle name="Normal 5 2 5 8 3" xfId="9041"/>
    <cellStyle name="Normal 5 2 5 8 4" xfId="9042"/>
    <cellStyle name="Normal 5 2 5 8 5" xfId="9043"/>
    <cellStyle name="Normal 5 2 5 9" xfId="9044"/>
    <cellStyle name="Normal 5 2 5 9 2" xfId="9045"/>
    <cellStyle name="Normal 5 2 5 9 3" xfId="9046"/>
    <cellStyle name="Normal 5 2 5_10070" xfId="9047"/>
    <cellStyle name="Normal 5 2 6" xfId="9048"/>
    <cellStyle name="Normal 5 2 6 2" xfId="9049"/>
    <cellStyle name="Normal 5 2 6 2 2" xfId="9050"/>
    <cellStyle name="Normal 5 2 6 2 3" xfId="9051"/>
    <cellStyle name="Normal 5 2 6 3" xfId="9052"/>
    <cellStyle name="Normal 5 2 6 3 2" xfId="9053"/>
    <cellStyle name="Normal 5 2 6 3 3" xfId="9054"/>
    <cellStyle name="Normal 5 2 6 4" xfId="9055"/>
    <cellStyle name="Normal 5 2 6 5" xfId="9056"/>
    <cellStyle name="Normal 5 2 7" xfId="9057"/>
    <cellStyle name="Normal 5 2 7 2" xfId="9058"/>
    <cellStyle name="Normal 5 2 7 3" xfId="9059"/>
    <cellStyle name="Normal 5 2 7 4" xfId="9060"/>
    <cellStyle name="Normal 5 2 7 5" xfId="9061"/>
    <cellStyle name="Normal 5 2 8" xfId="9062"/>
    <cellStyle name="Normal 5 2 9" xfId="9063"/>
    <cellStyle name="Normal 5 3" xfId="9064"/>
    <cellStyle name="Normal 5 3 2" xfId="9065"/>
    <cellStyle name="Normal 5 3 2 2" xfId="9066"/>
    <cellStyle name="Normal 5 3 2 2 2" xfId="9067"/>
    <cellStyle name="Normal 5 3 2 2 2 2" xfId="9068"/>
    <cellStyle name="Normal 5 3 2 2 2 2 2" xfId="9069"/>
    <cellStyle name="Normal 5 3 2 2 2 2 3" xfId="9070"/>
    <cellStyle name="Normal 5 3 2 2 2 3" xfId="9071"/>
    <cellStyle name="Normal 5 3 2 2 2 3 2" xfId="9072"/>
    <cellStyle name="Normal 5 3 2 2 2 3 3" xfId="9073"/>
    <cellStyle name="Normal 5 3 2 2 2 4" xfId="9074"/>
    <cellStyle name="Normal 5 3 2 2 2 5" xfId="9075"/>
    <cellStyle name="Normal 5 3 2 2 3" xfId="9076"/>
    <cellStyle name="Normal 5 3 2 2 3 2" xfId="9077"/>
    <cellStyle name="Normal 5 3 2 2 3 3" xfId="9078"/>
    <cellStyle name="Normal 5 3 2 2 4" xfId="9079"/>
    <cellStyle name="Normal 5 3 2 2 4 2" xfId="9080"/>
    <cellStyle name="Normal 5 3 2 2 4 3" xfId="9081"/>
    <cellStyle name="Normal 5 3 2 2 5" xfId="9082"/>
    <cellStyle name="Normal 5 3 2 2 6" xfId="9083"/>
    <cellStyle name="Normal 5 3 2 3" xfId="9084"/>
    <cellStyle name="Normal 5 3 2 3 2" xfId="9085"/>
    <cellStyle name="Normal 5 3 2 3 2 2" xfId="9086"/>
    <cellStyle name="Normal 5 3 2 3 2 3" xfId="9087"/>
    <cellStyle name="Normal 5 3 2 3 3" xfId="9088"/>
    <cellStyle name="Normal 5 3 2 3 3 2" xfId="9089"/>
    <cellStyle name="Normal 5 3 2 3 3 3" xfId="9090"/>
    <cellStyle name="Normal 5 3 2 3 4" xfId="9091"/>
    <cellStyle name="Normal 5 3 2 3 5" xfId="9092"/>
    <cellStyle name="Normal 5 3 2 4" xfId="9093"/>
    <cellStyle name="Normal 5 3 2 4 2" xfId="9094"/>
    <cellStyle name="Normal 5 3 2 4 3" xfId="9095"/>
    <cellStyle name="Normal 5 3 2 5" xfId="9096"/>
    <cellStyle name="Normal 5 3 2 5 2" xfId="9097"/>
    <cellStyle name="Normal 5 3 2 5 3" xfId="9098"/>
    <cellStyle name="Normal 5 3 2 6" xfId="9099"/>
    <cellStyle name="Normal 5 3 2 7" xfId="9100"/>
    <cellStyle name="Normal 5 3 3" xfId="9101"/>
    <cellStyle name="Normal 5 3 3 2" xfId="9102"/>
    <cellStyle name="Normal 5 3 3 2 2" xfId="9103"/>
    <cellStyle name="Normal 5 3 3 2 2 2" xfId="9104"/>
    <cellStyle name="Normal 5 3 3 2 2 3" xfId="9105"/>
    <cellStyle name="Normal 5 3 3 2 3" xfId="9106"/>
    <cellStyle name="Normal 5 3 3 2 3 2" xfId="9107"/>
    <cellStyle name="Normal 5 3 3 2 3 3" xfId="9108"/>
    <cellStyle name="Normal 5 3 3 2 4" xfId="9109"/>
    <cellStyle name="Normal 5 3 3 2 5" xfId="9110"/>
    <cellStyle name="Normal 5 3 3 3" xfId="9111"/>
    <cellStyle name="Normal 5 3 3 3 2" xfId="9112"/>
    <cellStyle name="Normal 5 3 3 3 3" xfId="9113"/>
    <cellStyle name="Normal 5 3 3 4" xfId="9114"/>
    <cellStyle name="Normal 5 3 3 4 2" xfId="9115"/>
    <cellStyle name="Normal 5 3 3 4 3" xfId="9116"/>
    <cellStyle name="Normal 5 3 3 5" xfId="9117"/>
    <cellStyle name="Normal 5 3 3 6" xfId="9118"/>
    <cellStyle name="Normal 5 3 4" xfId="9119"/>
    <cellStyle name="Normal 5 3 4 2" xfId="9120"/>
    <cellStyle name="Normal 5 3 4 2 2" xfId="9121"/>
    <cellStyle name="Normal 5 3 4 2 3" xfId="9122"/>
    <cellStyle name="Normal 5 3 4 3" xfId="9123"/>
    <cellStyle name="Normal 5 3 4 3 2" xfId="9124"/>
    <cellStyle name="Normal 5 3 4 3 3" xfId="9125"/>
    <cellStyle name="Normal 5 3 4 4" xfId="9126"/>
    <cellStyle name="Normal 5 3 4 5" xfId="9127"/>
    <cellStyle name="Normal 5 3 5" xfId="9128"/>
    <cellStyle name="Normal 5 3 5 2" xfId="9129"/>
    <cellStyle name="Normal 5 3 5 3" xfId="9130"/>
    <cellStyle name="Normal 5 3 6" xfId="9131"/>
    <cellStyle name="Normal 5 3 6 2" xfId="9132"/>
    <cellStyle name="Normal 5 3 6 3" xfId="9133"/>
    <cellStyle name="Normal 5 3 7" xfId="9134"/>
    <cellStyle name="Normal 5 3 8" xfId="9135"/>
    <cellStyle name="Normal 5 4" xfId="9136"/>
    <cellStyle name="Normal 5 4 2" xfId="9137"/>
    <cellStyle name="Normal 5 4 2 2" xfId="9138"/>
    <cellStyle name="Normal 5 4 2 2 2" xfId="9139"/>
    <cellStyle name="Normal 5 4 2 2 2 2" xfId="9140"/>
    <cellStyle name="Normal 5 4 2 2 2 2 2" xfId="9141"/>
    <cellStyle name="Normal 5 4 2 2 2 2 3" xfId="9142"/>
    <cellStyle name="Normal 5 4 2 2 2 3" xfId="9143"/>
    <cellStyle name="Normal 5 4 2 2 2 3 2" xfId="9144"/>
    <cellStyle name="Normal 5 4 2 2 2 3 3" xfId="9145"/>
    <cellStyle name="Normal 5 4 2 2 2 4" xfId="9146"/>
    <cellStyle name="Normal 5 4 2 2 2 5" xfId="9147"/>
    <cellStyle name="Normal 5 4 2 2 3" xfId="9148"/>
    <cellStyle name="Normal 5 4 2 2 3 2" xfId="9149"/>
    <cellStyle name="Normal 5 4 2 2 3 3" xfId="9150"/>
    <cellStyle name="Normal 5 4 2 2 4" xfId="9151"/>
    <cellStyle name="Normal 5 4 2 2 4 2" xfId="9152"/>
    <cellStyle name="Normal 5 4 2 2 4 3" xfId="9153"/>
    <cellStyle name="Normal 5 4 2 2 5" xfId="9154"/>
    <cellStyle name="Normal 5 4 2 2 6" xfId="9155"/>
    <cellStyle name="Normal 5 4 2 3" xfId="9156"/>
    <cellStyle name="Normal 5 4 2 3 2" xfId="9157"/>
    <cellStyle name="Normal 5 4 2 3 2 2" xfId="9158"/>
    <cellStyle name="Normal 5 4 2 3 2 3" xfId="9159"/>
    <cellStyle name="Normal 5 4 2 3 3" xfId="9160"/>
    <cellStyle name="Normal 5 4 2 3 3 2" xfId="9161"/>
    <cellStyle name="Normal 5 4 2 3 3 3" xfId="9162"/>
    <cellStyle name="Normal 5 4 2 3 4" xfId="9163"/>
    <cellStyle name="Normal 5 4 2 3 5" xfId="9164"/>
    <cellStyle name="Normal 5 4 2 4" xfId="9165"/>
    <cellStyle name="Normal 5 4 2 4 2" xfId="9166"/>
    <cellStyle name="Normal 5 4 2 4 3" xfId="9167"/>
    <cellStyle name="Normal 5 4 2 5" xfId="9168"/>
    <cellStyle name="Normal 5 4 2 5 2" xfId="9169"/>
    <cellStyle name="Normal 5 4 2 5 3" xfId="9170"/>
    <cellStyle name="Normal 5 4 2 6" xfId="9171"/>
    <cellStyle name="Normal 5 4 2 7" xfId="9172"/>
    <cellStyle name="Normal 5 4 3" xfId="9173"/>
    <cellStyle name="Normal 5 4 3 2" xfId="9174"/>
    <cellStyle name="Normal 5 4 3 2 2" xfId="9175"/>
    <cellStyle name="Normal 5 4 3 2 2 2" xfId="9176"/>
    <cellStyle name="Normal 5 4 3 2 2 3" xfId="9177"/>
    <cellStyle name="Normal 5 4 3 2 3" xfId="9178"/>
    <cellStyle name="Normal 5 4 3 2 3 2" xfId="9179"/>
    <cellStyle name="Normal 5 4 3 2 3 3" xfId="9180"/>
    <cellStyle name="Normal 5 4 3 2 4" xfId="9181"/>
    <cellStyle name="Normal 5 4 3 2 5" xfId="9182"/>
    <cellStyle name="Normal 5 4 3 3" xfId="9183"/>
    <cellStyle name="Normal 5 4 3 3 2" xfId="9184"/>
    <cellStyle name="Normal 5 4 3 3 3" xfId="9185"/>
    <cellStyle name="Normal 5 4 3 4" xfId="9186"/>
    <cellStyle name="Normal 5 4 3 4 2" xfId="9187"/>
    <cellStyle name="Normal 5 4 3 4 3" xfId="9188"/>
    <cellStyle name="Normal 5 4 3 5" xfId="9189"/>
    <cellStyle name="Normal 5 4 3 6" xfId="9190"/>
    <cellStyle name="Normal 5 4 4" xfId="9191"/>
    <cellStyle name="Normal 5 4 4 2" xfId="9192"/>
    <cellStyle name="Normal 5 4 4 2 2" xfId="9193"/>
    <cellStyle name="Normal 5 4 4 2 3" xfId="9194"/>
    <cellStyle name="Normal 5 4 4 3" xfId="9195"/>
    <cellStyle name="Normal 5 4 4 3 2" xfId="9196"/>
    <cellStyle name="Normal 5 4 4 3 3" xfId="9197"/>
    <cellStyle name="Normal 5 4 4 4" xfId="9198"/>
    <cellStyle name="Normal 5 4 4 5" xfId="9199"/>
    <cellStyle name="Normal 5 4 5" xfId="9200"/>
    <cellStyle name="Normal 5 4 5 2" xfId="9201"/>
    <cellStyle name="Normal 5 4 5 3" xfId="9202"/>
    <cellStyle name="Normal 5 4 6" xfId="9203"/>
    <cellStyle name="Normal 5 4 6 2" xfId="9204"/>
    <cellStyle name="Normal 5 4 6 3" xfId="9205"/>
    <cellStyle name="Normal 5 4 7" xfId="9206"/>
    <cellStyle name="Normal 5 4 8" xfId="9207"/>
    <cellStyle name="Normal 5 5" xfId="9208"/>
    <cellStyle name="Normal 5 5 2" xfId="9209"/>
    <cellStyle name="Normal 5 5 2 2" xfId="9210"/>
    <cellStyle name="Normal 5 5 2 2 2" xfId="9211"/>
    <cellStyle name="Normal 5 5 2 2 2 2" xfId="9212"/>
    <cellStyle name="Normal 5 5 2 2 2 3" xfId="9213"/>
    <cellStyle name="Normal 5 5 2 2 3" xfId="9214"/>
    <cellStyle name="Normal 5 5 2 2 3 2" xfId="9215"/>
    <cellStyle name="Normal 5 5 2 2 3 3" xfId="9216"/>
    <cellStyle name="Normal 5 5 2 2 4" xfId="9217"/>
    <cellStyle name="Normal 5 5 2 2 5" xfId="9218"/>
    <cellStyle name="Normal 5 5 2 3" xfId="9219"/>
    <cellStyle name="Normal 5 5 2 3 2" xfId="9220"/>
    <cellStyle name="Normal 5 5 2 3 3" xfId="9221"/>
    <cellStyle name="Normal 5 5 2 4" xfId="9222"/>
    <cellStyle name="Normal 5 5 2 4 2" xfId="9223"/>
    <cellStyle name="Normal 5 5 2 4 3" xfId="9224"/>
    <cellStyle name="Normal 5 5 2 5" xfId="9225"/>
    <cellStyle name="Normal 5 5 2 6" xfId="9226"/>
    <cellStyle name="Normal 5 5 3" xfId="9227"/>
    <cellStyle name="Normal 5 5 3 2" xfId="9228"/>
    <cellStyle name="Normal 5 5 3 2 2" xfId="9229"/>
    <cellStyle name="Normal 5 5 3 2 3" xfId="9230"/>
    <cellStyle name="Normal 5 5 3 3" xfId="9231"/>
    <cellStyle name="Normal 5 5 3 3 2" xfId="9232"/>
    <cellStyle name="Normal 5 5 3 3 3" xfId="9233"/>
    <cellStyle name="Normal 5 5 3 4" xfId="9234"/>
    <cellStyle name="Normal 5 5 3 5" xfId="9235"/>
    <cellStyle name="Normal 5 5 4" xfId="9236"/>
    <cellStyle name="Normal 5 5 4 2" xfId="9237"/>
    <cellStyle name="Normal 5 5 4 3" xfId="9238"/>
    <cellStyle name="Normal 5 5 5" xfId="9239"/>
    <cellStyle name="Normal 5 5 5 2" xfId="9240"/>
    <cellStyle name="Normal 5 5 5 3" xfId="9241"/>
    <cellStyle name="Normal 5 5 6" xfId="9242"/>
    <cellStyle name="Normal 5 5 7" xfId="9243"/>
    <cellStyle name="Normal 5 6" xfId="9244"/>
    <cellStyle name="Normal 5 6 2" xfId="9245"/>
    <cellStyle name="Normal 5 6 2 2" xfId="9246"/>
    <cellStyle name="Normal 5 6 2 2 2" xfId="9247"/>
    <cellStyle name="Normal 5 6 2 2 3" xfId="9248"/>
    <cellStyle name="Normal 5 6 2 3" xfId="9249"/>
    <cellStyle name="Normal 5 6 2 3 2" xfId="9250"/>
    <cellStyle name="Normal 5 6 2 3 3" xfId="9251"/>
    <cellStyle name="Normal 5 6 2 4" xfId="9252"/>
    <cellStyle name="Normal 5 6 2 5" xfId="9253"/>
    <cellStyle name="Normal 5 6 3" xfId="9254"/>
    <cellStyle name="Normal 5 6 3 2" xfId="9255"/>
    <cellStyle name="Normal 5 6 3 3" xfId="9256"/>
    <cellStyle name="Normal 5 6 4" xfId="9257"/>
    <cellStyle name="Normal 5 6 4 2" xfId="9258"/>
    <cellStyle name="Normal 5 6 4 3" xfId="9259"/>
    <cellStyle name="Normal 5 6 5" xfId="9260"/>
    <cellStyle name="Normal 5 6 6" xfId="9261"/>
    <cellStyle name="Normal 5 7" xfId="9262"/>
    <cellStyle name="Normal 5 7 2" xfId="9263"/>
    <cellStyle name="Normal 5 7 2 2" xfId="9264"/>
    <cellStyle name="Normal 5 7 2 3" xfId="9265"/>
    <cellStyle name="Normal 5 7 3" xfId="9266"/>
    <cellStyle name="Normal 5 7 3 2" xfId="9267"/>
    <cellStyle name="Normal 5 7 3 3" xfId="9268"/>
    <cellStyle name="Normal 5 7 4" xfId="9269"/>
    <cellStyle name="Normal 5 7 5" xfId="9270"/>
    <cellStyle name="Normal 5 8" xfId="9271"/>
    <cellStyle name="Normal 5 8 2" xfId="9272"/>
    <cellStyle name="Normal 5 8 3" xfId="9273"/>
    <cellStyle name="Normal 5 9" xfId="9274"/>
    <cellStyle name="Normal 5 9 2" xfId="9275"/>
    <cellStyle name="Normal 5 9 3" xfId="9276"/>
    <cellStyle name="Normal 5_10051" xfId="9277"/>
    <cellStyle name="Normal 50" xfId="204"/>
    <cellStyle name="Normal 50 2" xfId="9278"/>
    <cellStyle name="Normal 50 2 2" xfId="9279"/>
    <cellStyle name="Normal 50 2 2 2" xfId="9280"/>
    <cellStyle name="Normal 50 2 2 2 2" xfId="9281"/>
    <cellStyle name="Normal 50 2 2 2 2 2" xfId="9282"/>
    <cellStyle name="Normal 50 2 2 2 2 3" xfId="9283"/>
    <cellStyle name="Normal 50 2 2 2 3" xfId="9284"/>
    <cellStyle name="Normal 50 2 2 2 3 2" xfId="9285"/>
    <cellStyle name="Normal 50 2 2 2 3 3" xfId="9286"/>
    <cellStyle name="Normal 50 2 2 2 4" xfId="9287"/>
    <cellStyle name="Normal 50 2 2 2 5" xfId="9288"/>
    <cellStyle name="Normal 50 2 2 3" xfId="9289"/>
    <cellStyle name="Normal 50 2 2 3 2" xfId="9290"/>
    <cellStyle name="Normal 50 2 2 3 3" xfId="9291"/>
    <cellStyle name="Normal 50 2 2 4" xfId="9292"/>
    <cellStyle name="Normal 50 2 2 4 2" xfId="9293"/>
    <cellStyle name="Normal 50 2 2 4 3" xfId="9294"/>
    <cellStyle name="Normal 50 2 2 5" xfId="9295"/>
    <cellStyle name="Normal 50 2 2 6" xfId="9296"/>
    <cellStyle name="Normal 50 2 3" xfId="9297"/>
    <cellStyle name="Normal 50 2 3 2" xfId="9298"/>
    <cellStyle name="Normal 50 2 3 2 2" xfId="9299"/>
    <cellStyle name="Normal 50 2 3 2 3" xfId="9300"/>
    <cellStyle name="Normal 50 2 3 3" xfId="9301"/>
    <cellStyle name="Normal 50 2 3 3 2" xfId="9302"/>
    <cellStyle name="Normal 50 2 3 3 3" xfId="9303"/>
    <cellStyle name="Normal 50 2 3 4" xfId="9304"/>
    <cellStyle name="Normal 50 2 3 5" xfId="9305"/>
    <cellStyle name="Normal 50 2 4" xfId="9306"/>
    <cellStyle name="Normal 50 2 4 2" xfId="9307"/>
    <cellStyle name="Normal 50 2 4 3" xfId="9308"/>
    <cellStyle name="Normal 50 2 5" xfId="9309"/>
    <cellStyle name="Normal 50 2 5 2" xfId="9310"/>
    <cellStyle name="Normal 50 2 5 3" xfId="9311"/>
    <cellStyle name="Normal 50 2 6" xfId="9312"/>
    <cellStyle name="Normal 50 2 7" xfId="9313"/>
    <cellStyle name="Normal 50 3" xfId="9314"/>
    <cellStyle name="Normal 50 3 2" xfId="9315"/>
    <cellStyle name="Normal 50 3 2 2" xfId="9316"/>
    <cellStyle name="Normal 50 3 2 2 2" xfId="9317"/>
    <cellStyle name="Normal 50 3 2 2 3" xfId="9318"/>
    <cellStyle name="Normal 50 3 2 3" xfId="9319"/>
    <cellStyle name="Normal 50 3 2 3 2" xfId="9320"/>
    <cellStyle name="Normal 50 3 2 3 3" xfId="9321"/>
    <cellStyle name="Normal 50 3 2 4" xfId="9322"/>
    <cellStyle name="Normal 50 3 2 5" xfId="9323"/>
    <cellStyle name="Normal 50 3 3" xfId="9324"/>
    <cellStyle name="Normal 50 3 3 2" xfId="9325"/>
    <cellStyle name="Normal 50 3 3 3" xfId="9326"/>
    <cellStyle name="Normal 50 3 4" xfId="9327"/>
    <cellStyle name="Normal 50 3 4 2" xfId="9328"/>
    <cellStyle name="Normal 50 3 4 3" xfId="9329"/>
    <cellStyle name="Normal 50 3 5" xfId="9330"/>
    <cellStyle name="Normal 50 3 6" xfId="9331"/>
    <cellStyle name="Normal 50 4" xfId="9332"/>
    <cellStyle name="Normal 50 4 2" xfId="9333"/>
    <cellStyle name="Normal 50 4 2 2" xfId="9334"/>
    <cellStyle name="Normal 50 4 2 3" xfId="9335"/>
    <cellStyle name="Normal 50 4 3" xfId="9336"/>
    <cellStyle name="Normal 50 4 3 2" xfId="9337"/>
    <cellStyle name="Normal 50 4 3 3" xfId="9338"/>
    <cellStyle name="Normal 50 4 4" xfId="9339"/>
    <cellStyle name="Normal 50 4 5" xfId="9340"/>
    <cellStyle name="Normal 50 5" xfId="9341"/>
    <cellStyle name="Normal 50 5 2" xfId="9342"/>
    <cellStyle name="Normal 50 5 3" xfId="9343"/>
    <cellStyle name="Normal 50 6" xfId="9344"/>
    <cellStyle name="Normal 50 6 2" xfId="9345"/>
    <cellStyle name="Normal 50 6 3" xfId="9346"/>
    <cellStyle name="Normal 50 7" xfId="9347"/>
    <cellStyle name="Normal 50 8" xfId="9348"/>
    <cellStyle name="Normal 51" xfId="205"/>
    <cellStyle name="Normal 51 2" xfId="9349"/>
    <cellStyle name="Normal 51 2 2" xfId="9350"/>
    <cellStyle name="Normal 51 2 2 2" xfId="9351"/>
    <cellStyle name="Normal 51 2 2 2 2" xfId="9352"/>
    <cellStyle name="Normal 51 2 2 2 2 2" xfId="9353"/>
    <cellStyle name="Normal 51 2 2 2 2 3" xfId="9354"/>
    <cellStyle name="Normal 51 2 2 2 3" xfId="9355"/>
    <cellStyle name="Normal 51 2 2 2 3 2" xfId="9356"/>
    <cellStyle name="Normal 51 2 2 2 3 3" xfId="9357"/>
    <cellStyle name="Normal 51 2 2 2 4" xfId="9358"/>
    <cellStyle name="Normal 51 2 2 2 5" xfId="9359"/>
    <cellStyle name="Normal 51 2 2 3" xfId="9360"/>
    <cellStyle name="Normal 51 2 2 3 2" xfId="9361"/>
    <cellStyle name="Normal 51 2 2 3 3" xfId="9362"/>
    <cellStyle name="Normal 51 2 2 4" xfId="9363"/>
    <cellStyle name="Normal 51 2 2 4 2" xfId="9364"/>
    <cellStyle name="Normal 51 2 2 4 3" xfId="9365"/>
    <cellStyle name="Normal 51 2 2 5" xfId="9366"/>
    <cellStyle name="Normal 51 2 2 6" xfId="9367"/>
    <cellStyle name="Normal 51 2 3" xfId="9368"/>
    <cellStyle name="Normal 51 2 3 2" xfId="9369"/>
    <cellStyle name="Normal 51 2 3 2 2" xfId="9370"/>
    <cellStyle name="Normal 51 2 3 2 3" xfId="9371"/>
    <cellStyle name="Normal 51 2 3 3" xfId="9372"/>
    <cellStyle name="Normal 51 2 3 3 2" xfId="9373"/>
    <cellStyle name="Normal 51 2 3 3 3" xfId="9374"/>
    <cellStyle name="Normal 51 2 3 4" xfId="9375"/>
    <cellStyle name="Normal 51 2 3 5" xfId="9376"/>
    <cellStyle name="Normal 51 2 4" xfId="9377"/>
    <cellStyle name="Normal 51 2 4 2" xfId="9378"/>
    <cellStyle name="Normal 51 2 4 3" xfId="9379"/>
    <cellStyle name="Normal 51 2 5" xfId="9380"/>
    <cellStyle name="Normal 51 2 5 2" xfId="9381"/>
    <cellStyle name="Normal 51 2 5 3" xfId="9382"/>
    <cellStyle name="Normal 51 2 6" xfId="9383"/>
    <cellStyle name="Normal 51 2 7" xfId="9384"/>
    <cellStyle name="Normal 51 3" xfId="9385"/>
    <cellStyle name="Normal 51 3 2" xfId="9386"/>
    <cellStyle name="Normal 51 3 2 2" xfId="9387"/>
    <cellStyle name="Normal 51 3 2 2 2" xfId="9388"/>
    <cellStyle name="Normal 51 3 2 2 3" xfId="9389"/>
    <cellStyle name="Normal 51 3 2 3" xfId="9390"/>
    <cellStyle name="Normal 51 3 2 3 2" xfId="9391"/>
    <cellStyle name="Normal 51 3 2 3 3" xfId="9392"/>
    <cellStyle name="Normal 51 3 2 4" xfId="9393"/>
    <cellStyle name="Normal 51 3 2 5" xfId="9394"/>
    <cellStyle name="Normal 51 3 3" xfId="9395"/>
    <cellStyle name="Normal 51 3 3 2" xfId="9396"/>
    <cellStyle name="Normal 51 3 3 3" xfId="9397"/>
    <cellStyle name="Normal 51 3 4" xfId="9398"/>
    <cellStyle name="Normal 51 3 4 2" xfId="9399"/>
    <cellStyle name="Normal 51 3 4 3" xfId="9400"/>
    <cellStyle name="Normal 51 3 5" xfId="9401"/>
    <cellStyle name="Normal 51 3 6" xfId="9402"/>
    <cellStyle name="Normal 51 4" xfId="9403"/>
    <cellStyle name="Normal 51 4 2" xfId="9404"/>
    <cellStyle name="Normal 51 4 2 2" xfId="9405"/>
    <cellStyle name="Normal 51 4 2 3" xfId="9406"/>
    <cellStyle name="Normal 51 4 3" xfId="9407"/>
    <cellStyle name="Normal 51 4 3 2" xfId="9408"/>
    <cellStyle name="Normal 51 4 3 3" xfId="9409"/>
    <cellStyle name="Normal 51 4 4" xfId="9410"/>
    <cellStyle name="Normal 51 4 5" xfId="9411"/>
    <cellStyle name="Normal 51 5" xfId="9412"/>
    <cellStyle name="Normal 51 5 2" xfId="9413"/>
    <cellStyle name="Normal 51 5 3" xfId="9414"/>
    <cellStyle name="Normal 51 6" xfId="9415"/>
    <cellStyle name="Normal 51 6 2" xfId="9416"/>
    <cellStyle name="Normal 51 6 3" xfId="9417"/>
    <cellStyle name="Normal 51 7" xfId="9418"/>
    <cellStyle name="Normal 51 8" xfId="9419"/>
    <cellStyle name="Normal 52" xfId="206"/>
    <cellStyle name="Normal 52 2" xfId="9420"/>
    <cellStyle name="Normal 52 2 2" xfId="9421"/>
    <cellStyle name="Normal 52 2 2 2" xfId="9422"/>
    <cellStyle name="Normal 52 2 2 2 2" xfId="9423"/>
    <cellStyle name="Normal 52 2 2 2 2 2" xfId="9424"/>
    <cellStyle name="Normal 52 2 2 2 2 3" xfId="9425"/>
    <cellStyle name="Normal 52 2 2 2 3" xfId="9426"/>
    <cellStyle name="Normal 52 2 2 2 3 2" xfId="9427"/>
    <cellStyle name="Normal 52 2 2 2 3 3" xfId="9428"/>
    <cellStyle name="Normal 52 2 2 2 4" xfId="9429"/>
    <cellStyle name="Normal 52 2 2 2 5" xfId="9430"/>
    <cellStyle name="Normal 52 2 2 3" xfId="9431"/>
    <cellStyle name="Normal 52 2 2 3 2" xfId="9432"/>
    <cellStyle name="Normal 52 2 2 3 3" xfId="9433"/>
    <cellStyle name="Normal 52 2 2 4" xfId="9434"/>
    <cellStyle name="Normal 52 2 2 4 2" xfId="9435"/>
    <cellStyle name="Normal 52 2 2 4 3" xfId="9436"/>
    <cellStyle name="Normal 52 2 2 5" xfId="9437"/>
    <cellStyle name="Normal 52 2 2 6" xfId="9438"/>
    <cellStyle name="Normal 52 2 3" xfId="9439"/>
    <cellStyle name="Normal 52 2 3 2" xfId="9440"/>
    <cellStyle name="Normal 52 2 3 2 2" xfId="9441"/>
    <cellStyle name="Normal 52 2 3 2 3" xfId="9442"/>
    <cellStyle name="Normal 52 2 3 3" xfId="9443"/>
    <cellStyle name="Normal 52 2 3 3 2" xfId="9444"/>
    <cellStyle name="Normal 52 2 3 3 3" xfId="9445"/>
    <cellStyle name="Normal 52 2 3 4" xfId="9446"/>
    <cellStyle name="Normal 52 2 3 5" xfId="9447"/>
    <cellStyle name="Normal 52 2 4" xfId="9448"/>
    <cellStyle name="Normal 52 2 4 2" xfId="9449"/>
    <cellStyle name="Normal 52 2 4 3" xfId="9450"/>
    <cellStyle name="Normal 52 2 5" xfId="9451"/>
    <cellStyle name="Normal 52 2 5 2" xfId="9452"/>
    <cellStyle name="Normal 52 2 5 3" xfId="9453"/>
    <cellStyle name="Normal 52 2 6" xfId="9454"/>
    <cellStyle name="Normal 52 2 7" xfId="9455"/>
    <cellStyle name="Normal 52 3" xfId="9456"/>
    <cellStyle name="Normal 52 3 2" xfId="9457"/>
    <cellStyle name="Normal 52 3 2 2" xfId="9458"/>
    <cellStyle name="Normal 52 3 2 2 2" xfId="9459"/>
    <cellStyle name="Normal 52 3 2 2 3" xfId="9460"/>
    <cellStyle name="Normal 52 3 2 3" xfId="9461"/>
    <cellStyle name="Normal 52 3 2 3 2" xfId="9462"/>
    <cellStyle name="Normal 52 3 2 3 3" xfId="9463"/>
    <cellStyle name="Normal 52 3 2 4" xfId="9464"/>
    <cellStyle name="Normal 52 3 2 5" xfId="9465"/>
    <cellStyle name="Normal 52 3 3" xfId="9466"/>
    <cellStyle name="Normal 52 3 3 2" xfId="9467"/>
    <cellStyle name="Normal 52 3 3 3" xfId="9468"/>
    <cellStyle name="Normal 52 3 4" xfId="9469"/>
    <cellStyle name="Normal 52 3 4 2" xfId="9470"/>
    <cellStyle name="Normal 52 3 4 3" xfId="9471"/>
    <cellStyle name="Normal 52 3 5" xfId="9472"/>
    <cellStyle name="Normal 52 3 6" xfId="9473"/>
    <cellStyle name="Normal 52 4" xfId="9474"/>
    <cellStyle name="Normal 52 4 2" xfId="9475"/>
    <cellStyle name="Normal 52 4 2 2" xfId="9476"/>
    <cellStyle name="Normal 52 4 2 3" xfId="9477"/>
    <cellStyle name="Normal 52 4 3" xfId="9478"/>
    <cellStyle name="Normal 52 4 3 2" xfId="9479"/>
    <cellStyle name="Normal 52 4 3 3" xfId="9480"/>
    <cellStyle name="Normal 52 4 4" xfId="9481"/>
    <cellStyle name="Normal 52 4 5" xfId="9482"/>
    <cellStyle name="Normal 52 5" xfId="9483"/>
    <cellStyle name="Normal 52 5 2" xfId="9484"/>
    <cellStyle name="Normal 52 5 3" xfId="9485"/>
    <cellStyle name="Normal 52 6" xfId="9486"/>
    <cellStyle name="Normal 52 6 2" xfId="9487"/>
    <cellStyle name="Normal 52 6 3" xfId="9488"/>
    <cellStyle name="Normal 52 7" xfId="9489"/>
    <cellStyle name="Normal 52 8" xfId="9490"/>
    <cellStyle name="Normal 53" xfId="207"/>
    <cellStyle name="Normal 53 2" xfId="9491"/>
    <cellStyle name="Normal 53 2 2" xfId="9492"/>
    <cellStyle name="Normal 53 2 2 2" xfId="9493"/>
    <cellStyle name="Normal 53 2 2 2 2" xfId="9494"/>
    <cellStyle name="Normal 53 2 2 2 2 2" xfId="9495"/>
    <cellStyle name="Normal 53 2 2 2 2 3" xfId="9496"/>
    <cellStyle name="Normal 53 2 2 2 3" xfId="9497"/>
    <cellStyle name="Normal 53 2 2 2 3 2" xfId="9498"/>
    <cellStyle name="Normal 53 2 2 2 3 3" xfId="9499"/>
    <cellStyle name="Normal 53 2 2 2 4" xfId="9500"/>
    <cellStyle name="Normal 53 2 2 2 5" xfId="9501"/>
    <cellStyle name="Normal 53 2 2 3" xfId="9502"/>
    <cellStyle name="Normal 53 2 2 3 2" xfId="9503"/>
    <cellStyle name="Normal 53 2 2 3 3" xfId="9504"/>
    <cellStyle name="Normal 53 2 2 4" xfId="9505"/>
    <cellStyle name="Normal 53 2 2 4 2" xfId="9506"/>
    <cellStyle name="Normal 53 2 2 4 3" xfId="9507"/>
    <cellStyle name="Normal 53 2 2 5" xfId="9508"/>
    <cellStyle name="Normal 53 2 2 6" xfId="9509"/>
    <cellStyle name="Normal 53 2 3" xfId="9510"/>
    <cellStyle name="Normal 53 2 3 2" xfId="9511"/>
    <cellStyle name="Normal 53 2 3 2 2" xfId="9512"/>
    <cellStyle name="Normal 53 2 3 2 3" xfId="9513"/>
    <cellStyle name="Normal 53 2 3 3" xfId="9514"/>
    <cellStyle name="Normal 53 2 3 3 2" xfId="9515"/>
    <cellStyle name="Normal 53 2 3 3 3" xfId="9516"/>
    <cellStyle name="Normal 53 2 3 4" xfId="9517"/>
    <cellStyle name="Normal 53 2 3 5" xfId="9518"/>
    <cellStyle name="Normal 53 2 4" xfId="9519"/>
    <cellStyle name="Normal 53 2 4 2" xfId="9520"/>
    <cellStyle name="Normal 53 2 4 3" xfId="9521"/>
    <cellStyle name="Normal 53 2 5" xfId="9522"/>
    <cellStyle name="Normal 53 2 5 2" xfId="9523"/>
    <cellStyle name="Normal 53 2 5 3" xfId="9524"/>
    <cellStyle name="Normal 53 2 6" xfId="9525"/>
    <cellStyle name="Normal 53 2 7" xfId="9526"/>
    <cellStyle name="Normal 53 3" xfId="9527"/>
    <cellStyle name="Normal 53 3 2" xfId="9528"/>
    <cellStyle name="Normal 53 3 2 2" xfId="9529"/>
    <cellStyle name="Normal 53 3 2 2 2" xfId="9530"/>
    <cellStyle name="Normal 53 3 2 2 3" xfId="9531"/>
    <cellStyle name="Normal 53 3 2 3" xfId="9532"/>
    <cellStyle name="Normal 53 3 2 3 2" xfId="9533"/>
    <cellStyle name="Normal 53 3 2 3 3" xfId="9534"/>
    <cellStyle name="Normal 53 3 2 4" xfId="9535"/>
    <cellStyle name="Normal 53 3 2 5" xfId="9536"/>
    <cellStyle name="Normal 53 3 3" xfId="9537"/>
    <cellStyle name="Normal 53 3 3 2" xfId="9538"/>
    <cellStyle name="Normal 53 3 3 3" xfId="9539"/>
    <cellStyle name="Normal 53 3 4" xfId="9540"/>
    <cellStyle name="Normal 53 3 4 2" xfId="9541"/>
    <cellStyle name="Normal 53 3 4 3" xfId="9542"/>
    <cellStyle name="Normal 53 3 5" xfId="9543"/>
    <cellStyle name="Normal 53 3 6" xfId="9544"/>
    <cellStyle name="Normal 53 4" xfId="9545"/>
    <cellStyle name="Normal 53 4 2" xfId="9546"/>
    <cellStyle name="Normal 53 4 2 2" xfId="9547"/>
    <cellStyle name="Normal 53 4 2 3" xfId="9548"/>
    <cellStyle name="Normal 53 4 3" xfId="9549"/>
    <cellStyle name="Normal 53 4 3 2" xfId="9550"/>
    <cellStyle name="Normal 53 4 3 3" xfId="9551"/>
    <cellStyle name="Normal 53 4 4" xfId="9552"/>
    <cellStyle name="Normal 53 4 5" xfId="9553"/>
    <cellStyle name="Normal 53 5" xfId="9554"/>
    <cellStyle name="Normal 53 5 2" xfId="9555"/>
    <cellStyle name="Normal 53 5 3" xfId="9556"/>
    <cellStyle name="Normal 53 6" xfId="9557"/>
    <cellStyle name="Normal 53 6 2" xfId="9558"/>
    <cellStyle name="Normal 53 6 3" xfId="9559"/>
    <cellStyle name="Normal 53 7" xfId="9560"/>
    <cellStyle name="Normal 53 8" xfId="9561"/>
    <cellStyle name="Normal 54" xfId="208"/>
    <cellStyle name="Normal 54 2" xfId="9562"/>
    <cellStyle name="Normal 54 2 2" xfId="9563"/>
    <cellStyle name="Normal 54 2 2 2" xfId="9564"/>
    <cellStyle name="Normal 54 2 2 2 2" xfId="9565"/>
    <cellStyle name="Normal 54 2 2 2 2 2" xfId="9566"/>
    <cellStyle name="Normal 54 2 2 2 2 3" xfId="9567"/>
    <cellStyle name="Normal 54 2 2 2 3" xfId="9568"/>
    <cellStyle name="Normal 54 2 2 2 3 2" xfId="9569"/>
    <cellStyle name="Normal 54 2 2 2 3 3" xfId="9570"/>
    <cellStyle name="Normal 54 2 2 2 4" xfId="9571"/>
    <cellStyle name="Normal 54 2 2 2 5" xfId="9572"/>
    <cellStyle name="Normal 54 2 2 3" xfId="9573"/>
    <cellStyle name="Normal 54 2 2 3 2" xfId="9574"/>
    <cellStyle name="Normal 54 2 2 3 3" xfId="9575"/>
    <cellStyle name="Normal 54 2 2 4" xfId="9576"/>
    <cellStyle name="Normal 54 2 2 4 2" xfId="9577"/>
    <cellStyle name="Normal 54 2 2 4 3" xfId="9578"/>
    <cellStyle name="Normal 54 2 2 5" xfId="9579"/>
    <cellStyle name="Normal 54 2 2 6" xfId="9580"/>
    <cellStyle name="Normal 54 2 3" xfId="9581"/>
    <cellStyle name="Normal 54 2 3 2" xfId="9582"/>
    <cellStyle name="Normal 54 2 3 2 2" xfId="9583"/>
    <cellStyle name="Normal 54 2 3 2 3" xfId="9584"/>
    <cellStyle name="Normal 54 2 3 3" xfId="9585"/>
    <cellStyle name="Normal 54 2 3 3 2" xfId="9586"/>
    <cellStyle name="Normal 54 2 3 3 3" xfId="9587"/>
    <cellStyle name="Normal 54 2 3 4" xfId="9588"/>
    <cellStyle name="Normal 54 2 3 5" xfId="9589"/>
    <cellStyle name="Normal 54 2 4" xfId="9590"/>
    <cellStyle name="Normal 54 2 4 2" xfId="9591"/>
    <cellStyle name="Normal 54 2 4 3" xfId="9592"/>
    <cellStyle name="Normal 54 2 5" xfId="9593"/>
    <cellStyle name="Normal 54 2 5 2" xfId="9594"/>
    <cellStyle name="Normal 54 2 5 3" xfId="9595"/>
    <cellStyle name="Normal 54 2 6" xfId="9596"/>
    <cellStyle name="Normal 54 2 7" xfId="9597"/>
    <cellStyle name="Normal 54 3" xfId="9598"/>
    <cellStyle name="Normal 54 3 2" xfId="9599"/>
    <cellStyle name="Normal 54 3 2 2" xfId="9600"/>
    <cellStyle name="Normal 54 3 2 2 2" xfId="9601"/>
    <cellStyle name="Normal 54 3 2 2 3" xfId="9602"/>
    <cellStyle name="Normal 54 3 2 3" xfId="9603"/>
    <cellStyle name="Normal 54 3 2 3 2" xfId="9604"/>
    <cellStyle name="Normal 54 3 2 3 3" xfId="9605"/>
    <cellStyle name="Normal 54 3 2 4" xfId="9606"/>
    <cellStyle name="Normal 54 3 2 5" xfId="9607"/>
    <cellStyle name="Normal 54 3 3" xfId="9608"/>
    <cellStyle name="Normal 54 3 3 2" xfId="9609"/>
    <cellStyle name="Normal 54 3 3 3" xfId="9610"/>
    <cellStyle name="Normal 54 3 4" xfId="9611"/>
    <cellStyle name="Normal 54 3 4 2" xfId="9612"/>
    <cellStyle name="Normal 54 3 4 3" xfId="9613"/>
    <cellStyle name="Normal 54 3 5" xfId="9614"/>
    <cellStyle name="Normal 54 3 6" xfId="9615"/>
    <cellStyle name="Normal 54 4" xfId="9616"/>
    <cellStyle name="Normal 54 4 2" xfId="9617"/>
    <cellStyle name="Normal 54 4 2 2" xfId="9618"/>
    <cellStyle name="Normal 54 4 2 3" xfId="9619"/>
    <cellStyle name="Normal 54 4 3" xfId="9620"/>
    <cellStyle name="Normal 54 4 3 2" xfId="9621"/>
    <cellStyle name="Normal 54 4 3 3" xfId="9622"/>
    <cellStyle name="Normal 54 4 4" xfId="9623"/>
    <cellStyle name="Normal 54 4 5" xfId="9624"/>
    <cellStyle name="Normal 54 5" xfId="9625"/>
    <cellStyle name="Normal 54 5 2" xfId="9626"/>
    <cellStyle name="Normal 54 5 3" xfId="9627"/>
    <cellStyle name="Normal 54 6" xfId="9628"/>
    <cellStyle name="Normal 54 6 2" xfId="9629"/>
    <cellStyle name="Normal 54 6 3" xfId="9630"/>
    <cellStyle name="Normal 54 7" xfId="9631"/>
    <cellStyle name="Normal 54 8" xfId="9632"/>
    <cellStyle name="Normal 55" xfId="209"/>
    <cellStyle name="Normal 55 2" xfId="9633"/>
    <cellStyle name="Normal 55 2 2" xfId="9634"/>
    <cellStyle name="Normal 55 2 2 2" xfId="9635"/>
    <cellStyle name="Normal 55 2 2 2 2" xfId="9636"/>
    <cellStyle name="Normal 55 2 2 2 2 2" xfId="9637"/>
    <cellStyle name="Normal 55 2 2 2 2 3" xfId="9638"/>
    <cellStyle name="Normal 55 2 2 2 3" xfId="9639"/>
    <cellStyle name="Normal 55 2 2 2 3 2" xfId="9640"/>
    <cellStyle name="Normal 55 2 2 2 3 3" xfId="9641"/>
    <cellStyle name="Normal 55 2 2 2 4" xfId="9642"/>
    <cellStyle name="Normal 55 2 2 2 5" xfId="9643"/>
    <cellStyle name="Normal 55 2 2 3" xfId="9644"/>
    <cellStyle name="Normal 55 2 2 3 2" xfId="9645"/>
    <cellStyle name="Normal 55 2 2 3 3" xfId="9646"/>
    <cellStyle name="Normal 55 2 2 4" xfId="9647"/>
    <cellStyle name="Normal 55 2 2 4 2" xfId="9648"/>
    <cellStyle name="Normal 55 2 2 4 3" xfId="9649"/>
    <cellStyle name="Normal 55 2 2 5" xfId="9650"/>
    <cellStyle name="Normal 55 2 2 6" xfId="9651"/>
    <cellStyle name="Normal 55 2 3" xfId="9652"/>
    <cellStyle name="Normal 55 2 3 2" xfId="9653"/>
    <cellStyle name="Normal 55 2 3 2 2" xfId="9654"/>
    <cellStyle name="Normal 55 2 3 2 3" xfId="9655"/>
    <cellStyle name="Normal 55 2 3 3" xfId="9656"/>
    <cellStyle name="Normal 55 2 3 3 2" xfId="9657"/>
    <cellStyle name="Normal 55 2 3 3 3" xfId="9658"/>
    <cellStyle name="Normal 55 2 3 4" xfId="9659"/>
    <cellStyle name="Normal 55 2 3 5" xfId="9660"/>
    <cellStyle name="Normal 55 2 4" xfId="9661"/>
    <cellStyle name="Normal 55 2 4 2" xfId="9662"/>
    <cellStyle name="Normal 55 2 4 3" xfId="9663"/>
    <cellStyle name="Normal 55 2 5" xfId="9664"/>
    <cellStyle name="Normal 55 2 5 2" xfId="9665"/>
    <cellStyle name="Normal 55 2 5 3" xfId="9666"/>
    <cellStyle name="Normal 55 2 6" xfId="9667"/>
    <cellStyle name="Normal 55 2 7" xfId="9668"/>
    <cellStyle name="Normal 55 3" xfId="9669"/>
    <cellStyle name="Normal 55 3 2" xfId="9670"/>
    <cellStyle name="Normal 55 3 2 2" xfId="9671"/>
    <cellStyle name="Normal 55 3 2 2 2" xfId="9672"/>
    <cellStyle name="Normal 55 3 2 2 3" xfId="9673"/>
    <cellStyle name="Normal 55 3 2 3" xfId="9674"/>
    <cellStyle name="Normal 55 3 2 3 2" xfId="9675"/>
    <cellStyle name="Normal 55 3 2 3 3" xfId="9676"/>
    <cellStyle name="Normal 55 3 2 4" xfId="9677"/>
    <cellStyle name="Normal 55 3 2 5" xfId="9678"/>
    <cellStyle name="Normal 55 3 3" xfId="9679"/>
    <cellStyle name="Normal 55 3 3 2" xfId="9680"/>
    <cellStyle name="Normal 55 3 3 3" xfId="9681"/>
    <cellStyle name="Normal 55 3 4" xfId="9682"/>
    <cellStyle name="Normal 55 3 4 2" xfId="9683"/>
    <cellStyle name="Normal 55 3 4 3" xfId="9684"/>
    <cellStyle name="Normal 55 3 5" xfId="9685"/>
    <cellStyle name="Normal 55 3 6" xfId="9686"/>
    <cellStyle name="Normal 55 4" xfId="9687"/>
    <cellStyle name="Normal 55 4 2" xfId="9688"/>
    <cellStyle name="Normal 55 4 2 2" xfId="9689"/>
    <cellStyle name="Normal 55 4 2 3" xfId="9690"/>
    <cellStyle name="Normal 55 4 3" xfId="9691"/>
    <cellStyle name="Normal 55 4 3 2" xfId="9692"/>
    <cellStyle name="Normal 55 4 3 3" xfId="9693"/>
    <cellStyle name="Normal 55 4 4" xfId="9694"/>
    <cellStyle name="Normal 55 4 5" xfId="9695"/>
    <cellStyle name="Normal 55 5" xfId="9696"/>
    <cellStyle name="Normal 55 5 2" xfId="9697"/>
    <cellStyle name="Normal 55 5 3" xfId="9698"/>
    <cellStyle name="Normal 55 6" xfId="9699"/>
    <cellStyle name="Normal 55 6 2" xfId="9700"/>
    <cellStyle name="Normal 55 6 3" xfId="9701"/>
    <cellStyle name="Normal 55 7" xfId="9702"/>
    <cellStyle name="Normal 55 8" xfId="9703"/>
    <cellStyle name="Normal 56" xfId="210"/>
    <cellStyle name="Normal 56 2" xfId="9704"/>
    <cellStyle name="Normal 56 2 2" xfId="9705"/>
    <cellStyle name="Normal 56 2 2 2" xfId="9706"/>
    <cellStyle name="Normal 56 2 2 2 2" xfId="9707"/>
    <cellStyle name="Normal 56 2 2 2 2 2" xfId="9708"/>
    <cellStyle name="Normal 56 2 2 2 2 3" xfId="9709"/>
    <cellStyle name="Normal 56 2 2 2 3" xfId="9710"/>
    <cellStyle name="Normal 56 2 2 2 3 2" xfId="9711"/>
    <cellStyle name="Normal 56 2 2 2 3 3" xfId="9712"/>
    <cellStyle name="Normal 56 2 2 2 4" xfId="9713"/>
    <cellStyle name="Normal 56 2 2 2 5" xfId="9714"/>
    <cellStyle name="Normal 56 2 2 3" xfId="9715"/>
    <cellStyle name="Normal 56 2 2 3 2" xfId="9716"/>
    <cellStyle name="Normal 56 2 2 3 3" xfId="9717"/>
    <cellStyle name="Normal 56 2 2 4" xfId="9718"/>
    <cellStyle name="Normal 56 2 2 4 2" xfId="9719"/>
    <cellStyle name="Normal 56 2 2 4 3" xfId="9720"/>
    <cellStyle name="Normal 56 2 2 5" xfId="9721"/>
    <cellStyle name="Normal 56 2 2 6" xfId="9722"/>
    <cellStyle name="Normal 56 2 3" xfId="9723"/>
    <cellStyle name="Normal 56 2 3 2" xfId="9724"/>
    <cellStyle name="Normal 56 2 3 2 2" xfId="9725"/>
    <cellStyle name="Normal 56 2 3 2 3" xfId="9726"/>
    <cellStyle name="Normal 56 2 3 3" xfId="9727"/>
    <cellStyle name="Normal 56 2 3 3 2" xfId="9728"/>
    <cellStyle name="Normal 56 2 3 3 3" xfId="9729"/>
    <cellStyle name="Normal 56 2 3 4" xfId="9730"/>
    <cellStyle name="Normal 56 2 3 5" xfId="9731"/>
    <cellStyle name="Normal 56 2 4" xfId="9732"/>
    <cellStyle name="Normal 56 2 4 2" xfId="9733"/>
    <cellStyle name="Normal 56 2 4 3" xfId="9734"/>
    <cellStyle name="Normal 56 2 5" xfId="9735"/>
    <cellStyle name="Normal 56 2 5 2" xfId="9736"/>
    <cellStyle name="Normal 56 2 5 3" xfId="9737"/>
    <cellStyle name="Normal 56 2 6" xfId="9738"/>
    <cellStyle name="Normal 56 2 7" xfId="9739"/>
    <cellStyle name="Normal 56 3" xfId="9740"/>
    <cellStyle name="Normal 56 3 2" xfId="9741"/>
    <cellStyle name="Normal 56 3 2 2" xfId="9742"/>
    <cellStyle name="Normal 56 3 2 2 2" xfId="9743"/>
    <cellStyle name="Normal 56 3 2 2 3" xfId="9744"/>
    <cellStyle name="Normal 56 3 2 3" xfId="9745"/>
    <cellStyle name="Normal 56 3 2 3 2" xfId="9746"/>
    <cellStyle name="Normal 56 3 2 3 3" xfId="9747"/>
    <cellStyle name="Normal 56 3 2 4" xfId="9748"/>
    <cellStyle name="Normal 56 3 2 5" xfId="9749"/>
    <cellStyle name="Normal 56 3 3" xfId="9750"/>
    <cellStyle name="Normal 56 3 3 2" xfId="9751"/>
    <cellStyle name="Normal 56 3 3 3" xfId="9752"/>
    <cellStyle name="Normal 56 3 4" xfId="9753"/>
    <cellStyle name="Normal 56 3 4 2" xfId="9754"/>
    <cellStyle name="Normal 56 3 4 3" xfId="9755"/>
    <cellStyle name="Normal 56 3 5" xfId="9756"/>
    <cellStyle name="Normal 56 3 6" xfId="9757"/>
    <cellStyle name="Normal 56 4" xfId="9758"/>
    <cellStyle name="Normal 56 4 2" xfId="9759"/>
    <cellStyle name="Normal 56 4 2 2" xfId="9760"/>
    <cellStyle name="Normal 56 4 2 3" xfId="9761"/>
    <cellStyle name="Normal 56 4 3" xfId="9762"/>
    <cellStyle name="Normal 56 4 3 2" xfId="9763"/>
    <cellStyle name="Normal 56 4 3 3" xfId="9764"/>
    <cellStyle name="Normal 56 4 4" xfId="9765"/>
    <cellStyle name="Normal 56 4 5" xfId="9766"/>
    <cellStyle name="Normal 56 5" xfId="9767"/>
    <cellStyle name="Normal 56 5 2" xfId="9768"/>
    <cellStyle name="Normal 56 5 3" xfId="9769"/>
    <cellStyle name="Normal 56 6" xfId="9770"/>
    <cellStyle name="Normal 56 6 2" xfId="9771"/>
    <cellStyle name="Normal 56 6 3" xfId="9772"/>
    <cellStyle name="Normal 56 7" xfId="9773"/>
    <cellStyle name="Normal 56 8" xfId="9774"/>
    <cellStyle name="Normal 57" xfId="211"/>
    <cellStyle name="Normal 57 2" xfId="9775"/>
    <cellStyle name="Normal 57 2 2" xfId="9776"/>
    <cellStyle name="Normal 57 2 2 2" xfId="9777"/>
    <cellStyle name="Normal 57 2 2 2 2" xfId="9778"/>
    <cellStyle name="Normal 57 2 2 2 2 2" xfId="9779"/>
    <cellStyle name="Normal 57 2 2 2 2 3" xfId="9780"/>
    <cellStyle name="Normal 57 2 2 2 3" xfId="9781"/>
    <cellStyle name="Normal 57 2 2 2 3 2" xfId="9782"/>
    <cellStyle name="Normal 57 2 2 2 3 3" xfId="9783"/>
    <cellStyle name="Normal 57 2 2 2 4" xfId="9784"/>
    <cellStyle name="Normal 57 2 2 2 5" xfId="9785"/>
    <cellStyle name="Normal 57 2 2 3" xfId="9786"/>
    <cellStyle name="Normal 57 2 2 3 2" xfId="9787"/>
    <cellStyle name="Normal 57 2 2 3 3" xfId="9788"/>
    <cellStyle name="Normal 57 2 2 4" xfId="9789"/>
    <cellStyle name="Normal 57 2 2 4 2" xfId="9790"/>
    <cellStyle name="Normal 57 2 2 4 3" xfId="9791"/>
    <cellStyle name="Normal 57 2 2 5" xfId="9792"/>
    <cellStyle name="Normal 57 2 2 6" xfId="9793"/>
    <cellStyle name="Normal 57 2 3" xfId="9794"/>
    <cellStyle name="Normal 57 2 3 2" xfId="9795"/>
    <cellStyle name="Normal 57 2 3 2 2" xfId="9796"/>
    <cellStyle name="Normal 57 2 3 2 3" xfId="9797"/>
    <cellStyle name="Normal 57 2 3 3" xfId="9798"/>
    <cellStyle name="Normal 57 2 3 3 2" xfId="9799"/>
    <cellStyle name="Normal 57 2 3 3 3" xfId="9800"/>
    <cellStyle name="Normal 57 2 3 4" xfId="9801"/>
    <cellStyle name="Normal 57 2 3 5" xfId="9802"/>
    <cellStyle name="Normal 57 2 4" xfId="9803"/>
    <cellStyle name="Normal 57 2 4 2" xfId="9804"/>
    <cellStyle name="Normal 57 2 4 3" xfId="9805"/>
    <cellStyle name="Normal 57 2 5" xfId="9806"/>
    <cellStyle name="Normal 57 2 5 2" xfId="9807"/>
    <cellStyle name="Normal 57 2 5 3" xfId="9808"/>
    <cellStyle name="Normal 57 2 6" xfId="9809"/>
    <cellStyle name="Normal 57 2 7" xfId="9810"/>
    <cellStyle name="Normal 57 3" xfId="9811"/>
    <cellStyle name="Normal 57 3 2" xfId="9812"/>
    <cellStyle name="Normal 57 3 2 2" xfId="9813"/>
    <cellStyle name="Normal 57 3 2 2 2" xfId="9814"/>
    <cellStyle name="Normal 57 3 2 2 3" xfId="9815"/>
    <cellStyle name="Normal 57 3 2 3" xfId="9816"/>
    <cellStyle name="Normal 57 3 2 3 2" xfId="9817"/>
    <cellStyle name="Normal 57 3 2 3 3" xfId="9818"/>
    <cellStyle name="Normal 57 3 2 4" xfId="9819"/>
    <cellStyle name="Normal 57 3 2 5" xfId="9820"/>
    <cellStyle name="Normal 57 3 3" xfId="9821"/>
    <cellStyle name="Normal 57 3 3 2" xfId="9822"/>
    <cellStyle name="Normal 57 3 3 3" xfId="9823"/>
    <cellStyle name="Normal 57 3 4" xfId="9824"/>
    <cellStyle name="Normal 57 3 4 2" xfId="9825"/>
    <cellStyle name="Normal 57 3 4 3" xfId="9826"/>
    <cellStyle name="Normal 57 3 5" xfId="9827"/>
    <cellStyle name="Normal 57 3 6" xfId="9828"/>
    <cellStyle name="Normal 57 4" xfId="9829"/>
    <cellStyle name="Normal 57 4 2" xfId="9830"/>
    <cellStyle name="Normal 57 4 2 2" xfId="9831"/>
    <cellStyle name="Normal 57 4 2 3" xfId="9832"/>
    <cellStyle name="Normal 57 4 3" xfId="9833"/>
    <cellStyle name="Normal 57 4 3 2" xfId="9834"/>
    <cellStyle name="Normal 57 4 3 3" xfId="9835"/>
    <cellStyle name="Normal 57 4 4" xfId="9836"/>
    <cellStyle name="Normal 57 4 5" xfId="9837"/>
    <cellStyle name="Normal 57 5" xfId="9838"/>
    <cellStyle name="Normal 57 5 2" xfId="9839"/>
    <cellStyle name="Normal 57 5 3" xfId="9840"/>
    <cellStyle name="Normal 57 6" xfId="9841"/>
    <cellStyle name="Normal 57 6 2" xfId="9842"/>
    <cellStyle name="Normal 57 6 3" xfId="9843"/>
    <cellStyle name="Normal 57 7" xfId="9844"/>
    <cellStyle name="Normal 57 8" xfId="9845"/>
    <cellStyle name="Normal 58" xfId="212"/>
    <cellStyle name="Normal 58 2" xfId="9846"/>
    <cellStyle name="Normal 58 2 2" xfId="9847"/>
    <cellStyle name="Normal 58 2 2 2" xfId="9848"/>
    <cellStyle name="Normal 58 2 2 2 2" xfId="9849"/>
    <cellStyle name="Normal 58 2 2 2 2 2" xfId="9850"/>
    <cellStyle name="Normal 58 2 2 2 2 3" xfId="9851"/>
    <cellStyle name="Normal 58 2 2 2 3" xfId="9852"/>
    <cellStyle name="Normal 58 2 2 2 3 2" xfId="9853"/>
    <cellStyle name="Normal 58 2 2 2 3 3" xfId="9854"/>
    <cellStyle name="Normal 58 2 2 2 4" xfId="9855"/>
    <cellStyle name="Normal 58 2 2 2 5" xfId="9856"/>
    <cellStyle name="Normal 58 2 2 3" xfId="9857"/>
    <cellStyle name="Normal 58 2 2 3 2" xfId="9858"/>
    <cellStyle name="Normal 58 2 2 3 3" xfId="9859"/>
    <cellStyle name="Normal 58 2 2 4" xfId="9860"/>
    <cellStyle name="Normal 58 2 2 4 2" xfId="9861"/>
    <cellStyle name="Normal 58 2 2 4 3" xfId="9862"/>
    <cellStyle name="Normal 58 2 2 5" xfId="9863"/>
    <cellStyle name="Normal 58 2 2 6" xfId="9864"/>
    <cellStyle name="Normal 58 2 3" xfId="9865"/>
    <cellStyle name="Normal 58 2 3 2" xfId="9866"/>
    <cellStyle name="Normal 58 2 3 2 2" xfId="9867"/>
    <cellStyle name="Normal 58 2 3 2 3" xfId="9868"/>
    <cellStyle name="Normal 58 2 3 3" xfId="9869"/>
    <cellStyle name="Normal 58 2 3 3 2" xfId="9870"/>
    <cellStyle name="Normal 58 2 3 3 3" xfId="9871"/>
    <cellStyle name="Normal 58 2 3 4" xfId="9872"/>
    <cellStyle name="Normal 58 2 3 5" xfId="9873"/>
    <cellStyle name="Normal 58 2 4" xfId="9874"/>
    <cellStyle name="Normal 58 2 4 2" xfId="9875"/>
    <cellStyle name="Normal 58 2 4 3" xfId="9876"/>
    <cellStyle name="Normal 58 2 5" xfId="9877"/>
    <cellStyle name="Normal 58 2 5 2" xfId="9878"/>
    <cellStyle name="Normal 58 2 5 3" xfId="9879"/>
    <cellStyle name="Normal 58 2 6" xfId="9880"/>
    <cellStyle name="Normal 58 2 7" xfId="9881"/>
    <cellStyle name="Normal 58 3" xfId="9882"/>
    <cellStyle name="Normal 58 3 2" xfId="9883"/>
    <cellStyle name="Normal 58 3 2 2" xfId="9884"/>
    <cellStyle name="Normal 58 3 2 2 2" xfId="9885"/>
    <cellStyle name="Normal 58 3 2 2 3" xfId="9886"/>
    <cellStyle name="Normal 58 3 2 3" xfId="9887"/>
    <cellStyle name="Normal 58 3 2 3 2" xfId="9888"/>
    <cellStyle name="Normal 58 3 2 3 3" xfId="9889"/>
    <cellStyle name="Normal 58 3 2 4" xfId="9890"/>
    <cellStyle name="Normal 58 3 2 5" xfId="9891"/>
    <cellStyle name="Normal 58 3 3" xfId="9892"/>
    <cellStyle name="Normal 58 3 3 2" xfId="9893"/>
    <cellStyle name="Normal 58 3 3 3" xfId="9894"/>
    <cellStyle name="Normal 58 3 4" xfId="9895"/>
    <cellStyle name="Normal 58 3 4 2" xfId="9896"/>
    <cellStyle name="Normal 58 3 4 3" xfId="9897"/>
    <cellStyle name="Normal 58 3 5" xfId="9898"/>
    <cellStyle name="Normal 58 3 6" xfId="9899"/>
    <cellStyle name="Normal 58 4" xfId="9900"/>
    <cellStyle name="Normal 58 4 2" xfId="9901"/>
    <cellStyle name="Normal 58 4 2 2" xfId="9902"/>
    <cellStyle name="Normal 58 4 2 3" xfId="9903"/>
    <cellStyle name="Normal 58 4 3" xfId="9904"/>
    <cellStyle name="Normal 58 4 3 2" xfId="9905"/>
    <cellStyle name="Normal 58 4 3 3" xfId="9906"/>
    <cellStyle name="Normal 58 4 4" xfId="9907"/>
    <cellStyle name="Normal 58 4 5" xfId="9908"/>
    <cellStyle name="Normal 58 5" xfId="9909"/>
    <cellStyle name="Normal 58 5 2" xfId="9910"/>
    <cellStyle name="Normal 58 5 3" xfId="9911"/>
    <cellStyle name="Normal 58 6" xfId="9912"/>
    <cellStyle name="Normal 58 6 2" xfId="9913"/>
    <cellStyle name="Normal 58 6 3" xfId="9914"/>
    <cellStyle name="Normal 58 7" xfId="9915"/>
    <cellStyle name="Normal 58 8" xfId="9916"/>
    <cellStyle name="Normal 59" xfId="213"/>
    <cellStyle name="Normal 59 2" xfId="9917"/>
    <cellStyle name="Normal 59 2 2" xfId="9918"/>
    <cellStyle name="Normal 59 2 2 2" xfId="9919"/>
    <cellStyle name="Normal 59 2 2 2 2" xfId="9920"/>
    <cellStyle name="Normal 59 2 2 2 2 2" xfId="9921"/>
    <cellStyle name="Normal 59 2 2 2 2 3" xfId="9922"/>
    <cellStyle name="Normal 59 2 2 2 3" xfId="9923"/>
    <cellStyle name="Normal 59 2 2 2 3 2" xfId="9924"/>
    <cellStyle name="Normal 59 2 2 2 3 3" xfId="9925"/>
    <cellStyle name="Normal 59 2 2 2 4" xfId="9926"/>
    <cellStyle name="Normal 59 2 2 2 5" xfId="9927"/>
    <cellStyle name="Normal 59 2 2 3" xfId="9928"/>
    <cellStyle name="Normal 59 2 2 3 2" xfId="9929"/>
    <cellStyle name="Normal 59 2 2 3 3" xfId="9930"/>
    <cellStyle name="Normal 59 2 2 4" xfId="9931"/>
    <cellStyle name="Normal 59 2 2 4 2" xfId="9932"/>
    <cellStyle name="Normal 59 2 2 4 3" xfId="9933"/>
    <cellStyle name="Normal 59 2 2 5" xfId="9934"/>
    <cellStyle name="Normal 59 2 2 6" xfId="9935"/>
    <cellStyle name="Normal 59 2 3" xfId="9936"/>
    <cellStyle name="Normal 59 2 3 2" xfId="9937"/>
    <cellStyle name="Normal 59 2 3 2 2" xfId="9938"/>
    <cellStyle name="Normal 59 2 3 2 3" xfId="9939"/>
    <cellStyle name="Normal 59 2 3 3" xfId="9940"/>
    <cellStyle name="Normal 59 2 3 3 2" xfId="9941"/>
    <cellStyle name="Normal 59 2 3 3 3" xfId="9942"/>
    <cellStyle name="Normal 59 2 3 4" xfId="9943"/>
    <cellStyle name="Normal 59 2 3 5" xfId="9944"/>
    <cellStyle name="Normal 59 2 4" xfId="9945"/>
    <cellStyle name="Normal 59 2 4 2" xfId="9946"/>
    <cellStyle name="Normal 59 2 4 3" xfId="9947"/>
    <cellStyle name="Normal 59 2 5" xfId="9948"/>
    <cellStyle name="Normal 59 2 5 2" xfId="9949"/>
    <cellStyle name="Normal 59 2 5 3" xfId="9950"/>
    <cellStyle name="Normal 59 2 6" xfId="9951"/>
    <cellStyle name="Normal 59 2 7" xfId="9952"/>
    <cellStyle name="Normal 59 3" xfId="9953"/>
    <cellStyle name="Normal 59 3 2" xfId="9954"/>
    <cellStyle name="Normal 59 3 2 2" xfId="9955"/>
    <cellStyle name="Normal 59 3 2 2 2" xfId="9956"/>
    <cellStyle name="Normal 59 3 2 2 3" xfId="9957"/>
    <cellStyle name="Normal 59 3 2 3" xfId="9958"/>
    <cellStyle name="Normal 59 3 2 3 2" xfId="9959"/>
    <cellStyle name="Normal 59 3 2 3 3" xfId="9960"/>
    <cellStyle name="Normal 59 3 2 4" xfId="9961"/>
    <cellStyle name="Normal 59 3 2 5" xfId="9962"/>
    <cellStyle name="Normal 59 3 3" xfId="9963"/>
    <cellStyle name="Normal 59 3 3 2" xfId="9964"/>
    <cellStyle name="Normal 59 3 3 3" xfId="9965"/>
    <cellStyle name="Normal 59 3 4" xfId="9966"/>
    <cellStyle name="Normal 59 3 4 2" xfId="9967"/>
    <cellStyle name="Normal 59 3 4 3" xfId="9968"/>
    <cellStyle name="Normal 59 3 5" xfId="9969"/>
    <cellStyle name="Normal 59 3 6" xfId="9970"/>
    <cellStyle name="Normal 59 4" xfId="9971"/>
    <cellStyle name="Normal 59 4 2" xfId="9972"/>
    <cellStyle name="Normal 59 4 2 2" xfId="9973"/>
    <cellStyle name="Normal 59 4 2 3" xfId="9974"/>
    <cellStyle name="Normal 59 4 3" xfId="9975"/>
    <cellStyle name="Normal 59 4 3 2" xfId="9976"/>
    <cellStyle name="Normal 59 4 3 3" xfId="9977"/>
    <cellStyle name="Normal 59 4 4" xfId="9978"/>
    <cellStyle name="Normal 59 4 5" xfId="9979"/>
    <cellStyle name="Normal 59 5" xfId="9980"/>
    <cellStyle name="Normal 59 5 2" xfId="9981"/>
    <cellStyle name="Normal 59 5 3" xfId="9982"/>
    <cellStyle name="Normal 59 6" xfId="9983"/>
    <cellStyle name="Normal 59 6 2" xfId="9984"/>
    <cellStyle name="Normal 59 6 3" xfId="9985"/>
    <cellStyle name="Normal 59 7" xfId="9986"/>
    <cellStyle name="Normal 59 8" xfId="9987"/>
    <cellStyle name="Normal 6" xfId="23"/>
    <cellStyle name="Normal 6 10" xfId="9988"/>
    <cellStyle name="Normal 6 11" xfId="9989"/>
    <cellStyle name="Normal 6 2" xfId="214"/>
    <cellStyle name="Normal 6 2 10" xfId="37441"/>
    <cellStyle name="Normal 6 2 2" xfId="9990"/>
    <cellStyle name="Normal 6 2 2 2" xfId="9991"/>
    <cellStyle name="Normal 6 2 2 2 2" xfId="9992"/>
    <cellStyle name="Normal 6 2 2 2 2 2" xfId="9993"/>
    <cellStyle name="Normal 6 2 2 2 2 2 2" xfId="9994"/>
    <cellStyle name="Normal 6 2 2 2 2 2 2 2" xfId="9995"/>
    <cellStyle name="Normal 6 2 2 2 2 2 2 3" xfId="9996"/>
    <cellStyle name="Normal 6 2 2 2 2 2 3" xfId="9997"/>
    <cellStyle name="Normal 6 2 2 2 2 2 3 2" xfId="9998"/>
    <cellStyle name="Normal 6 2 2 2 2 2 3 3" xfId="9999"/>
    <cellStyle name="Normal 6 2 2 2 2 2 4" xfId="10000"/>
    <cellStyle name="Normal 6 2 2 2 2 2 5" xfId="10001"/>
    <cellStyle name="Normal 6 2 2 2 2 3" xfId="10002"/>
    <cellStyle name="Normal 6 2 2 2 2 3 2" xfId="10003"/>
    <cellStyle name="Normal 6 2 2 2 2 3 3" xfId="10004"/>
    <cellStyle name="Normal 6 2 2 2 2 4" xfId="10005"/>
    <cellStyle name="Normal 6 2 2 2 2 4 2" xfId="10006"/>
    <cellStyle name="Normal 6 2 2 2 2 4 3" xfId="10007"/>
    <cellStyle name="Normal 6 2 2 2 2 5" xfId="10008"/>
    <cellStyle name="Normal 6 2 2 2 2 6" xfId="10009"/>
    <cellStyle name="Normal 6 2 2 2 3" xfId="10010"/>
    <cellStyle name="Normal 6 2 2 2 3 2" xfId="10011"/>
    <cellStyle name="Normal 6 2 2 2 3 2 2" xfId="10012"/>
    <cellStyle name="Normal 6 2 2 2 3 2 3" xfId="10013"/>
    <cellStyle name="Normal 6 2 2 2 3 3" xfId="10014"/>
    <cellStyle name="Normal 6 2 2 2 3 3 2" xfId="10015"/>
    <cellStyle name="Normal 6 2 2 2 3 3 3" xfId="10016"/>
    <cellStyle name="Normal 6 2 2 2 3 4" xfId="10017"/>
    <cellStyle name="Normal 6 2 2 2 3 5" xfId="10018"/>
    <cellStyle name="Normal 6 2 2 2 3 6" xfId="34891"/>
    <cellStyle name="Normal 6 2 2 2 4" xfId="10019"/>
    <cellStyle name="Normal 6 2 2 2 4 2" xfId="10020"/>
    <cellStyle name="Normal 6 2 2 2 4 3" xfId="10021"/>
    <cellStyle name="Normal 6 2 2 2 5" xfId="10022"/>
    <cellStyle name="Normal 6 2 2 2 5 2" xfId="10023"/>
    <cellStyle name="Normal 6 2 2 2 5 3" xfId="10024"/>
    <cellStyle name="Normal 6 2 2 2 6" xfId="10025"/>
    <cellStyle name="Normal 6 2 2 2 7" xfId="10026"/>
    <cellStyle name="Normal 6 2 2 3" xfId="10027"/>
    <cellStyle name="Normal 6 2 2 3 2" xfId="10028"/>
    <cellStyle name="Normal 6 2 2 3 2 2" xfId="10029"/>
    <cellStyle name="Normal 6 2 2 3 2 2 2" xfId="10030"/>
    <cellStyle name="Normal 6 2 2 3 2 2 3" xfId="10031"/>
    <cellStyle name="Normal 6 2 2 3 2 3" xfId="10032"/>
    <cellStyle name="Normal 6 2 2 3 2 3 2" xfId="10033"/>
    <cellStyle name="Normal 6 2 2 3 2 3 3" xfId="10034"/>
    <cellStyle name="Normal 6 2 2 3 2 4" xfId="10035"/>
    <cellStyle name="Normal 6 2 2 3 2 5" xfId="10036"/>
    <cellStyle name="Normal 6 2 2 3 3" xfId="10037"/>
    <cellStyle name="Normal 6 2 2 3 3 2" xfId="10038"/>
    <cellStyle name="Normal 6 2 2 3 3 3" xfId="10039"/>
    <cellStyle name="Normal 6 2 2 3 4" xfId="10040"/>
    <cellStyle name="Normal 6 2 2 3 4 2" xfId="10041"/>
    <cellStyle name="Normal 6 2 2 3 4 3" xfId="10042"/>
    <cellStyle name="Normal 6 2 2 3 5" xfId="10043"/>
    <cellStyle name="Normal 6 2 2 3 6" xfId="10044"/>
    <cellStyle name="Normal 6 2 2 4" xfId="10045"/>
    <cellStyle name="Normal 6 2 2 4 2" xfId="10046"/>
    <cellStyle name="Normal 6 2 2 4 2 2" xfId="10047"/>
    <cellStyle name="Normal 6 2 2 4 2 3" xfId="10048"/>
    <cellStyle name="Normal 6 2 2 4 3" xfId="10049"/>
    <cellStyle name="Normal 6 2 2 4 3 2" xfId="10050"/>
    <cellStyle name="Normal 6 2 2 4 3 3" xfId="10051"/>
    <cellStyle name="Normal 6 2 2 4 4" xfId="10052"/>
    <cellStyle name="Normal 6 2 2 4 5" xfId="10053"/>
    <cellStyle name="Normal 6 2 2 5" xfId="10054"/>
    <cellStyle name="Normal 6 2 2 5 2" xfId="10055"/>
    <cellStyle name="Normal 6 2 2 5 3" xfId="10056"/>
    <cellStyle name="Normal 6 2 2 6" xfId="10057"/>
    <cellStyle name="Normal 6 2 2 6 2" xfId="10058"/>
    <cellStyle name="Normal 6 2 2 6 3" xfId="10059"/>
    <cellStyle name="Normal 6 2 2 7" xfId="10060"/>
    <cellStyle name="Normal 6 2 2 8" xfId="10061"/>
    <cellStyle name="Normal 6 2 3" xfId="10062"/>
    <cellStyle name="Normal 6 2 3 2" xfId="10063"/>
    <cellStyle name="Normal 6 2 3 2 2" xfId="10064"/>
    <cellStyle name="Normal 6 2 3 2 2 2" xfId="10065"/>
    <cellStyle name="Normal 6 2 3 2 2 2 2" xfId="10066"/>
    <cellStyle name="Normal 6 2 3 2 2 2 3" xfId="10067"/>
    <cellStyle name="Normal 6 2 3 2 2 3" xfId="10068"/>
    <cellStyle name="Normal 6 2 3 2 2 3 2" xfId="10069"/>
    <cellStyle name="Normal 6 2 3 2 2 3 3" xfId="10070"/>
    <cellStyle name="Normal 6 2 3 2 2 4" xfId="10071"/>
    <cellStyle name="Normal 6 2 3 2 2 5" xfId="10072"/>
    <cellStyle name="Normal 6 2 3 2 3" xfId="10073"/>
    <cellStyle name="Normal 6 2 3 2 3 2" xfId="10074"/>
    <cellStyle name="Normal 6 2 3 2 3 3" xfId="10075"/>
    <cellStyle name="Normal 6 2 3 2 4" xfId="10076"/>
    <cellStyle name="Normal 6 2 3 2 4 2" xfId="10077"/>
    <cellStyle name="Normal 6 2 3 2 4 3" xfId="10078"/>
    <cellStyle name="Normal 6 2 3 2 5" xfId="10079"/>
    <cellStyle name="Normal 6 2 3 2 6" xfId="10080"/>
    <cellStyle name="Normal 6 2 3 3" xfId="10081"/>
    <cellStyle name="Normal 6 2 3 3 2" xfId="10082"/>
    <cellStyle name="Normal 6 2 3 3 2 2" xfId="10083"/>
    <cellStyle name="Normal 6 2 3 3 2 3" xfId="10084"/>
    <cellStyle name="Normal 6 2 3 3 3" xfId="10085"/>
    <cellStyle name="Normal 6 2 3 3 3 2" xfId="10086"/>
    <cellStyle name="Normal 6 2 3 3 3 3" xfId="10087"/>
    <cellStyle name="Normal 6 2 3 3 4" xfId="10088"/>
    <cellStyle name="Normal 6 2 3 3 5" xfId="10089"/>
    <cellStyle name="Normal 6 2 3 4" xfId="10090"/>
    <cellStyle name="Normal 6 2 3 4 2" xfId="10091"/>
    <cellStyle name="Normal 6 2 3 4 3" xfId="10092"/>
    <cellStyle name="Normal 6 2 3 5" xfId="10093"/>
    <cellStyle name="Normal 6 2 3 5 2" xfId="10094"/>
    <cellStyle name="Normal 6 2 3 5 3" xfId="10095"/>
    <cellStyle name="Normal 6 2 3 6" xfId="10096"/>
    <cellStyle name="Normal 6 2 3 7" xfId="10097"/>
    <cellStyle name="Normal 6 2 4" xfId="10098"/>
    <cellStyle name="Normal 6 2 4 2" xfId="10099"/>
    <cellStyle name="Normal 6 2 4 2 2" xfId="10100"/>
    <cellStyle name="Normal 6 2 4 2 2 2" xfId="10101"/>
    <cellStyle name="Normal 6 2 4 2 2 3" xfId="10102"/>
    <cellStyle name="Normal 6 2 4 2 3" xfId="10103"/>
    <cellStyle name="Normal 6 2 4 2 3 2" xfId="10104"/>
    <cellStyle name="Normal 6 2 4 2 3 3" xfId="10105"/>
    <cellStyle name="Normal 6 2 4 2 4" xfId="10106"/>
    <cellStyle name="Normal 6 2 4 2 5" xfId="10107"/>
    <cellStyle name="Normal 6 2 4 3" xfId="10108"/>
    <cellStyle name="Normal 6 2 4 3 2" xfId="10109"/>
    <cellStyle name="Normal 6 2 4 3 3" xfId="10110"/>
    <cellStyle name="Normal 6 2 4 4" xfId="10111"/>
    <cellStyle name="Normal 6 2 4 4 2" xfId="10112"/>
    <cellStyle name="Normal 6 2 4 4 3" xfId="10113"/>
    <cellStyle name="Normal 6 2 4 5" xfId="10114"/>
    <cellStyle name="Normal 6 2 4 6" xfId="10115"/>
    <cellStyle name="Normal 6 2 5" xfId="10116"/>
    <cellStyle name="Normal 6 2 5 2" xfId="10117"/>
    <cellStyle name="Normal 6 2 5 2 2" xfId="10118"/>
    <cellStyle name="Normal 6 2 5 2 3" xfId="10119"/>
    <cellStyle name="Normal 6 2 5 3" xfId="10120"/>
    <cellStyle name="Normal 6 2 5 3 2" xfId="10121"/>
    <cellStyle name="Normal 6 2 5 3 3" xfId="10122"/>
    <cellStyle name="Normal 6 2 5 4" xfId="10123"/>
    <cellStyle name="Normal 6 2 5 5" xfId="10124"/>
    <cellStyle name="Normal 6 2 6" xfId="10125"/>
    <cellStyle name="Normal 6 2 6 2" xfId="10126"/>
    <cellStyle name="Normal 6 2 6 3" xfId="10127"/>
    <cellStyle name="Normal 6 2 7" xfId="10128"/>
    <cellStyle name="Normal 6 2 7 2" xfId="10129"/>
    <cellStyle name="Normal 6 2 7 3" xfId="10130"/>
    <cellStyle name="Normal 6 2 8" xfId="10131"/>
    <cellStyle name="Normal 6 2 9" xfId="10132"/>
    <cellStyle name="Normal 6 3" xfId="10133"/>
    <cellStyle name="Normal 6 3 2" xfId="10134"/>
    <cellStyle name="Normal 6 3 2 2" xfId="10135"/>
    <cellStyle name="Normal 6 3 2 2 2" xfId="10136"/>
    <cellStyle name="Normal 6 3 2 2 2 2" xfId="10137"/>
    <cellStyle name="Normal 6 3 2 2 2 2 2" xfId="10138"/>
    <cellStyle name="Normal 6 3 2 2 2 2 3" xfId="10139"/>
    <cellStyle name="Normal 6 3 2 2 2 3" xfId="10140"/>
    <cellStyle name="Normal 6 3 2 2 2 3 2" xfId="10141"/>
    <cellStyle name="Normal 6 3 2 2 2 3 3" xfId="10142"/>
    <cellStyle name="Normal 6 3 2 2 2 4" xfId="10143"/>
    <cellStyle name="Normal 6 3 2 2 2 5" xfId="10144"/>
    <cellStyle name="Normal 6 3 2 2 3" xfId="10145"/>
    <cellStyle name="Normal 6 3 2 2 3 2" xfId="10146"/>
    <cellStyle name="Normal 6 3 2 2 3 3" xfId="10147"/>
    <cellStyle name="Normal 6 3 2 2 4" xfId="10148"/>
    <cellStyle name="Normal 6 3 2 2 4 2" xfId="10149"/>
    <cellStyle name="Normal 6 3 2 2 4 3" xfId="10150"/>
    <cellStyle name="Normal 6 3 2 2 5" xfId="10151"/>
    <cellStyle name="Normal 6 3 2 2 6" xfId="10152"/>
    <cellStyle name="Normal 6 3 2 3" xfId="10153"/>
    <cellStyle name="Normal 6 3 2 3 2" xfId="10154"/>
    <cellStyle name="Normal 6 3 2 3 2 2" xfId="10155"/>
    <cellStyle name="Normal 6 3 2 3 2 3" xfId="10156"/>
    <cellStyle name="Normal 6 3 2 3 3" xfId="10157"/>
    <cellStyle name="Normal 6 3 2 3 3 2" xfId="10158"/>
    <cellStyle name="Normal 6 3 2 3 3 3" xfId="10159"/>
    <cellStyle name="Normal 6 3 2 3 4" xfId="10160"/>
    <cellStyle name="Normal 6 3 2 3 5" xfId="10161"/>
    <cellStyle name="Normal 6 3 2 4" xfId="10162"/>
    <cellStyle name="Normal 6 3 2 4 2" xfId="10163"/>
    <cellStyle name="Normal 6 3 2 4 3" xfId="10164"/>
    <cellStyle name="Normal 6 3 2 5" xfId="10165"/>
    <cellStyle name="Normal 6 3 2 5 2" xfId="10166"/>
    <cellStyle name="Normal 6 3 2 5 3" xfId="10167"/>
    <cellStyle name="Normal 6 3 2 6" xfId="10168"/>
    <cellStyle name="Normal 6 3 2 7" xfId="10169"/>
    <cellStyle name="Normal 6 3 3" xfId="10170"/>
    <cellStyle name="Normal 6 3 3 2" xfId="10171"/>
    <cellStyle name="Normal 6 3 3 2 2" xfId="10172"/>
    <cellStyle name="Normal 6 3 3 2 2 2" xfId="10173"/>
    <cellStyle name="Normal 6 3 3 2 2 3" xfId="10174"/>
    <cellStyle name="Normal 6 3 3 2 3" xfId="10175"/>
    <cellStyle name="Normal 6 3 3 2 3 2" xfId="10176"/>
    <cellStyle name="Normal 6 3 3 2 3 3" xfId="10177"/>
    <cellStyle name="Normal 6 3 3 2 4" xfId="10178"/>
    <cellStyle name="Normal 6 3 3 2 5" xfId="10179"/>
    <cellStyle name="Normal 6 3 3 3" xfId="10180"/>
    <cellStyle name="Normal 6 3 3 3 2" xfId="10181"/>
    <cellStyle name="Normal 6 3 3 3 3" xfId="10182"/>
    <cellStyle name="Normal 6 3 3 4" xfId="10183"/>
    <cellStyle name="Normal 6 3 3 4 2" xfId="10184"/>
    <cellStyle name="Normal 6 3 3 4 3" xfId="10185"/>
    <cellStyle name="Normal 6 3 3 5" xfId="10186"/>
    <cellStyle name="Normal 6 3 3 6" xfId="10187"/>
    <cellStyle name="Normal 6 3 4" xfId="10188"/>
    <cellStyle name="Normal 6 3 4 2" xfId="10189"/>
    <cellStyle name="Normal 6 3 4 2 2" xfId="10190"/>
    <cellStyle name="Normal 6 3 4 2 3" xfId="10191"/>
    <cellStyle name="Normal 6 3 4 3" xfId="10192"/>
    <cellStyle name="Normal 6 3 4 3 2" xfId="10193"/>
    <cellStyle name="Normal 6 3 4 3 3" xfId="10194"/>
    <cellStyle name="Normal 6 3 4 4" xfId="10195"/>
    <cellStyle name="Normal 6 3 4 5" xfId="10196"/>
    <cellStyle name="Normal 6 3 5" xfId="10197"/>
    <cellStyle name="Normal 6 3 5 2" xfId="10198"/>
    <cellStyle name="Normal 6 3 5 3" xfId="10199"/>
    <cellStyle name="Normal 6 3 6" xfId="10200"/>
    <cellStyle name="Normal 6 3 6 2" xfId="10201"/>
    <cellStyle name="Normal 6 3 6 3" xfId="10202"/>
    <cellStyle name="Normal 6 3 7" xfId="10203"/>
    <cellStyle name="Normal 6 3 8" xfId="10204"/>
    <cellStyle name="Normal 6 4" xfId="10205"/>
    <cellStyle name="Normal 6 4 2" xfId="10206"/>
    <cellStyle name="Normal 6 4 2 2" xfId="10207"/>
    <cellStyle name="Normal 6 4 2 2 2" xfId="10208"/>
    <cellStyle name="Normal 6 4 2 2 2 2" xfId="10209"/>
    <cellStyle name="Normal 6 4 2 2 2 2 2" xfId="10210"/>
    <cellStyle name="Normal 6 4 2 2 2 2 3" xfId="10211"/>
    <cellStyle name="Normal 6 4 2 2 2 3" xfId="10212"/>
    <cellStyle name="Normal 6 4 2 2 2 3 2" xfId="10213"/>
    <cellStyle name="Normal 6 4 2 2 2 3 3" xfId="10214"/>
    <cellStyle name="Normal 6 4 2 2 2 4" xfId="10215"/>
    <cellStyle name="Normal 6 4 2 2 2 5" xfId="10216"/>
    <cellStyle name="Normal 6 4 2 2 3" xfId="10217"/>
    <cellStyle name="Normal 6 4 2 2 3 2" xfId="10218"/>
    <cellStyle name="Normal 6 4 2 2 3 3" xfId="10219"/>
    <cellStyle name="Normal 6 4 2 2 4" xfId="10220"/>
    <cellStyle name="Normal 6 4 2 2 4 2" xfId="10221"/>
    <cellStyle name="Normal 6 4 2 2 4 3" xfId="10222"/>
    <cellStyle name="Normal 6 4 2 2 5" xfId="10223"/>
    <cellStyle name="Normal 6 4 2 2 6" xfId="10224"/>
    <cellStyle name="Normal 6 4 2 3" xfId="10225"/>
    <cellStyle name="Normal 6 4 2 3 2" xfId="10226"/>
    <cellStyle name="Normal 6 4 2 3 2 2" xfId="10227"/>
    <cellStyle name="Normal 6 4 2 3 2 3" xfId="10228"/>
    <cellStyle name="Normal 6 4 2 3 3" xfId="10229"/>
    <cellStyle name="Normal 6 4 2 3 3 2" xfId="10230"/>
    <cellStyle name="Normal 6 4 2 3 3 3" xfId="10231"/>
    <cellStyle name="Normal 6 4 2 3 4" xfId="10232"/>
    <cellStyle name="Normal 6 4 2 3 5" xfId="10233"/>
    <cellStyle name="Normal 6 4 2 4" xfId="10234"/>
    <cellStyle name="Normal 6 4 2 4 2" xfId="10235"/>
    <cellStyle name="Normal 6 4 2 4 3" xfId="10236"/>
    <cellStyle name="Normal 6 4 2 5" xfId="10237"/>
    <cellStyle name="Normal 6 4 2 5 2" xfId="10238"/>
    <cellStyle name="Normal 6 4 2 5 3" xfId="10239"/>
    <cellStyle name="Normal 6 4 2 6" xfId="10240"/>
    <cellStyle name="Normal 6 4 2 7" xfId="10241"/>
    <cellStyle name="Normal 6 4 3" xfId="10242"/>
    <cellStyle name="Normal 6 4 3 2" xfId="10243"/>
    <cellStyle name="Normal 6 4 3 2 2" xfId="10244"/>
    <cellStyle name="Normal 6 4 3 2 2 2" xfId="10245"/>
    <cellStyle name="Normal 6 4 3 2 2 3" xfId="10246"/>
    <cellStyle name="Normal 6 4 3 2 3" xfId="10247"/>
    <cellStyle name="Normal 6 4 3 2 3 2" xfId="10248"/>
    <cellStyle name="Normal 6 4 3 2 3 3" xfId="10249"/>
    <cellStyle name="Normal 6 4 3 2 4" xfId="10250"/>
    <cellStyle name="Normal 6 4 3 2 5" xfId="10251"/>
    <cellStyle name="Normal 6 4 3 3" xfId="10252"/>
    <cellStyle name="Normal 6 4 3 3 2" xfId="10253"/>
    <cellStyle name="Normal 6 4 3 3 3" xfId="10254"/>
    <cellStyle name="Normal 6 4 3 4" xfId="10255"/>
    <cellStyle name="Normal 6 4 3 4 2" xfId="10256"/>
    <cellStyle name="Normal 6 4 3 4 3" xfId="10257"/>
    <cellStyle name="Normal 6 4 3 5" xfId="10258"/>
    <cellStyle name="Normal 6 4 3 6" xfId="10259"/>
    <cellStyle name="Normal 6 4 4" xfId="10260"/>
    <cellStyle name="Normal 6 4 4 2" xfId="10261"/>
    <cellStyle name="Normal 6 4 4 2 2" xfId="10262"/>
    <cellStyle name="Normal 6 4 4 2 3" xfId="10263"/>
    <cellStyle name="Normal 6 4 4 3" xfId="10264"/>
    <cellStyle name="Normal 6 4 4 3 2" xfId="10265"/>
    <cellStyle name="Normal 6 4 4 3 3" xfId="10266"/>
    <cellStyle name="Normal 6 4 4 4" xfId="10267"/>
    <cellStyle name="Normal 6 4 4 5" xfId="10268"/>
    <cellStyle name="Normal 6 4 5" xfId="10269"/>
    <cellStyle name="Normal 6 4 5 2" xfId="10270"/>
    <cellStyle name="Normal 6 4 5 3" xfId="10271"/>
    <cellStyle name="Normal 6 4 6" xfId="10272"/>
    <cellStyle name="Normal 6 4 6 2" xfId="10273"/>
    <cellStyle name="Normal 6 4 6 3" xfId="10274"/>
    <cellStyle name="Normal 6 4 7" xfId="10275"/>
    <cellStyle name="Normal 6 4 8" xfId="10276"/>
    <cellStyle name="Normal 6 5" xfId="10277"/>
    <cellStyle name="Normal 6 5 2" xfId="10278"/>
    <cellStyle name="Normal 6 5 2 2" xfId="10279"/>
    <cellStyle name="Normal 6 5 2 2 2" xfId="10280"/>
    <cellStyle name="Normal 6 5 2 2 2 2" xfId="10281"/>
    <cellStyle name="Normal 6 5 2 2 2 3" xfId="10282"/>
    <cellStyle name="Normal 6 5 2 2 3" xfId="10283"/>
    <cellStyle name="Normal 6 5 2 2 3 2" xfId="10284"/>
    <cellStyle name="Normal 6 5 2 2 3 3" xfId="10285"/>
    <cellStyle name="Normal 6 5 2 2 4" xfId="10286"/>
    <cellStyle name="Normal 6 5 2 2 5" xfId="10287"/>
    <cellStyle name="Normal 6 5 2 3" xfId="10288"/>
    <cellStyle name="Normal 6 5 2 3 2" xfId="10289"/>
    <cellStyle name="Normal 6 5 2 3 3" xfId="10290"/>
    <cellStyle name="Normal 6 5 2 4" xfId="10291"/>
    <cellStyle name="Normal 6 5 2 4 2" xfId="10292"/>
    <cellStyle name="Normal 6 5 2 4 3" xfId="10293"/>
    <cellStyle name="Normal 6 5 2 5" xfId="10294"/>
    <cellStyle name="Normal 6 5 2 6" xfId="10295"/>
    <cellStyle name="Normal 6 5 3" xfId="10296"/>
    <cellStyle name="Normal 6 5 3 2" xfId="10297"/>
    <cellStyle name="Normal 6 5 3 2 2" xfId="10298"/>
    <cellStyle name="Normal 6 5 3 2 3" xfId="10299"/>
    <cellStyle name="Normal 6 5 3 3" xfId="10300"/>
    <cellStyle name="Normal 6 5 3 3 2" xfId="10301"/>
    <cellStyle name="Normal 6 5 3 3 3" xfId="10302"/>
    <cellStyle name="Normal 6 5 3 4" xfId="10303"/>
    <cellStyle name="Normal 6 5 3 5" xfId="10304"/>
    <cellStyle name="Normal 6 5 4" xfId="10305"/>
    <cellStyle name="Normal 6 5 4 2" xfId="10306"/>
    <cellStyle name="Normal 6 5 4 3" xfId="10307"/>
    <cellStyle name="Normal 6 5 5" xfId="10308"/>
    <cellStyle name="Normal 6 5 5 2" xfId="10309"/>
    <cellStyle name="Normal 6 5 5 3" xfId="10310"/>
    <cellStyle name="Normal 6 5 6" xfId="10311"/>
    <cellStyle name="Normal 6 5 7" xfId="10312"/>
    <cellStyle name="Normal 6 6" xfId="10313"/>
    <cellStyle name="Normal 6 6 2" xfId="10314"/>
    <cellStyle name="Normal 6 6 2 2" xfId="10315"/>
    <cellStyle name="Normal 6 6 2 2 2" xfId="10316"/>
    <cellStyle name="Normal 6 6 2 2 3" xfId="10317"/>
    <cellStyle name="Normal 6 6 2 3" xfId="10318"/>
    <cellStyle name="Normal 6 6 2 3 2" xfId="10319"/>
    <cellStyle name="Normal 6 6 2 3 3" xfId="10320"/>
    <cellStyle name="Normal 6 6 2 4" xfId="10321"/>
    <cellStyle name="Normal 6 6 2 5" xfId="10322"/>
    <cellStyle name="Normal 6 6 3" xfId="10323"/>
    <cellStyle name="Normal 6 6 3 2" xfId="10324"/>
    <cellStyle name="Normal 6 6 3 3" xfId="10325"/>
    <cellStyle name="Normal 6 6 4" xfId="10326"/>
    <cellStyle name="Normal 6 6 4 2" xfId="10327"/>
    <cellStyle name="Normal 6 6 4 3" xfId="10328"/>
    <cellStyle name="Normal 6 6 5" xfId="10329"/>
    <cellStyle name="Normal 6 6 6" xfId="10330"/>
    <cellStyle name="Normal 6 7" xfId="10331"/>
    <cellStyle name="Normal 6 7 2" xfId="10332"/>
    <cellStyle name="Normal 6 7 2 2" xfId="10333"/>
    <cellStyle name="Normal 6 7 2 3" xfId="10334"/>
    <cellStyle name="Normal 6 7 3" xfId="10335"/>
    <cellStyle name="Normal 6 7 3 2" xfId="10336"/>
    <cellStyle name="Normal 6 7 3 3" xfId="10337"/>
    <cellStyle name="Normal 6 7 4" xfId="10338"/>
    <cellStyle name="Normal 6 7 5" xfId="10339"/>
    <cellStyle name="Normal 6 8" xfId="10340"/>
    <cellStyle name="Normal 6 8 2" xfId="10341"/>
    <cellStyle name="Normal 6 8 3" xfId="10342"/>
    <cellStyle name="Normal 6 9" xfId="10343"/>
    <cellStyle name="Normal 6 9 2" xfId="10344"/>
    <cellStyle name="Normal 6 9 3" xfId="10345"/>
    <cellStyle name="Normal 6_2180" xfId="10346"/>
    <cellStyle name="Normal 60" xfId="215"/>
    <cellStyle name="Normal 60 2" xfId="10347"/>
    <cellStyle name="Normal 60 2 2" xfId="10348"/>
    <cellStyle name="Normal 60 2 2 2" xfId="10349"/>
    <cellStyle name="Normal 60 2 2 2 2" xfId="10350"/>
    <cellStyle name="Normal 60 2 2 2 2 2" xfId="10351"/>
    <cellStyle name="Normal 60 2 2 2 2 3" xfId="10352"/>
    <cellStyle name="Normal 60 2 2 2 3" xfId="10353"/>
    <cellStyle name="Normal 60 2 2 2 3 2" xfId="10354"/>
    <cellStyle name="Normal 60 2 2 2 3 3" xfId="10355"/>
    <cellStyle name="Normal 60 2 2 2 4" xfId="10356"/>
    <cellStyle name="Normal 60 2 2 2 5" xfId="10357"/>
    <cellStyle name="Normal 60 2 2 3" xfId="10358"/>
    <cellStyle name="Normal 60 2 2 3 2" xfId="10359"/>
    <cellStyle name="Normal 60 2 2 3 3" xfId="10360"/>
    <cellStyle name="Normal 60 2 2 4" xfId="10361"/>
    <cellStyle name="Normal 60 2 2 4 2" xfId="10362"/>
    <cellStyle name="Normal 60 2 2 4 3" xfId="10363"/>
    <cellStyle name="Normal 60 2 2 5" xfId="10364"/>
    <cellStyle name="Normal 60 2 2 6" xfId="10365"/>
    <cellStyle name="Normal 60 2 3" xfId="10366"/>
    <cellStyle name="Normal 60 2 3 2" xfId="10367"/>
    <cellStyle name="Normal 60 2 3 2 2" xfId="10368"/>
    <cellStyle name="Normal 60 2 3 2 3" xfId="10369"/>
    <cellStyle name="Normal 60 2 3 3" xfId="10370"/>
    <cellStyle name="Normal 60 2 3 3 2" xfId="10371"/>
    <cellStyle name="Normal 60 2 3 3 3" xfId="10372"/>
    <cellStyle name="Normal 60 2 3 4" xfId="10373"/>
    <cellStyle name="Normal 60 2 3 5" xfId="10374"/>
    <cellStyle name="Normal 60 2 4" xfId="10375"/>
    <cellStyle name="Normal 60 2 4 2" xfId="10376"/>
    <cellStyle name="Normal 60 2 4 3" xfId="10377"/>
    <cellStyle name="Normal 60 2 5" xfId="10378"/>
    <cellStyle name="Normal 60 2 5 2" xfId="10379"/>
    <cellStyle name="Normal 60 2 5 3" xfId="10380"/>
    <cellStyle name="Normal 60 2 6" xfId="10381"/>
    <cellStyle name="Normal 60 2 7" xfId="10382"/>
    <cellStyle name="Normal 60 3" xfId="10383"/>
    <cellStyle name="Normal 60 3 2" xfId="10384"/>
    <cellStyle name="Normal 60 3 2 2" xfId="10385"/>
    <cellStyle name="Normal 60 3 2 2 2" xfId="10386"/>
    <cellStyle name="Normal 60 3 2 2 3" xfId="10387"/>
    <cellStyle name="Normal 60 3 2 3" xfId="10388"/>
    <cellStyle name="Normal 60 3 2 3 2" xfId="10389"/>
    <cellStyle name="Normal 60 3 2 3 3" xfId="10390"/>
    <cellStyle name="Normal 60 3 2 4" xfId="10391"/>
    <cellStyle name="Normal 60 3 2 5" xfId="10392"/>
    <cellStyle name="Normal 60 3 3" xfId="10393"/>
    <cellStyle name="Normal 60 3 3 2" xfId="10394"/>
    <cellStyle name="Normal 60 3 3 3" xfId="10395"/>
    <cellStyle name="Normal 60 3 4" xfId="10396"/>
    <cellStyle name="Normal 60 3 4 2" xfId="10397"/>
    <cellStyle name="Normal 60 3 4 3" xfId="10398"/>
    <cellStyle name="Normal 60 3 5" xfId="10399"/>
    <cellStyle name="Normal 60 3 6" xfId="10400"/>
    <cellStyle name="Normal 60 4" xfId="10401"/>
    <cellStyle name="Normal 60 4 2" xfId="10402"/>
    <cellStyle name="Normal 60 4 2 2" xfId="10403"/>
    <cellStyle name="Normal 60 4 2 3" xfId="10404"/>
    <cellStyle name="Normal 60 4 3" xfId="10405"/>
    <cellStyle name="Normal 60 4 3 2" xfId="10406"/>
    <cellStyle name="Normal 60 4 3 3" xfId="10407"/>
    <cellStyle name="Normal 60 4 4" xfId="10408"/>
    <cellStyle name="Normal 60 4 5" xfId="10409"/>
    <cellStyle name="Normal 60 5" xfId="10410"/>
    <cellStyle name="Normal 60 5 2" xfId="10411"/>
    <cellStyle name="Normal 60 5 3" xfId="10412"/>
    <cellStyle name="Normal 60 6" xfId="10413"/>
    <cellStyle name="Normal 60 6 2" xfId="10414"/>
    <cellStyle name="Normal 60 6 3" xfId="10415"/>
    <cellStyle name="Normal 60 7" xfId="10416"/>
    <cellStyle name="Normal 60 8" xfId="10417"/>
    <cellStyle name="Normal 61" xfId="216"/>
    <cellStyle name="Normal 61 2" xfId="10418"/>
    <cellStyle name="Normal 61 2 2" xfId="10419"/>
    <cellStyle name="Normal 61 2 2 2" xfId="10420"/>
    <cellStyle name="Normal 61 2 2 2 2" xfId="10421"/>
    <cellStyle name="Normal 61 2 2 2 2 2" xfId="10422"/>
    <cellStyle name="Normal 61 2 2 2 2 3" xfId="10423"/>
    <cellStyle name="Normal 61 2 2 2 3" xfId="10424"/>
    <cellStyle name="Normal 61 2 2 2 3 2" xfId="10425"/>
    <cellStyle name="Normal 61 2 2 2 3 3" xfId="10426"/>
    <cellStyle name="Normal 61 2 2 2 4" xfId="10427"/>
    <cellStyle name="Normal 61 2 2 2 5" xfId="10428"/>
    <cellStyle name="Normal 61 2 2 3" xfId="10429"/>
    <cellStyle name="Normal 61 2 2 3 2" xfId="10430"/>
    <cellStyle name="Normal 61 2 2 3 3" xfId="10431"/>
    <cellStyle name="Normal 61 2 2 4" xfId="10432"/>
    <cellStyle name="Normal 61 2 2 4 2" xfId="10433"/>
    <cellStyle name="Normal 61 2 2 4 3" xfId="10434"/>
    <cellStyle name="Normal 61 2 2 5" xfId="10435"/>
    <cellStyle name="Normal 61 2 2 6" xfId="10436"/>
    <cellStyle name="Normal 61 2 3" xfId="10437"/>
    <cellStyle name="Normal 61 2 3 2" xfId="10438"/>
    <cellStyle name="Normal 61 2 3 2 2" xfId="10439"/>
    <cellStyle name="Normal 61 2 3 2 3" xfId="10440"/>
    <cellStyle name="Normal 61 2 3 3" xfId="10441"/>
    <cellStyle name="Normal 61 2 3 3 2" xfId="10442"/>
    <cellStyle name="Normal 61 2 3 3 3" xfId="10443"/>
    <cellStyle name="Normal 61 2 3 4" xfId="10444"/>
    <cellStyle name="Normal 61 2 3 5" xfId="10445"/>
    <cellStyle name="Normal 61 2 4" xfId="10446"/>
    <cellStyle name="Normal 61 2 4 2" xfId="10447"/>
    <cellStyle name="Normal 61 2 4 3" xfId="10448"/>
    <cellStyle name="Normal 61 2 5" xfId="10449"/>
    <cellStyle name="Normal 61 2 5 2" xfId="10450"/>
    <cellStyle name="Normal 61 2 5 3" xfId="10451"/>
    <cellStyle name="Normal 61 2 6" xfId="10452"/>
    <cellStyle name="Normal 61 2 7" xfId="10453"/>
    <cellStyle name="Normal 61 3" xfId="10454"/>
    <cellStyle name="Normal 61 3 2" xfId="10455"/>
    <cellStyle name="Normal 61 3 2 2" xfId="10456"/>
    <cellStyle name="Normal 61 3 2 2 2" xfId="10457"/>
    <cellStyle name="Normal 61 3 2 2 3" xfId="10458"/>
    <cellStyle name="Normal 61 3 2 3" xfId="10459"/>
    <cellStyle name="Normal 61 3 2 3 2" xfId="10460"/>
    <cellStyle name="Normal 61 3 2 3 3" xfId="10461"/>
    <cellStyle name="Normal 61 3 2 4" xfId="10462"/>
    <cellStyle name="Normal 61 3 2 5" xfId="10463"/>
    <cellStyle name="Normal 61 3 3" xfId="10464"/>
    <cellStyle name="Normal 61 3 3 2" xfId="10465"/>
    <cellStyle name="Normal 61 3 3 3" xfId="10466"/>
    <cellStyle name="Normal 61 3 4" xfId="10467"/>
    <cellStyle name="Normal 61 3 4 2" xfId="10468"/>
    <cellStyle name="Normal 61 3 4 3" xfId="10469"/>
    <cellStyle name="Normal 61 3 5" xfId="10470"/>
    <cellStyle name="Normal 61 3 6" xfId="10471"/>
    <cellStyle name="Normal 61 4" xfId="10472"/>
    <cellStyle name="Normal 61 4 2" xfId="10473"/>
    <cellStyle name="Normal 61 4 2 2" xfId="10474"/>
    <cellStyle name="Normal 61 4 2 3" xfId="10475"/>
    <cellStyle name="Normal 61 4 3" xfId="10476"/>
    <cellStyle name="Normal 61 4 3 2" xfId="10477"/>
    <cellStyle name="Normal 61 4 3 3" xfId="10478"/>
    <cellStyle name="Normal 61 4 4" xfId="10479"/>
    <cellStyle name="Normal 61 4 5" xfId="10480"/>
    <cellStyle name="Normal 61 5" xfId="10481"/>
    <cellStyle name="Normal 61 5 2" xfId="10482"/>
    <cellStyle name="Normal 61 5 3" xfId="10483"/>
    <cellStyle name="Normal 61 6" xfId="10484"/>
    <cellStyle name="Normal 61 6 2" xfId="10485"/>
    <cellStyle name="Normal 61 6 3" xfId="10486"/>
    <cellStyle name="Normal 61 7" xfId="10487"/>
    <cellStyle name="Normal 61 8" xfId="10488"/>
    <cellStyle name="Normal 62" xfId="217"/>
    <cellStyle name="Normal 62 2" xfId="10489"/>
    <cellStyle name="Normal 62 2 2" xfId="10490"/>
    <cellStyle name="Normal 62 2 2 2" xfId="10491"/>
    <cellStyle name="Normal 62 2 2 2 2" xfId="10492"/>
    <cellStyle name="Normal 62 2 2 2 2 2" xfId="10493"/>
    <cellStyle name="Normal 62 2 2 2 2 3" xfId="10494"/>
    <cellStyle name="Normal 62 2 2 2 3" xfId="10495"/>
    <cellStyle name="Normal 62 2 2 2 3 2" xfId="10496"/>
    <cellStyle name="Normal 62 2 2 2 3 3" xfId="10497"/>
    <cellStyle name="Normal 62 2 2 2 4" xfId="10498"/>
    <cellStyle name="Normal 62 2 2 2 5" xfId="10499"/>
    <cellStyle name="Normal 62 2 2 3" xfId="10500"/>
    <cellStyle name="Normal 62 2 2 3 2" xfId="10501"/>
    <cellStyle name="Normal 62 2 2 3 3" xfId="10502"/>
    <cellStyle name="Normal 62 2 2 4" xfId="10503"/>
    <cellStyle name="Normal 62 2 2 4 2" xfId="10504"/>
    <cellStyle name="Normal 62 2 2 4 3" xfId="10505"/>
    <cellStyle name="Normal 62 2 2 5" xfId="10506"/>
    <cellStyle name="Normal 62 2 2 6" xfId="10507"/>
    <cellStyle name="Normal 62 2 3" xfId="10508"/>
    <cellStyle name="Normal 62 2 3 2" xfId="10509"/>
    <cellStyle name="Normal 62 2 3 2 2" xfId="10510"/>
    <cellStyle name="Normal 62 2 3 2 3" xfId="10511"/>
    <cellStyle name="Normal 62 2 3 3" xfId="10512"/>
    <cellStyle name="Normal 62 2 3 3 2" xfId="10513"/>
    <cellStyle name="Normal 62 2 3 3 3" xfId="10514"/>
    <cellStyle name="Normal 62 2 3 4" xfId="10515"/>
    <cellStyle name="Normal 62 2 3 5" xfId="10516"/>
    <cellStyle name="Normal 62 2 4" xfId="10517"/>
    <cellStyle name="Normal 62 2 4 2" xfId="10518"/>
    <cellStyle name="Normal 62 2 4 3" xfId="10519"/>
    <cellStyle name="Normal 62 2 5" xfId="10520"/>
    <cellStyle name="Normal 62 2 5 2" xfId="10521"/>
    <cellStyle name="Normal 62 2 5 3" xfId="10522"/>
    <cellStyle name="Normal 62 2 6" xfId="10523"/>
    <cellStyle name="Normal 62 2 7" xfId="10524"/>
    <cellStyle name="Normal 62 3" xfId="10525"/>
    <cellStyle name="Normal 62 3 2" xfId="10526"/>
    <cellStyle name="Normal 62 3 2 2" xfId="10527"/>
    <cellStyle name="Normal 62 3 2 2 2" xfId="10528"/>
    <cellStyle name="Normal 62 3 2 2 3" xfId="10529"/>
    <cellStyle name="Normal 62 3 2 3" xfId="10530"/>
    <cellStyle name="Normal 62 3 2 3 2" xfId="10531"/>
    <cellStyle name="Normal 62 3 2 3 3" xfId="10532"/>
    <cellStyle name="Normal 62 3 2 4" xfId="10533"/>
    <cellStyle name="Normal 62 3 2 5" xfId="10534"/>
    <cellStyle name="Normal 62 3 3" xfId="10535"/>
    <cellStyle name="Normal 62 3 3 2" xfId="10536"/>
    <cellStyle name="Normal 62 3 3 3" xfId="10537"/>
    <cellStyle name="Normal 62 3 4" xfId="10538"/>
    <cellStyle name="Normal 62 3 4 2" xfId="10539"/>
    <cellStyle name="Normal 62 3 4 3" xfId="10540"/>
    <cellStyle name="Normal 62 3 5" xfId="10541"/>
    <cellStyle name="Normal 62 3 6" xfId="10542"/>
    <cellStyle name="Normal 62 4" xfId="10543"/>
    <cellStyle name="Normal 62 4 2" xfId="10544"/>
    <cellStyle name="Normal 62 4 2 2" xfId="10545"/>
    <cellStyle name="Normal 62 4 2 3" xfId="10546"/>
    <cellStyle name="Normal 62 4 3" xfId="10547"/>
    <cellStyle name="Normal 62 4 3 2" xfId="10548"/>
    <cellStyle name="Normal 62 4 3 3" xfId="10549"/>
    <cellStyle name="Normal 62 4 4" xfId="10550"/>
    <cellStyle name="Normal 62 4 5" xfId="10551"/>
    <cellStyle name="Normal 62 5" xfId="10552"/>
    <cellStyle name="Normal 62 5 2" xfId="10553"/>
    <cellStyle name="Normal 62 5 3" xfId="10554"/>
    <cellStyle name="Normal 62 6" xfId="10555"/>
    <cellStyle name="Normal 62 6 2" xfId="10556"/>
    <cellStyle name="Normal 62 6 3" xfId="10557"/>
    <cellStyle name="Normal 62 7" xfId="10558"/>
    <cellStyle name="Normal 62 8" xfId="10559"/>
    <cellStyle name="Normal 63" xfId="218"/>
    <cellStyle name="Normal 63 2" xfId="10560"/>
    <cellStyle name="Normal 63 2 2" xfId="10561"/>
    <cellStyle name="Normal 63 2 2 2" xfId="10562"/>
    <cellStyle name="Normal 63 2 2 2 2" xfId="10563"/>
    <cellStyle name="Normal 63 2 2 2 2 2" xfId="10564"/>
    <cellStyle name="Normal 63 2 2 2 2 3" xfId="10565"/>
    <cellStyle name="Normal 63 2 2 2 3" xfId="10566"/>
    <cellStyle name="Normal 63 2 2 2 3 2" xfId="10567"/>
    <cellStyle name="Normal 63 2 2 2 3 3" xfId="10568"/>
    <cellStyle name="Normal 63 2 2 2 4" xfId="10569"/>
    <cellStyle name="Normal 63 2 2 2 5" xfId="10570"/>
    <cellStyle name="Normal 63 2 2 3" xfId="10571"/>
    <cellStyle name="Normal 63 2 2 3 2" xfId="10572"/>
    <cellStyle name="Normal 63 2 2 3 3" xfId="10573"/>
    <cellStyle name="Normal 63 2 2 4" xfId="10574"/>
    <cellStyle name="Normal 63 2 2 4 2" xfId="10575"/>
    <cellStyle name="Normal 63 2 2 4 3" xfId="10576"/>
    <cellStyle name="Normal 63 2 2 5" xfId="10577"/>
    <cellStyle name="Normal 63 2 2 6" xfId="10578"/>
    <cellStyle name="Normal 63 2 3" xfId="10579"/>
    <cellStyle name="Normal 63 2 3 2" xfId="10580"/>
    <cellStyle name="Normal 63 2 3 2 2" xfId="10581"/>
    <cellStyle name="Normal 63 2 3 2 3" xfId="10582"/>
    <cellStyle name="Normal 63 2 3 3" xfId="10583"/>
    <cellStyle name="Normal 63 2 3 3 2" xfId="10584"/>
    <cellStyle name="Normal 63 2 3 3 3" xfId="10585"/>
    <cellStyle name="Normal 63 2 3 4" xfId="10586"/>
    <cellStyle name="Normal 63 2 3 5" xfId="10587"/>
    <cellStyle name="Normal 63 2 4" xfId="10588"/>
    <cellStyle name="Normal 63 2 4 2" xfId="10589"/>
    <cellStyle name="Normal 63 2 4 3" xfId="10590"/>
    <cellStyle name="Normal 63 2 5" xfId="10591"/>
    <cellStyle name="Normal 63 2 5 2" xfId="10592"/>
    <cellStyle name="Normal 63 2 5 3" xfId="10593"/>
    <cellStyle name="Normal 63 2 6" xfId="10594"/>
    <cellStyle name="Normal 63 2 7" xfId="10595"/>
    <cellStyle name="Normal 63 3" xfId="10596"/>
    <cellStyle name="Normal 63 3 2" xfId="10597"/>
    <cellStyle name="Normal 63 3 2 2" xfId="10598"/>
    <cellStyle name="Normal 63 3 2 2 2" xfId="10599"/>
    <cellStyle name="Normal 63 3 2 2 3" xfId="10600"/>
    <cellStyle name="Normal 63 3 2 3" xfId="10601"/>
    <cellStyle name="Normal 63 3 2 3 2" xfId="10602"/>
    <cellStyle name="Normal 63 3 2 3 3" xfId="10603"/>
    <cellStyle name="Normal 63 3 2 4" xfId="10604"/>
    <cellStyle name="Normal 63 3 2 5" xfId="10605"/>
    <cellStyle name="Normal 63 3 3" xfId="10606"/>
    <cellStyle name="Normal 63 3 3 2" xfId="10607"/>
    <cellStyle name="Normal 63 3 3 3" xfId="10608"/>
    <cellStyle name="Normal 63 3 4" xfId="10609"/>
    <cellStyle name="Normal 63 3 4 2" xfId="10610"/>
    <cellStyle name="Normal 63 3 4 3" xfId="10611"/>
    <cellStyle name="Normal 63 3 5" xfId="10612"/>
    <cellStyle name="Normal 63 3 6" xfId="10613"/>
    <cellStyle name="Normal 63 4" xfId="10614"/>
    <cellStyle name="Normal 63 4 2" xfId="10615"/>
    <cellStyle name="Normal 63 4 2 2" xfId="10616"/>
    <cellStyle name="Normal 63 4 2 3" xfId="10617"/>
    <cellStyle name="Normal 63 4 3" xfId="10618"/>
    <cellStyle name="Normal 63 4 3 2" xfId="10619"/>
    <cellStyle name="Normal 63 4 3 3" xfId="10620"/>
    <cellStyle name="Normal 63 4 4" xfId="10621"/>
    <cellStyle name="Normal 63 4 5" xfId="10622"/>
    <cellStyle name="Normal 63 5" xfId="10623"/>
    <cellStyle name="Normal 63 5 2" xfId="10624"/>
    <cellStyle name="Normal 63 5 3" xfId="10625"/>
    <cellStyle name="Normal 63 6" xfId="10626"/>
    <cellStyle name="Normal 63 6 2" xfId="10627"/>
    <cellStyle name="Normal 63 6 3" xfId="10628"/>
    <cellStyle name="Normal 63 7" xfId="10629"/>
    <cellStyle name="Normal 63 8" xfId="10630"/>
    <cellStyle name="Normal 64" xfId="219"/>
    <cellStyle name="Normal 64 2" xfId="10631"/>
    <cellStyle name="Normal 64 3" xfId="10632"/>
    <cellStyle name="Normal 65" xfId="220"/>
    <cellStyle name="Normal 65 2" xfId="10633"/>
    <cellStyle name="Normal 65 2 2" xfId="10634"/>
    <cellStyle name="Normal 65 2 2 2" xfId="10635"/>
    <cellStyle name="Normal 65 2 2 2 2" xfId="10636"/>
    <cellStyle name="Normal 65 2 2 2 2 2" xfId="10637"/>
    <cellStyle name="Normal 65 2 2 2 2 3" xfId="10638"/>
    <cellStyle name="Normal 65 2 2 2 3" xfId="10639"/>
    <cellStyle name="Normal 65 2 2 2 3 2" xfId="10640"/>
    <cellStyle name="Normal 65 2 2 2 3 3" xfId="10641"/>
    <cellStyle name="Normal 65 2 2 2 4" xfId="10642"/>
    <cellStyle name="Normal 65 2 2 2 5" xfId="10643"/>
    <cellStyle name="Normal 65 2 2 3" xfId="10644"/>
    <cellStyle name="Normal 65 2 2 3 2" xfId="10645"/>
    <cellStyle name="Normal 65 2 2 3 3" xfId="10646"/>
    <cellStyle name="Normal 65 2 2 4" xfId="10647"/>
    <cellStyle name="Normal 65 2 2 4 2" xfId="10648"/>
    <cellStyle name="Normal 65 2 2 4 3" xfId="10649"/>
    <cellStyle name="Normal 65 2 2 5" xfId="10650"/>
    <cellStyle name="Normal 65 2 2 6" xfId="10651"/>
    <cellStyle name="Normal 65 2 3" xfId="10652"/>
    <cellStyle name="Normal 65 2 3 2" xfId="10653"/>
    <cellStyle name="Normal 65 2 3 2 2" xfId="10654"/>
    <cellStyle name="Normal 65 2 3 2 3" xfId="10655"/>
    <cellStyle name="Normal 65 2 3 3" xfId="10656"/>
    <cellStyle name="Normal 65 2 3 3 2" xfId="10657"/>
    <cellStyle name="Normal 65 2 3 3 3" xfId="10658"/>
    <cellStyle name="Normal 65 2 3 4" xfId="10659"/>
    <cellStyle name="Normal 65 2 3 5" xfId="10660"/>
    <cellStyle name="Normal 65 2 4" xfId="10661"/>
    <cellStyle name="Normal 65 2 4 2" xfId="10662"/>
    <cellStyle name="Normal 65 2 4 3" xfId="10663"/>
    <cellStyle name="Normal 65 2 5" xfId="10664"/>
    <cellStyle name="Normal 65 2 5 2" xfId="10665"/>
    <cellStyle name="Normal 65 2 5 3" xfId="10666"/>
    <cellStyle name="Normal 65 2 6" xfId="10667"/>
    <cellStyle name="Normal 65 2 7" xfId="10668"/>
    <cellStyle name="Normal 65 3" xfId="10669"/>
    <cellStyle name="Normal 65 3 2" xfId="10670"/>
    <cellStyle name="Normal 65 3 2 2" xfId="10671"/>
    <cellStyle name="Normal 65 3 2 2 2" xfId="10672"/>
    <cellStyle name="Normal 65 3 2 2 3" xfId="10673"/>
    <cellStyle name="Normal 65 3 2 3" xfId="10674"/>
    <cellStyle name="Normal 65 3 2 3 2" xfId="10675"/>
    <cellStyle name="Normal 65 3 2 3 3" xfId="10676"/>
    <cellStyle name="Normal 65 3 2 4" xfId="10677"/>
    <cellStyle name="Normal 65 3 2 5" xfId="10678"/>
    <cellStyle name="Normal 65 3 3" xfId="10679"/>
    <cellStyle name="Normal 65 3 3 2" xfId="10680"/>
    <cellStyle name="Normal 65 3 3 3" xfId="10681"/>
    <cellStyle name="Normal 65 3 4" xfId="10682"/>
    <cellStyle name="Normal 65 3 4 2" xfId="10683"/>
    <cellStyle name="Normal 65 3 4 3" xfId="10684"/>
    <cellStyle name="Normal 65 3 5" xfId="10685"/>
    <cellStyle name="Normal 65 3 6" xfId="10686"/>
    <cellStyle name="Normal 65 4" xfId="10687"/>
    <cellStyle name="Normal 65 4 2" xfId="10688"/>
    <cellStyle name="Normal 65 4 2 2" xfId="10689"/>
    <cellStyle name="Normal 65 4 2 3" xfId="10690"/>
    <cellStyle name="Normal 65 4 3" xfId="10691"/>
    <cellStyle name="Normal 65 4 3 2" xfId="10692"/>
    <cellStyle name="Normal 65 4 3 3" xfId="10693"/>
    <cellStyle name="Normal 65 4 4" xfId="10694"/>
    <cellStyle name="Normal 65 4 5" xfId="10695"/>
    <cellStyle name="Normal 65 5" xfId="10696"/>
    <cellStyle name="Normal 65 5 2" xfId="10697"/>
    <cellStyle name="Normal 65 5 3" xfId="10698"/>
    <cellStyle name="Normal 65 6" xfId="10699"/>
    <cellStyle name="Normal 65 6 2" xfId="10700"/>
    <cellStyle name="Normal 65 6 3" xfId="10701"/>
    <cellStyle name="Normal 65 7" xfId="10702"/>
    <cellStyle name="Normal 65 8" xfId="10703"/>
    <cellStyle name="Normal 66" xfId="221"/>
    <cellStyle name="Normal 66 2" xfId="10704"/>
    <cellStyle name="Normal 66 3" xfId="10705"/>
    <cellStyle name="Normal 67" xfId="222"/>
    <cellStyle name="Normal 67 2" xfId="10706"/>
    <cellStyle name="Normal 67 3" xfId="10707"/>
    <cellStyle name="Normal 68" xfId="223"/>
    <cellStyle name="Normal 68 2" xfId="10708"/>
    <cellStyle name="Normal 68 3" xfId="10709"/>
    <cellStyle name="Normal 69" xfId="224"/>
    <cellStyle name="Normal 69 2" xfId="10710"/>
    <cellStyle name="Normal 69 3" xfId="10711"/>
    <cellStyle name="Normal 7" xfId="225"/>
    <cellStyle name="Normal 7 10" xfId="10712"/>
    <cellStyle name="Normal 7 10 2" xfId="10713"/>
    <cellStyle name="Normal 7 10 3" xfId="10714"/>
    <cellStyle name="Normal 7 11" xfId="10715"/>
    <cellStyle name="Normal 7 12" xfId="10716"/>
    <cellStyle name="Normal 7 2" xfId="10717"/>
    <cellStyle name="Normal 7 2 10" xfId="10718"/>
    <cellStyle name="Normal 7 2 11" xfId="10719"/>
    <cellStyle name="Normal 7 2 12" xfId="37440"/>
    <cellStyle name="Normal 7 2 2" xfId="10720"/>
    <cellStyle name="Normal 7 2 2 2" xfId="10721"/>
    <cellStyle name="Normal 7 2 2 2 2" xfId="10722"/>
    <cellStyle name="Normal 7 2 2 2 2 2" xfId="10723"/>
    <cellStyle name="Normal 7 2 2 2 2 2 2" xfId="10724"/>
    <cellStyle name="Normal 7 2 2 2 2 2 2 2" xfId="10725"/>
    <cellStyle name="Normal 7 2 2 2 2 2 2 2 2" xfId="10726"/>
    <cellStyle name="Normal 7 2 2 2 2 2 2 2 3" xfId="10727"/>
    <cellStyle name="Normal 7 2 2 2 2 2 2 3" xfId="10728"/>
    <cellStyle name="Normal 7 2 2 2 2 2 2 3 2" xfId="10729"/>
    <cellStyle name="Normal 7 2 2 2 2 2 2 3 3" xfId="10730"/>
    <cellStyle name="Normal 7 2 2 2 2 2 2 4" xfId="10731"/>
    <cellStyle name="Normal 7 2 2 2 2 2 2 5" xfId="10732"/>
    <cellStyle name="Normal 7 2 2 2 2 2 3" xfId="10733"/>
    <cellStyle name="Normal 7 2 2 2 2 2 3 2" xfId="10734"/>
    <cellStyle name="Normal 7 2 2 2 2 2 3 3" xfId="10735"/>
    <cellStyle name="Normal 7 2 2 2 2 2 4" xfId="10736"/>
    <cellStyle name="Normal 7 2 2 2 2 2 4 2" xfId="10737"/>
    <cellStyle name="Normal 7 2 2 2 2 2 4 3" xfId="10738"/>
    <cellStyle name="Normal 7 2 2 2 2 2 5" xfId="10739"/>
    <cellStyle name="Normal 7 2 2 2 2 2 6" xfId="10740"/>
    <cellStyle name="Normal 7 2 2 2 2 3" xfId="10741"/>
    <cellStyle name="Normal 7 2 2 2 2 3 2" xfId="10742"/>
    <cellStyle name="Normal 7 2 2 2 2 3 2 2" xfId="10743"/>
    <cellStyle name="Normal 7 2 2 2 2 3 2 3" xfId="10744"/>
    <cellStyle name="Normal 7 2 2 2 2 3 3" xfId="10745"/>
    <cellStyle name="Normal 7 2 2 2 2 3 3 2" xfId="10746"/>
    <cellStyle name="Normal 7 2 2 2 2 3 3 3" xfId="10747"/>
    <cellStyle name="Normal 7 2 2 2 2 3 4" xfId="10748"/>
    <cellStyle name="Normal 7 2 2 2 2 3 5" xfId="10749"/>
    <cellStyle name="Normal 7 2 2 2 2 4" xfId="10750"/>
    <cellStyle name="Normal 7 2 2 2 2 4 2" xfId="10751"/>
    <cellStyle name="Normal 7 2 2 2 2 4 3" xfId="10752"/>
    <cellStyle name="Normal 7 2 2 2 2 5" xfId="10753"/>
    <cellStyle name="Normal 7 2 2 2 2 5 2" xfId="10754"/>
    <cellStyle name="Normal 7 2 2 2 2 5 3" xfId="10755"/>
    <cellStyle name="Normal 7 2 2 2 2 6" xfId="10756"/>
    <cellStyle name="Normal 7 2 2 2 2 7" xfId="10757"/>
    <cellStyle name="Normal 7 2 2 2 3" xfId="10758"/>
    <cellStyle name="Normal 7 2 2 2 3 2" xfId="10759"/>
    <cellStyle name="Normal 7 2 2 2 3 2 2" xfId="10760"/>
    <cellStyle name="Normal 7 2 2 2 3 2 2 2" xfId="10761"/>
    <cellStyle name="Normal 7 2 2 2 3 2 2 3" xfId="10762"/>
    <cellStyle name="Normal 7 2 2 2 3 2 3" xfId="10763"/>
    <cellStyle name="Normal 7 2 2 2 3 2 3 2" xfId="10764"/>
    <cellStyle name="Normal 7 2 2 2 3 2 3 3" xfId="10765"/>
    <cellStyle name="Normal 7 2 2 2 3 2 4" xfId="10766"/>
    <cellStyle name="Normal 7 2 2 2 3 2 5" xfId="10767"/>
    <cellStyle name="Normal 7 2 2 2 3 3" xfId="10768"/>
    <cellStyle name="Normal 7 2 2 2 3 3 2" xfId="10769"/>
    <cellStyle name="Normal 7 2 2 2 3 3 3" xfId="10770"/>
    <cellStyle name="Normal 7 2 2 2 3 4" xfId="10771"/>
    <cellStyle name="Normal 7 2 2 2 3 4 2" xfId="10772"/>
    <cellStyle name="Normal 7 2 2 2 3 4 3" xfId="10773"/>
    <cellStyle name="Normal 7 2 2 2 3 5" xfId="10774"/>
    <cellStyle name="Normal 7 2 2 2 3 6" xfId="10775"/>
    <cellStyle name="Normal 7 2 2 2 4" xfId="10776"/>
    <cellStyle name="Normal 7 2 2 2 4 2" xfId="10777"/>
    <cellStyle name="Normal 7 2 2 2 4 2 2" xfId="10778"/>
    <cellStyle name="Normal 7 2 2 2 4 2 3" xfId="10779"/>
    <cellStyle name="Normal 7 2 2 2 4 3" xfId="10780"/>
    <cellStyle name="Normal 7 2 2 2 4 3 2" xfId="10781"/>
    <cellStyle name="Normal 7 2 2 2 4 3 3" xfId="10782"/>
    <cellStyle name="Normal 7 2 2 2 4 4" xfId="10783"/>
    <cellStyle name="Normal 7 2 2 2 4 5" xfId="10784"/>
    <cellStyle name="Normal 7 2 2 2 5" xfId="10785"/>
    <cellStyle name="Normal 7 2 2 2 5 2" xfId="10786"/>
    <cellStyle name="Normal 7 2 2 2 5 3" xfId="10787"/>
    <cellStyle name="Normal 7 2 2 2 6" xfId="10788"/>
    <cellStyle name="Normal 7 2 2 2 6 2" xfId="10789"/>
    <cellStyle name="Normal 7 2 2 2 6 3" xfId="10790"/>
    <cellStyle name="Normal 7 2 2 2 7" xfId="10791"/>
    <cellStyle name="Normal 7 2 2 2 8" xfId="10792"/>
    <cellStyle name="Normal 7 2 2 3" xfId="10793"/>
    <cellStyle name="Normal 7 2 2 3 2" xfId="10794"/>
    <cellStyle name="Normal 7 2 2 3 2 2" xfId="10795"/>
    <cellStyle name="Normal 7 2 2 3 2 2 2" xfId="10796"/>
    <cellStyle name="Normal 7 2 2 3 2 2 2 2" xfId="10797"/>
    <cellStyle name="Normal 7 2 2 3 2 2 2 3" xfId="10798"/>
    <cellStyle name="Normal 7 2 2 3 2 2 3" xfId="10799"/>
    <cellStyle name="Normal 7 2 2 3 2 2 3 2" xfId="10800"/>
    <cellStyle name="Normal 7 2 2 3 2 2 3 3" xfId="10801"/>
    <cellStyle name="Normal 7 2 2 3 2 2 4" xfId="10802"/>
    <cellStyle name="Normal 7 2 2 3 2 2 5" xfId="10803"/>
    <cellStyle name="Normal 7 2 2 3 2 3" xfId="10804"/>
    <cellStyle name="Normal 7 2 2 3 2 3 2" xfId="10805"/>
    <cellStyle name="Normal 7 2 2 3 2 3 3" xfId="10806"/>
    <cellStyle name="Normal 7 2 2 3 2 4" xfId="10807"/>
    <cellStyle name="Normal 7 2 2 3 2 4 2" xfId="10808"/>
    <cellStyle name="Normal 7 2 2 3 2 4 3" xfId="10809"/>
    <cellStyle name="Normal 7 2 2 3 2 5" xfId="10810"/>
    <cellStyle name="Normal 7 2 2 3 2 6" xfId="10811"/>
    <cellStyle name="Normal 7 2 2 3 3" xfId="10812"/>
    <cellStyle name="Normal 7 2 2 3 3 2" xfId="10813"/>
    <cellStyle name="Normal 7 2 2 3 3 2 2" xfId="10814"/>
    <cellStyle name="Normal 7 2 2 3 3 2 3" xfId="10815"/>
    <cellStyle name="Normal 7 2 2 3 3 3" xfId="10816"/>
    <cellStyle name="Normal 7 2 2 3 3 3 2" xfId="10817"/>
    <cellStyle name="Normal 7 2 2 3 3 3 3" xfId="10818"/>
    <cellStyle name="Normal 7 2 2 3 3 4" xfId="10819"/>
    <cellStyle name="Normal 7 2 2 3 3 5" xfId="10820"/>
    <cellStyle name="Normal 7 2 2 3 3 6" xfId="34900"/>
    <cellStyle name="Normal 7 2 2 3 4" xfId="10821"/>
    <cellStyle name="Normal 7 2 2 3 4 2" xfId="10822"/>
    <cellStyle name="Normal 7 2 2 3 4 3" xfId="10823"/>
    <cellStyle name="Normal 7 2 2 3 5" xfId="10824"/>
    <cellStyle name="Normal 7 2 2 3 5 2" xfId="10825"/>
    <cellStyle name="Normal 7 2 2 3 5 3" xfId="10826"/>
    <cellStyle name="Normal 7 2 2 3 6" xfId="10827"/>
    <cellStyle name="Normal 7 2 2 3 7" xfId="10828"/>
    <cellStyle name="Normal 7 2 2 4" xfId="10829"/>
    <cellStyle name="Normal 7 2 2 4 2" xfId="10830"/>
    <cellStyle name="Normal 7 2 2 4 2 2" xfId="10831"/>
    <cellStyle name="Normal 7 2 2 4 2 2 2" xfId="10832"/>
    <cellStyle name="Normal 7 2 2 4 2 2 3" xfId="10833"/>
    <cellStyle name="Normal 7 2 2 4 2 3" xfId="10834"/>
    <cellStyle name="Normal 7 2 2 4 2 3 2" xfId="10835"/>
    <cellStyle name="Normal 7 2 2 4 2 3 3" xfId="10836"/>
    <cellStyle name="Normal 7 2 2 4 2 4" xfId="10837"/>
    <cellStyle name="Normal 7 2 2 4 2 5" xfId="10838"/>
    <cellStyle name="Normal 7 2 2 4 3" xfId="10839"/>
    <cellStyle name="Normal 7 2 2 4 3 2" xfId="10840"/>
    <cellStyle name="Normal 7 2 2 4 3 3" xfId="10841"/>
    <cellStyle name="Normal 7 2 2 4 4" xfId="10842"/>
    <cellStyle name="Normal 7 2 2 4 4 2" xfId="10843"/>
    <cellStyle name="Normal 7 2 2 4 4 3" xfId="10844"/>
    <cellStyle name="Normal 7 2 2 4 5" xfId="10845"/>
    <cellStyle name="Normal 7 2 2 4 6" xfId="10846"/>
    <cellStyle name="Normal 7 2 2 5" xfId="10847"/>
    <cellStyle name="Normal 7 2 2 5 2" xfId="10848"/>
    <cellStyle name="Normal 7 2 2 5 2 2" xfId="10849"/>
    <cellStyle name="Normal 7 2 2 5 2 3" xfId="10850"/>
    <cellStyle name="Normal 7 2 2 5 3" xfId="10851"/>
    <cellStyle name="Normal 7 2 2 5 3 2" xfId="10852"/>
    <cellStyle name="Normal 7 2 2 5 3 3" xfId="10853"/>
    <cellStyle name="Normal 7 2 2 5 4" xfId="10854"/>
    <cellStyle name="Normal 7 2 2 5 5" xfId="10855"/>
    <cellStyle name="Normal 7 2 2 6" xfId="10856"/>
    <cellStyle name="Normal 7 2 2 6 2" xfId="10857"/>
    <cellStyle name="Normal 7 2 2 6 3" xfId="10858"/>
    <cellStyle name="Normal 7 2 2 7" xfId="10859"/>
    <cellStyle name="Normal 7 2 2 7 2" xfId="10860"/>
    <cellStyle name="Normal 7 2 2 7 3" xfId="10861"/>
    <cellStyle name="Normal 7 2 2 8" xfId="10862"/>
    <cellStyle name="Normal 7 2 2 9" xfId="10863"/>
    <cellStyle name="Normal 7 2 3" xfId="10864"/>
    <cellStyle name="Normal 7 2 3 2" xfId="10865"/>
    <cellStyle name="Normal 7 2 3 2 2" xfId="10866"/>
    <cellStyle name="Normal 7 2 3 2 2 2" xfId="10867"/>
    <cellStyle name="Normal 7 2 3 2 2 2 2" xfId="10868"/>
    <cellStyle name="Normal 7 2 3 2 2 2 2 2" xfId="10869"/>
    <cellStyle name="Normal 7 2 3 2 2 2 2 3" xfId="10870"/>
    <cellStyle name="Normal 7 2 3 2 2 2 3" xfId="10871"/>
    <cellStyle name="Normal 7 2 3 2 2 2 3 2" xfId="10872"/>
    <cellStyle name="Normal 7 2 3 2 2 2 3 3" xfId="10873"/>
    <cellStyle name="Normal 7 2 3 2 2 2 4" xfId="10874"/>
    <cellStyle name="Normal 7 2 3 2 2 2 5" xfId="10875"/>
    <cellStyle name="Normal 7 2 3 2 2 3" xfId="10876"/>
    <cellStyle name="Normal 7 2 3 2 2 3 2" xfId="10877"/>
    <cellStyle name="Normal 7 2 3 2 2 3 3" xfId="10878"/>
    <cellStyle name="Normal 7 2 3 2 2 4" xfId="10879"/>
    <cellStyle name="Normal 7 2 3 2 2 4 2" xfId="10880"/>
    <cellStyle name="Normal 7 2 3 2 2 4 3" xfId="10881"/>
    <cellStyle name="Normal 7 2 3 2 2 5" xfId="10882"/>
    <cellStyle name="Normal 7 2 3 2 2 6" xfId="10883"/>
    <cellStyle name="Normal 7 2 3 2 3" xfId="10884"/>
    <cellStyle name="Normal 7 2 3 2 3 2" xfId="10885"/>
    <cellStyle name="Normal 7 2 3 2 3 2 2" xfId="10886"/>
    <cellStyle name="Normal 7 2 3 2 3 2 3" xfId="10887"/>
    <cellStyle name="Normal 7 2 3 2 3 3" xfId="10888"/>
    <cellStyle name="Normal 7 2 3 2 3 3 2" xfId="10889"/>
    <cellStyle name="Normal 7 2 3 2 3 3 3" xfId="10890"/>
    <cellStyle name="Normal 7 2 3 2 3 4" xfId="10891"/>
    <cellStyle name="Normal 7 2 3 2 3 5" xfId="10892"/>
    <cellStyle name="Normal 7 2 3 2 4" xfId="10893"/>
    <cellStyle name="Normal 7 2 3 2 4 2" xfId="10894"/>
    <cellStyle name="Normal 7 2 3 2 4 3" xfId="10895"/>
    <cellStyle name="Normal 7 2 3 2 5" xfId="10896"/>
    <cellStyle name="Normal 7 2 3 2 5 2" xfId="10897"/>
    <cellStyle name="Normal 7 2 3 2 5 3" xfId="10898"/>
    <cellStyle name="Normal 7 2 3 2 6" xfId="10899"/>
    <cellStyle name="Normal 7 2 3 2 7" xfId="10900"/>
    <cellStyle name="Normal 7 2 3 3" xfId="10901"/>
    <cellStyle name="Normal 7 2 3 3 2" xfId="10902"/>
    <cellStyle name="Normal 7 2 3 3 2 2" xfId="10903"/>
    <cellStyle name="Normal 7 2 3 3 2 2 2" xfId="10904"/>
    <cellStyle name="Normal 7 2 3 3 2 2 3" xfId="10905"/>
    <cellStyle name="Normal 7 2 3 3 2 3" xfId="10906"/>
    <cellStyle name="Normal 7 2 3 3 2 3 2" xfId="10907"/>
    <cellStyle name="Normal 7 2 3 3 2 3 3" xfId="10908"/>
    <cellStyle name="Normal 7 2 3 3 2 4" xfId="10909"/>
    <cellStyle name="Normal 7 2 3 3 2 5" xfId="10910"/>
    <cellStyle name="Normal 7 2 3 3 3" xfId="10911"/>
    <cellStyle name="Normal 7 2 3 3 3 2" xfId="10912"/>
    <cellStyle name="Normal 7 2 3 3 3 3" xfId="10913"/>
    <cellStyle name="Normal 7 2 3 3 4" xfId="10914"/>
    <cellStyle name="Normal 7 2 3 3 4 2" xfId="10915"/>
    <cellStyle name="Normal 7 2 3 3 4 3" xfId="10916"/>
    <cellStyle name="Normal 7 2 3 3 5" xfId="10917"/>
    <cellStyle name="Normal 7 2 3 3 6" xfId="10918"/>
    <cellStyle name="Normal 7 2 3 4" xfId="10919"/>
    <cellStyle name="Normal 7 2 3 4 2" xfId="10920"/>
    <cellStyle name="Normal 7 2 3 4 2 2" xfId="10921"/>
    <cellStyle name="Normal 7 2 3 4 2 3" xfId="10922"/>
    <cellStyle name="Normal 7 2 3 4 3" xfId="10923"/>
    <cellStyle name="Normal 7 2 3 4 3 2" xfId="10924"/>
    <cellStyle name="Normal 7 2 3 4 3 3" xfId="10925"/>
    <cellStyle name="Normal 7 2 3 4 4" xfId="10926"/>
    <cellStyle name="Normal 7 2 3 4 5" xfId="10927"/>
    <cellStyle name="Normal 7 2 3 5" xfId="10928"/>
    <cellStyle name="Normal 7 2 3 5 2" xfId="10929"/>
    <cellStyle name="Normal 7 2 3 5 3" xfId="10930"/>
    <cellStyle name="Normal 7 2 3 6" xfId="10931"/>
    <cellStyle name="Normal 7 2 3 6 2" xfId="10932"/>
    <cellStyle name="Normal 7 2 3 6 3" xfId="10933"/>
    <cellStyle name="Normal 7 2 3 7" xfId="10934"/>
    <cellStyle name="Normal 7 2 3 8" xfId="10935"/>
    <cellStyle name="Normal 7 2 4" xfId="10936"/>
    <cellStyle name="Normal 7 2 4 2" xfId="10937"/>
    <cellStyle name="Normal 7 2 4 2 2" xfId="10938"/>
    <cellStyle name="Normal 7 2 4 2 2 2" xfId="10939"/>
    <cellStyle name="Normal 7 2 4 2 2 2 2" xfId="10940"/>
    <cellStyle name="Normal 7 2 4 2 2 2 2 2" xfId="10941"/>
    <cellStyle name="Normal 7 2 4 2 2 2 2 3" xfId="10942"/>
    <cellStyle name="Normal 7 2 4 2 2 2 3" xfId="10943"/>
    <cellStyle name="Normal 7 2 4 2 2 2 3 2" xfId="10944"/>
    <cellStyle name="Normal 7 2 4 2 2 2 3 3" xfId="10945"/>
    <cellStyle name="Normal 7 2 4 2 2 2 4" xfId="10946"/>
    <cellStyle name="Normal 7 2 4 2 2 2 5" xfId="10947"/>
    <cellStyle name="Normal 7 2 4 2 2 3" xfId="10948"/>
    <cellStyle name="Normal 7 2 4 2 2 3 2" xfId="10949"/>
    <cellStyle name="Normal 7 2 4 2 2 3 3" xfId="10950"/>
    <cellStyle name="Normal 7 2 4 2 2 4" xfId="10951"/>
    <cellStyle name="Normal 7 2 4 2 2 4 2" xfId="10952"/>
    <cellStyle name="Normal 7 2 4 2 2 4 3" xfId="10953"/>
    <cellStyle name="Normal 7 2 4 2 2 5" xfId="10954"/>
    <cellStyle name="Normal 7 2 4 2 2 6" xfId="10955"/>
    <cellStyle name="Normal 7 2 4 2 3" xfId="10956"/>
    <cellStyle name="Normal 7 2 4 2 3 2" xfId="10957"/>
    <cellStyle name="Normal 7 2 4 2 3 2 2" xfId="10958"/>
    <cellStyle name="Normal 7 2 4 2 3 2 3" xfId="10959"/>
    <cellStyle name="Normal 7 2 4 2 3 3" xfId="10960"/>
    <cellStyle name="Normal 7 2 4 2 3 3 2" xfId="10961"/>
    <cellStyle name="Normal 7 2 4 2 3 3 3" xfId="10962"/>
    <cellStyle name="Normal 7 2 4 2 3 4" xfId="10963"/>
    <cellStyle name="Normal 7 2 4 2 3 5" xfId="10964"/>
    <cellStyle name="Normal 7 2 4 2 4" xfId="10965"/>
    <cellStyle name="Normal 7 2 4 2 4 2" xfId="10966"/>
    <cellStyle name="Normal 7 2 4 2 4 3" xfId="10967"/>
    <cellStyle name="Normal 7 2 4 2 5" xfId="10968"/>
    <cellStyle name="Normal 7 2 4 2 5 2" xfId="10969"/>
    <cellStyle name="Normal 7 2 4 2 5 3" xfId="10970"/>
    <cellStyle name="Normal 7 2 4 2 6" xfId="10971"/>
    <cellStyle name="Normal 7 2 4 2 7" xfId="10972"/>
    <cellStyle name="Normal 7 2 4 3" xfId="10973"/>
    <cellStyle name="Normal 7 2 4 3 2" xfId="10974"/>
    <cellStyle name="Normal 7 2 4 3 2 2" xfId="10975"/>
    <cellStyle name="Normal 7 2 4 3 2 2 2" xfId="10976"/>
    <cellStyle name="Normal 7 2 4 3 2 2 3" xfId="10977"/>
    <cellStyle name="Normal 7 2 4 3 2 3" xfId="10978"/>
    <cellStyle name="Normal 7 2 4 3 2 3 2" xfId="10979"/>
    <cellStyle name="Normal 7 2 4 3 2 3 3" xfId="10980"/>
    <cellStyle name="Normal 7 2 4 3 2 4" xfId="10981"/>
    <cellStyle name="Normal 7 2 4 3 2 5" xfId="10982"/>
    <cellStyle name="Normal 7 2 4 3 3" xfId="10983"/>
    <cellStyle name="Normal 7 2 4 3 3 2" xfId="10984"/>
    <cellStyle name="Normal 7 2 4 3 3 3" xfId="10985"/>
    <cellStyle name="Normal 7 2 4 3 4" xfId="10986"/>
    <cellStyle name="Normal 7 2 4 3 4 2" xfId="10987"/>
    <cellStyle name="Normal 7 2 4 3 4 3" xfId="10988"/>
    <cellStyle name="Normal 7 2 4 3 5" xfId="10989"/>
    <cellStyle name="Normal 7 2 4 3 6" xfId="10990"/>
    <cellStyle name="Normal 7 2 4 4" xfId="10991"/>
    <cellStyle name="Normal 7 2 4 4 2" xfId="10992"/>
    <cellStyle name="Normal 7 2 4 4 2 2" xfId="10993"/>
    <cellStyle name="Normal 7 2 4 4 2 3" xfId="10994"/>
    <cellStyle name="Normal 7 2 4 4 3" xfId="10995"/>
    <cellStyle name="Normal 7 2 4 4 3 2" xfId="10996"/>
    <cellStyle name="Normal 7 2 4 4 3 3" xfId="10997"/>
    <cellStyle name="Normal 7 2 4 4 4" xfId="10998"/>
    <cellStyle name="Normal 7 2 4 4 5" xfId="10999"/>
    <cellStyle name="Normal 7 2 4 5" xfId="11000"/>
    <cellStyle name="Normal 7 2 4 5 2" xfId="11001"/>
    <cellStyle name="Normal 7 2 4 5 3" xfId="11002"/>
    <cellStyle name="Normal 7 2 4 6" xfId="11003"/>
    <cellStyle name="Normal 7 2 4 6 2" xfId="11004"/>
    <cellStyle name="Normal 7 2 4 6 3" xfId="11005"/>
    <cellStyle name="Normal 7 2 4 7" xfId="11006"/>
    <cellStyle name="Normal 7 2 4 8" xfId="11007"/>
    <cellStyle name="Normal 7 2 5" xfId="11008"/>
    <cellStyle name="Normal 7 2 5 2" xfId="11009"/>
    <cellStyle name="Normal 7 2 5 2 2" xfId="11010"/>
    <cellStyle name="Normal 7 2 5 2 2 2" xfId="11011"/>
    <cellStyle name="Normal 7 2 5 2 2 2 2" xfId="11012"/>
    <cellStyle name="Normal 7 2 5 2 2 2 3" xfId="11013"/>
    <cellStyle name="Normal 7 2 5 2 2 3" xfId="11014"/>
    <cellStyle name="Normal 7 2 5 2 2 3 2" xfId="11015"/>
    <cellStyle name="Normal 7 2 5 2 2 3 3" xfId="11016"/>
    <cellStyle name="Normal 7 2 5 2 2 4" xfId="11017"/>
    <cellStyle name="Normal 7 2 5 2 2 5" xfId="11018"/>
    <cellStyle name="Normal 7 2 5 2 3" xfId="11019"/>
    <cellStyle name="Normal 7 2 5 2 3 2" xfId="11020"/>
    <cellStyle name="Normal 7 2 5 2 3 3" xfId="11021"/>
    <cellStyle name="Normal 7 2 5 2 4" xfId="11022"/>
    <cellStyle name="Normal 7 2 5 2 4 2" xfId="11023"/>
    <cellStyle name="Normal 7 2 5 2 4 3" xfId="11024"/>
    <cellStyle name="Normal 7 2 5 2 5" xfId="11025"/>
    <cellStyle name="Normal 7 2 5 2 6" xfId="11026"/>
    <cellStyle name="Normal 7 2 5 3" xfId="11027"/>
    <cellStyle name="Normal 7 2 5 3 2" xfId="11028"/>
    <cellStyle name="Normal 7 2 5 3 2 2" xfId="11029"/>
    <cellStyle name="Normal 7 2 5 3 2 3" xfId="11030"/>
    <cellStyle name="Normal 7 2 5 3 3" xfId="11031"/>
    <cellStyle name="Normal 7 2 5 3 3 2" xfId="11032"/>
    <cellStyle name="Normal 7 2 5 3 3 3" xfId="11033"/>
    <cellStyle name="Normal 7 2 5 3 4" xfId="11034"/>
    <cellStyle name="Normal 7 2 5 3 5" xfId="11035"/>
    <cellStyle name="Normal 7 2 5 4" xfId="11036"/>
    <cellStyle name="Normal 7 2 5 4 2" xfId="11037"/>
    <cellStyle name="Normal 7 2 5 4 3" xfId="11038"/>
    <cellStyle name="Normal 7 2 5 5" xfId="11039"/>
    <cellStyle name="Normal 7 2 5 5 2" xfId="11040"/>
    <cellStyle name="Normal 7 2 5 5 3" xfId="11041"/>
    <cellStyle name="Normal 7 2 5 6" xfId="11042"/>
    <cellStyle name="Normal 7 2 5 7" xfId="11043"/>
    <cellStyle name="Normal 7 2 6" xfId="11044"/>
    <cellStyle name="Normal 7 2 6 2" xfId="11045"/>
    <cellStyle name="Normal 7 2 6 2 2" xfId="11046"/>
    <cellStyle name="Normal 7 2 6 2 2 2" xfId="11047"/>
    <cellStyle name="Normal 7 2 6 2 2 3" xfId="11048"/>
    <cellStyle name="Normal 7 2 6 2 3" xfId="11049"/>
    <cellStyle name="Normal 7 2 6 2 3 2" xfId="11050"/>
    <cellStyle name="Normal 7 2 6 2 3 3" xfId="11051"/>
    <cellStyle name="Normal 7 2 6 2 4" xfId="11052"/>
    <cellStyle name="Normal 7 2 6 2 5" xfId="11053"/>
    <cellStyle name="Normal 7 2 6 3" xfId="11054"/>
    <cellStyle name="Normal 7 2 6 3 2" xfId="11055"/>
    <cellStyle name="Normal 7 2 6 3 3" xfId="11056"/>
    <cellStyle name="Normal 7 2 6 4" xfId="11057"/>
    <cellStyle name="Normal 7 2 6 4 2" xfId="11058"/>
    <cellStyle name="Normal 7 2 6 4 3" xfId="11059"/>
    <cellStyle name="Normal 7 2 6 5" xfId="11060"/>
    <cellStyle name="Normal 7 2 6 6" xfId="11061"/>
    <cellStyle name="Normal 7 2 7" xfId="11062"/>
    <cellStyle name="Normal 7 2 7 2" xfId="11063"/>
    <cellStyle name="Normal 7 2 7 2 2" xfId="11064"/>
    <cellStyle name="Normal 7 2 7 2 3" xfId="11065"/>
    <cellStyle name="Normal 7 2 7 3" xfId="11066"/>
    <cellStyle name="Normal 7 2 7 3 2" xfId="11067"/>
    <cellStyle name="Normal 7 2 7 3 3" xfId="11068"/>
    <cellStyle name="Normal 7 2 7 4" xfId="11069"/>
    <cellStyle name="Normal 7 2 7 5" xfId="11070"/>
    <cellStyle name="Normal 7 2 8" xfId="11071"/>
    <cellStyle name="Normal 7 2 8 2" xfId="11072"/>
    <cellStyle name="Normal 7 2 8 3" xfId="11073"/>
    <cellStyle name="Normal 7 2 9" xfId="11074"/>
    <cellStyle name="Normal 7 2 9 2" xfId="11075"/>
    <cellStyle name="Normal 7 2 9 3" xfId="11076"/>
    <cellStyle name="Normal 7 3" xfId="11077"/>
    <cellStyle name="Normal 7 3 2" xfId="11078"/>
    <cellStyle name="Normal 7 3 2 2" xfId="11079"/>
    <cellStyle name="Normal 7 3 2 2 2" xfId="11080"/>
    <cellStyle name="Normal 7 3 2 2 2 2" xfId="11081"/>
    <cellStyle name="Normal 7 3 2 2 2 2 2" xfId="11082"/>
    <cellStyle name="Normal 7 3 2 2 2 2 2 2" xfId="11083"/>
    <cellStyle name="Normal 7 3 2 2 2 2 2 3" xfId="11084"/>
    <cellStyle name="Normal 7 3 2 2 2 2 3" xfId="11085"/>
    <cellStyle name="Normal 7 3 2 2 2 2 3 2" xfId="11086"/>
    <cellStyle name="Normal 7 3 2 2 2 2 3 3" xfId="11087"/>
    <cellStyle name="Normal 7 3 2 2 2 2 4" xfId="11088"/>
    <cellStyle name="Normal 7 3 2 2 2 2 5" xfId="11089"/>
    <cellStyle name="Normal 7 3 2 2 2 3" xfId="11090"/>
    <cellStyle name="Normal 7 3 2 2 2 3 2" xfId="11091"/>
    <cellStyle name="Normal 7 3 2 2 2 3 3" xfId="11092"/>
    <cellStyle name="Normal 7 3 2 2 2 4" xfId="11093"/>
    <cellStyle name="Normal 7 3 2 2 2 4 2" xfId="11094"/>
    <cellStyle name="Normal 7 3 2 2 2 4 3" xfId="11095"/>
    <cellStyle name="Normal 7 3 2 2 2 5" xfId="11096"/>
    <cellStyle name="Normal 7 3 2 2 2 6" xfId="11097"/>
    <cellStyle name="Normal 7 3 2 2 3" xfId="11098"/>
    <cellStyle name="Normal 7 3 2 2 3 2" xfId="11099"/>
    <cellStyle name="Normal 7 3 2 2 3 2 2" xfId="11100"/>
    <cellStyle name="Normal 7 3 2 2 3 2 3" xfId="11101"/>
    <cellStyle name="Normal 7 3 2 2 3 3" xfId="11102"/>
    <cellStyle name="Normal 7 3 2 2 3 3 2" xfId="11103"/>
    <cellStyle name="Normal 7 3 2 2 3 3 3" xfId="11104"/>
    <cellStyle name="Normal 7 3 2 2 3 4" xfId="11105"/>
    <cellStyle name="Normal 7 3 2 2 3 5" xfId="11106"/>
    <cellStyle name="Normal 7 3 2 2 4" xfId="11107"/>
    <cellStyle name="Normal 7 3 2 2 4 2" xfId="11108"/>
    <cellStyle name="Normal 7 3 2 2 4 3" xfId="11109"/>
    <cellStyle name="Normal 7 3 2 2 5" xfId="11110"/>
    <cellStyle name="Normal 7 3 2 2 5 2" xfId="11111"/>
    <cellStyle name="Normal 7 3 2 2 5 3" xfId="11112"/>
    <cellStyle name="Normal 7 3 2 2 6" xfId="11113"/>
    <cellStyle name="Normal 7 3 2 2 7" xfId="11114"/>
    <cellStyle name="Normal 7 3 2 3" xfId="11115"/>
    <cellStyle name="Normal 7 3 2 3 2" xfId="11116"/>
    <cellStyle name="Normal 7 3 2 3 2 2" xfId="11117"/>
    <cellStyle name="Normal 7 3 2 3 2 2 2" xfId="11118"/>
    <cellStyle name="Normal 7 3 2 3 2 2 3" xfId="11119"/>
    <cellStyle name="Normal 7 3 2 3 2 3" xfId="11120"/>
    <cellStyle name="Normal 7 3 2 3 2 3 2" xfId="11121"/>
    <cellStyle name="Normal 7 3 2 3 2 3 3" xfId="11122"/>
    <cellStyle name="Normal 7 3 2 3 2 4" xfId="11123"/>
    <cellStyle name="Normal 7 3 2 3 2 5" xfId="11124"/>
    <cellStyle name="Normal 7 3 2 3 3" xfId="11125"/>
    <cellStyle name="Normal 7 3 2 3 3 2" xfId="11126"/>
    <cellStyle name="Normal 7 3 2 3 3 3" xfId="11127"/>
    <cellStyle name="Normal 7 3 2 3 4" xfId="11128"/>
    <cellStyle name="Normal 7 3 2 3 4 2" xfId="11129"/>
    <cellStyle name="Normal 7 3 2 3 4 3" xfId="11130"/>
    <cellStyle name="Normal 7 3 2 3 5" xfId="11131"/>
    <cellStyle name="Normal 7 3 2 3 6" xfId="11132"/>
    <cellStyle name="Normal 7 3 2 4" xfId="11133"/>
    <cellStyle name="Normal 7 3 2 4 2" xfId="11134"/>
    <cellStyle name="Normal 7 3 2 4 2 2" xfId="11135"/>
    <cellStyle name="Normal 7 3 2 4 2 3" xfId="11136"/>
    <cellStyle name="Normal 7 3 2 4 3" xfId="11137"/>
    <cellStyle name="Normal 7 3 2 4 3 2" xfId="11138"/>
    <cellStyle name="Normal 7 3 2 4 3 3" xfId="11139"/>
    <cellStyle name="Normal 7 3 2 4 4" xfId="11140"/>
    <cellStyle name="Normal 7 3 2 4 5" xfId="11141"/>
    <cellStyle name="Normal 7 3 2 5" xfId="11142"/>
    <cellStyle name="Normal 7 3 2 5 2" xfId="11143"/>
    <cellStyle name="Normal 7 3 2 5 3" xfId="11144"/>
    <cellStyle name="Normal 7 3 2 6" xfId="11145"/>
    <cellStyle name="Normal 7 3 2 6 2" xfId="11146"/>
    <cellStyle name="Normal 7 3 2 6 3" xfId="11147"/>
    <cellStyle name="Normal 7 3 2 7" xfId="11148"/>
    <cellStyle name="Normal 7 3 2 8" xfId="11149"/>
    <cellStyle name="Normal 7 3 3" xfId="11150"/>
    <cellStyle name="Normal 7 3 3 2" xfId="11151"/>
    <cellStyle name="Normal 7 3 3 2 2" xfId="11152"/>
    <cellStyle name="Normal 7 3 3 2 2 2" xfId="11153"/>
    <cellStyle name="Normal 7 3 3 2 2 2 2" xfId="11154"/>
    <cellStyle name="Normal 7 3 3 2 2 2 3" xfId="11155"/>
    <cellStyle name="Normal 7 3 3 2 2 3" xfId="11156"/>
    <cellStyle name="Normal 7 3 3 2 2 3 2" xfId="11157"/>
    <cellStyle name="Normal 7 3 3 2 2 3 3" xfId="11158"/>
    <cellStyle name="Normal 7 3 3 2 2 4" xfId="11159"/>
    <cellStyle name="Normal 7 3 3 2 2 5" xfId="11160"/>
    <cellStyle name="Normal 7 3 3 2 3" xfId="11161"/>
    <cellStyle name="Normal 7 3 3 2 3 2" xfId="11162"/>
    <cellStyle name="Normal 7 3 3 2 3 3" xfId="11163"/>
    <cellStyle name="Normal 7 3 3 2 4" xfId="11164"/>
    <cellStyle name="Normal 7 3 3 2 4 2" xfId="11165"/>
    <cellStyle name="Normal 7 3 3 2 4 3" xfId="11166"/>
    <cellStyle name="Normal 7 3 3 2 5" xfId="11167"/>
    <cellStyle name="Normal 7 3 3 2 6" xfId="11168"/>
    <cellStyle name="Normal 7 3 3 3" xfId="11169"/>
    <cellStyle name="Normal 7 3 3 3 2" xfId="11170"/>
    <cellStyle name="Normal 7 3 3 3 2 2" xfId="11171"/>
    <cellStyle name="Normal 7 3 3 3 2 3" xfId="11172"/>
    <cellStyle name="Normal 7 3 3 3 3" xfId="11173"/>
    <cellStyle name="Normal 7 3 3 3 3 2" xfId="11174"/>
    <cellStyle name="Normal 7 3 3 3 3 3" xfId="11175"/>
    <cellStyle name="Normal 7 3 3 3 4" xfId="11176"/>
    <cellStyle name="Normal 7 3 3 3 5" xfId="11177"/>
    <cellStyle name="Normal 7 3 3 4" xfId="11178"/>
    <cellStyle name="Normal 7 3 3 4 2" xfId="11179"/>
    <cellStyle name="Normal 7 3 3 4 3" xfId="11180"/>
    <cellStyle name="Normal 7 3 3 5" xfId="11181"/>
    <cellStyle name="Normal 7 3 3 5 2" xfId="11182"/>
    <cellStyle name="Normal 7 3 3 5 3" xfId="11183"/>
    <cellStyle name="Normal 7 3 3 6" xfId="11184"/>
    <cellStyle name="Normal 7 3 3 7" xfId="11185"/>
    <cellStyle name="Normal 7 3 4" xfId="11186"/>
    <cellStyle name="Normal 7 3 4 2" xfId="11187"/>
    <cellStyle name="Normal 7 3 4 2 2" xfId="11188"/>
    <cellStyle name="Normal 7 3 4 2 2 2" xfId="11189"/>
    <cellStyle name="Normal 7 3 4 2 2 3" xfId="11190"/>
    <cellStyle name="Normal 7 3 4 2 3" xfId="11191"/>
    <cellStyle name="Normal 7 3 4 2 3 2" xfId="11192"/>
    <cellStyle name="Normal 7 3 4 2 3 3" xfId="11193"/>
    <cellStyle name="Normal 7 3 4 2 4" xfId="11194"/>
    <cellStyle name="Normal 7 3 4 2 5" xfId="11195"/>
    <cellStyle name="Normal 7 3 4 3" xfId="11196"/>
    <cellStyle name="Normal 7 3 4 3 2" xfId="11197"/>
    <cellStyle name="Normal 7 3 4 3 3" xfId="11198"/>
    <cellStyle name="Normal 7 3 4 4" xfId="11199"/>
    <cellStyle name="Normal 7 3 4 4 2" xfId="11200"/>
    <cellStyle name="Normal 7 3 4 4 3" xfId="11201"/>
    <cellStyle name="Normal 7 3 4 5" xfId="11202"/>
    <cellStyle name="Normal 7 3 4 6" xfId="11203"/>
    <cellStyle name="Normal 7 3 5" xfId="11204"/>
    <cellStyle name="Normal 7 3 5 2" xfId="11205"/>
    <cellStyle name="Normal 7 3 5 2 2" xfId="11206"/>
    <cellStyle name="Normal 7 3 5 2 3" xfId="11207"/>
    <cellStyle name="Normal 7 3 5 3" xfId="11208"/>
    <cellStyle name="Normal 7 3 5 3 2" xfId="11209"/>
    <cellStyle name="Normal 7 3 5 3 3" xfId="11210"/>
    <cellStyle name="Normal 7 3 5 4" xfId="11211"/>
    <cellStyle name="Normal 7 3 5 5" xfId="11212"/>
    <cellStyle name="Normal 7 3 6" xfId="11213"/>
    <cellStyle name="Normal 7 3 6 2" xfId="11214"/>
    <cellStyle name="Normal 7 3 6 3" xfId="11215"/>
    <cellStyle name="Normal 7 3 7" xfId="11216"/>
    <cellStyle name="Normal 7 3 7 2" xfId="11217"/>
    <cellStyle name="Normal 7 3 7 3" xfId="11218"/>
    <cellStyle name="Normal 7 3 8" xfId="11219"/>
    <cellStyle name="Normal 7 3 9" xfId="11220"/>
    <cellStyle name="Normal 7 4" xfId="11221"/>
    <cellStyle name="Normal 7 4 2" xfId="11222"/>
    <cellStyle name="Normal 7 4 2 2" xfId="11223"/>
    <cellStyle name="Normal 7 4 2 2 2" xfId="11224"/>
    <cellStyle name="Normal 7 4 2 2 2 2" xfId="11225"/>
    <cellStyle name="Normal 7 4 2 2 2 2 2" xfId="11226"/>
    <cellStyle name="Normal 7 4 2 2 2 2 3" xfId="11227"/>
    <cellStyle name="Normal 7 4 2 2 2 3" xfId="11228"/>
    <cellStyle name="Normal 7 4 2 2 2 3 2" xfId="11229"/>
    <cellStyle name="Normal 7 4 2 2 2 3 3" xfId="11230"/>
    <cellStyle name="Normal 7 4 2 2 2 4" xfId="11231"/>
    <cellStyle name="Normal 7 4 2 2 2 5" xfId="11232"/>
    <cellStyle name="Normal 7 4 2 2 3" xfId="11233"/>
    <cellStyle name="Normal 7 4 2 2 3 2" xfId="11234"/>
    <cellStyle name="Normal 7 4 2 2 3 3" xfId="11235"/>
    <cellStyle name="Normal 7 4 2 2 4" xfId="11236"/>
    <cellStyle name="Normal 7 4 2 2 4 2" xfId="11237"/>
    <cellStyle name="Normal 7 4 2 2 4 3" xfId="11238"/>
    <cellStyle name="Normal 7 4 2 2 5" xfId="11239"/>
    <cellStyle name="Normal 7 4 2 2 6" xfId="11240"/>
    <cellStyle name="Normal 7 4 2 3" xfId="11241"/>
    <cellStyle name="Normal 7 4 2 3 2" xfId="11242"/>
    <cellStyle name="Normal 7 4 2 3 2 2" xfId="11243"/>
    <cellStyle name="Normal 7 4 2 3 2 3" xfId="11244"/>
    <cellStyle name="Normal 7 4 2 3 3" xfId="11245"/>
    <cellStyle name="Normal 7 4 2 3 3 2" xfId="11246"/>
    <cellStyle name="Normal 7 4 2 3 3 3" xfId="11247"/>
    <cellStyle name="Normal 7 4 2 3 4" xfId="11248"/>
    <cellStyle name="Normal 7 4 2 3 5" xfId="11249"/>
    <cellStyle name="Normal 7 4 2 4" xfId="11250"/>
    <cellStyle name="Normal 7 4 2 4 2" xfId="11251"/>
    <cellStyle name="Normal 7 4 2 4 3" xfId="11252"/>
    <cellStyle name="Normal 7 4 2 5" xfId="11253"/>
    <cellStyle name="Normal 7 4 2 5 2" xfId="11254"/>
    <cellStyle name="Normal 7 4 2 5 3" xfId="11255"/>
    <cellStyle name="Normal 7 4 2 6" xfId="11256"/>
    <cellStyle name="Normal 7 4 2 7" xfId="11257"/>
    <cellStyle name="Normal 7 4 3" xfId="11258"/>
    <cellStyle name="Normal 7 4 3 2" xfId="11259"/>
    <cellStyle name="Normal 7 4 3 2 2" xfId="11260"/>
    <cellStyle name="Normal 7 4 3 2 2 2" xfId="11261"/>
    <cellStyle name="Normal 7 4 3 2 2 3" xfId="11262"/>
    <cellStyle name="Normal 7 4 3 2 3" xfId="11263"/>
    <cellStyle name="Normal 7 4 3 2 3 2" xfId="11264"/>
    <cellStyle name="Normal 7 4 3 2 3 3" xfId="11265"/>
    <cellStyle name="Normal 7 4 3 2 4" xfId="11266"/>
    <cellStyle name="Normal 7 4 3 2 5" xfId="11267"/>
    <cellStyle name="Normal 7 4 3 3" xfId="11268"/>
    <cellStyle name="Normal 7 4 3 3 2" xfId="11269"/>
    <cellStyle name="Normal 7 4 3 3 3" xfId="11270"/>
    <cellStyle name="Normal 7 4 3 4" xfId="11271"/>
    <cellStyle name="Normal 7 4 3 4 2" xfId="11272"/>
    <cellStyle name="Normal 7 4 3 4 3" xfId="11273"/>
    <cellStyle name="Normal 7 4 3 5" xfId="11274"/>
    <cellStyle name="Normal 7 4 3 6" xfId="11275"/>
    <cellStyle name="Normal 7 4 4" xfId="11276"/>
    <cellStyle name="Normal 7 4 4 2" xfId="11277"/>
    <cellStyle name="Normal 7 4 4 2 2" xfId="11278"/>
    <cellStyle name="Normal 7 4 4 2 3" xfId="11279"/>
    <cellStyle name="Normal 7 4 4 3" xfId="11280"/>
    <cellStyle name="Normal 7 4 4 3 2" xfId="11281"/>
    <cellStyle name="Normal 7 4 4 3 3" xfId="11282"/>
    <cellStyle name="Normal 7 4 4 4" xfId="11283"/>
    <cellStyle name="Normal 7 4 4 5" xfId="11284"/>
    <cellStyle name="Normal 7 4 5" xfId="11285"/>
    <cellStyle name="Normal 7 4 5 2" xfId="11286"/>
    <cellStyle name="Normal 7 4 5 3" xfId="11287"/>
    <cellStyle name="Normal 7 4 6" xfId="11288"/>
    <cellStyle name="Normal 7 4 6 2" xfId="11289"/>
    <cellStyle name="Normal 7 4 6 3" xfId="11290"/>
    <cellStyle name="Normal 7 4 7" xfId="11291"/>
    <cellStyle name="Normal 7 4 8" xfId="11292"/>
    <cellStyle name="Normal 7 5" xfId="11293"/>
    <cellStyle name="Normal 7 5 2" xfId="11294"/>
    <cellStyle name="Normal 7 5 2 2" xfId="11295"/>
    <cellStyle name="Normal 7 5 2 2 2" xfId="11296"/>
    <cellStyle name="Normal 7 5 2 2 2 2" xfId="11297"/>
    <cellStyle name="Normal 7 5 2 2 2 2 2" xfId="11298"/>
    <cellStyle name="Normal 7 5 2 2 2 2 3" xfId="11299"/>
    <cellStyle name="Normal 7 5 2 2 2 3" xfId="11300"/>
    <cellStyle name="Normal 7 5 2 2 2 3 2" xfId="11301"/>
    <cellStyle name="Normal 7 5 2 2 2 3 3" xfId="11302"/>
    <cellStyle name="Normal 7 5 2 2 2 4" xfId="11303"/>
    <cellStyle name="Normal 7 5 2 2 2 5" xfId="11304"/>
    <cellStyle name="Normal 7 5 2 2 3" xfId="11305"/>
    <cellStyle name="Normal 7 5 2 2 3 2" xfId="11306"/>
    <cellStyle name="Normal 7 5 2 2 3 3" xfId="11307"/>
    <cellStyle name="Normal 7 5 2 2 4" xfId="11308"/>
    <cellStyle name="Normal 7 5 2 2 4 2" xfId="11309"/>
    <cellStyle name="Normal 7 5 2 2 4 3" xfId="11310"/>
    <cellStyle name="Normal 7 5 2 2 5" xfId="11311"/>
    <cellStyle name="Normal 7 5 2 2 6" xfId="11312"/>
    <cellStyle name="Normal 7 5 2 3" xfId="11313"/>
    <cellStyle name="Normal 7 5 2 3 2" xfId="11314"/>
    <cellStyle name="Normal 7 5 2 3 2 2" xfId="11315"/>
    <cellStyle name="Normal 7 5 2 3 2 3" xfId="11316"/>
    <cellStyle name="Normal 7 5 2 3 3" xfId="11317"/>
    <cellStyle name="Normal 7 5 2 3 3 2" xfId="11318"/>
    <cellStyle name="Normal 7 5 2 3 3 3" xfId="11319"/>
    <cellStyle name="Normal 7 5 2 3 4" xfId="11320"/>
    <cellStyle name="Normal 7 5 2 3 5" xfId="11321"/>
    <cellStyle name="Normal 7 5 2 4" xfId="11322"/>
    <cellStyle name="Normal 7 5 2 4 2" xfId="11323"/>
    <cellStyle name="Normal 7 5 2 4 3" xfId="11324"/>
    <cellStyle name="Normal 7 5 2 5" xfId="11325"/>
    <cellStyle name="Normal 7 5 2 5 2" xfId="11326"/>
    <cellStyle name="Normal 7 5 2 5 3" xfId="11327"/>
    <cellStyle name="Normal 7 5 2 6" xfId="11328"/>
    <cellStyle name="Normal 7 5 2 7" xfId="11329"/>
    <cellStyle name="Normal 7 5 3" xfId="11330"/>
    <cellStyle name="Normal 7 5 3 2" xfId="11331"/>
    <cellStyle name="Normal 7 5 3 2 2" xfId="11332"/>
    <cellStyle name="Normal 7 5 3 2 2 2" xfId="11333"/>
    <cellStyle name="Normal 7 5 3 2 2 3" xfId="11334"/>
    <cellStyle name="Normal 7 5 3 2 3" xfId="11335"/>
    <cellStyle name="Normal 7 5 3 2 3 2" xfId="11336"/>
    <cellStyle name="Normal 7 5 3 2 3 3" xfId="11337"/>
    <cellStyle name="Normal 7 5 3 2 4" xfId="11338"/>
    <cellStyle name="Normal 7 5 3 2 5" xfId="11339"/>
    <cellStyle name="Normal 7 5 3 3" xfId="11340"/>
    <cellStyle name="Normal 7 5 3 3 2" xfId="11341"/>
    <cellStyle name="Normal 7 5 3 3 3" xfId="11342"/>
    <cellStyle name="Normal 7 5 3 4" xfId="11343"/>
    <cellStyle name="Normal 7 5 3 4 2" xfId="11344"/>
    <cellStyle name="Normal 7 5 3 4 3" xfId="11345"/>
    <cellStyle name="Normal 7 5 3 5" xfId="11346"/>
    <cellStyle name="Normal 7 5 3 6" xfId="11347"/>
    <cellStyle name="Normal 7 5 4" xfId="11348"/>
    <cellStyle name="Normal 7 5 4 2" xfId="11349"/>
    <cellStyle name="Normal 7 5 4 2 2" xfId="11350"/>
    <cellStyle name="Normal 7 5 4 2 3" xfId="11351"/>
    <cellStyle name="Normal 7 5 4 3" xfId="11352"/>
    <cellStyle name="Normal 7 5 4 3 2" xfId="11353"/>
    <cellStyle name="Normal 7 5 4 3 3" xfId="11354"/>
    <cellStyle name="Normal 7 5 4 4" xfId="11355"/>
    <cellStyle name="Normal 7 5 4 5" xfId="11356"/>
    <cellStyle name="Normal 7 5 5" xfId="11357"/>
    <cellStyle name="Normal 7 5 5 2" xfId="11358"/>
    <cellStyle name="Normal 7 5 5 3" xfId="11359"/>
    <cellStyle name="Normal 7 5 6" xfId="11360"/>
    <cellStyle name="Normal 7 5 6 2" xfId="11361"/>
    <cellStyle name="Normal 7 5 6 3" xfId="11362"/>
    <cellStyle name="Normal 7 5 7" xfId="11363"/>
    <cellStyle name="Normal 7 5 8" xfId="11364"/>
    <cellStyle name="Normal 7 6" xfId="11365"/>
    <cellStyle name="Normal 7 6 2" xfId="11366"/>
    <cellStyle name="Normal 7 6 2 2" xfId="11367"/>
    <cellStyle name="Normal 7 6 2 2 2" xfId="11368"/>
    <cellStyle name="Normal 7 6 2 2 2 2" xfId="11369"/>
    <cellStyle name="Normal 7 6 2 2 2 3" xfId="11370"/>
    <cellStyle name="Normal 7 6 2 2 3" xfId="11371"/>
    <cellStyle name="Normal 7 6 2 2 3 2" xfId="11372"/>
    <cellStyle name="Normal 7 6 2 2 3 3" xfId="11373"/>
    <cellStyle name="Normal 7 6 2 2 4" xfId="11374"/>
    <cellStyle name="Normal 7 6 2 2 5" xfId="11375"/>
    <cellStyle name="Normal 7 6 2 3" xfId="11376"/>
    <cellStyle name="Normal 7 6 2 3 2" xfId="11377"/>
    <cellStyle name="Normal 7 6 2 3 3" xfId="11378"/>
    <cellStyle name="Normal 7 6 2 4" xfId="11379"/>
    <cellStyle name="Normal 7 6 2 4 2" xfId="11380"/>
    <cellStyle name="Normal 7 6 2 4 3" xfId="11381"/>
    <cellStyle name="Normal 7 6 2 5" xfId="11382"/>
    <cellStyle name="Normal 7 6 2 6" xfId="11383"/>
    <cellStyle name="Normal 7 6 3" xfId="11384"/>
    <cellStyle name="Normal 7 6 3 2" xfId="11385"/>
    <cellStyle name="Normal 7 6 3 2 2" xfId="11386"/>
    <cellStyle name="Normal 7 6 3 2 3" xfId="11387"/>
    <cellStyle name="Normal 7 6 3 3" xfId="11388"/>
    <cellStyle name="Normal 7 6 3 3 2" xfId="11389"/>
    <cellStyle name="Normal 7 6 3 3 3" xfId="11390"/>
    <cellStyle name="Normal 7 6 3 4" xfId="11391"/>
    <cellStyle name="Normal 7 6 3 5" xfId="11392"/>
    <cellStyle name="Normal 7 6 4" xfId="11393"/>
    <cellStyle name="Normal 7 6 4 2" xfId="11394"/>
    <cellStyle name="Normal 7 6 4 3" xfId="11395"/>
    <cellStyle name="Normal 7 6 5" xfId="11396"/>
    <cellStyle name="Normal 7 6 5 2" xfId="11397"/>
    <cellStyle name="Normal 7 6 5 3" xfId="11398"/>
    <cellStyle name="Normal 7 6 6" xfId="11399"/>
    <cellStyle name="Normal 7 6 7" xfId="11400"/>
    <cellStyle name="Normal 7 7" xfId="11401"/>
    <cellStyle name="Normal 7 7 2" xfId="11402"/>
    <cellStyle name="Normal 7 7 2 2" xfId="11403"/>
    <cellStyle name="Normal 7 7 2 2 2" xfId="11404"/>
    <cellStyle name="Normal 7 7 2 2 3" xfId="11405"/>
    <cellStyle name="Normal 7 7 2 3" xfId="11406"/>
    <cellStyle name="Normal 7 7 2 3 2" xfId="11407"/>
    <cellStyle name="Normal 7 7 2 3 3" xfId="11408"/>
    <cellStyle name="Normal 7 7 2 4" xfId="11409"/>
    <cellStyle name="Normal 7 7 2 5" xfId="11410"/>
    <cellStyle name="Normal 7 7 3" xfId="11411"/>
    <cellStyle name="Normal 7 7 3 2" xfId="11412"/>
    <cellStyle name="Normal 7 7 3 3" xfId="11413"/>
    <cellStyle name="Normal 7 7 4" xfId="11414"/>
    <cellStyle name="Normal 7 7 4 2" xfId="11415"/>
    <cellStyle name="Normal 7 7 4 3" xfId="11416"/>
    <cellStyle name="Normal 7 7 5" xfId="11417"/>
    <cellStyle name="Normal 7 7 6" xfId="11418"/>
    <cellStyle name="Normal 7 8" xfId="11419"/>
    <cellStyle name="Normal 7 8 2" xfId="11420"/>
    <cellStyle name="Normal 7 8 2 2" xfId="11421"/>
    <cellStyle name="Normal 7 8 2 3" xfId="11422"/>
    <cellStyle name="Normal 7 8 3" xfId="11423"/>
    <cellStyle name="Normal 7 8 3 2" xfId="11424"/>
    <cellStyle name="Normal 7 8 3 3" xfId="11425"/>
    <cellStyle name="Normal 7 8 4" xfId="11426"/>
    <cellStyle name="Normal 7 8 5" xfId="11427"/>
    <cellStyle name="Normal 7 9" xfId="11428"/>
    <cellStyle name="Normal 7 9 2" xfId="11429"/>
    <cellStyle name="Normal 7 9 3" xfId="11430"/>
    <cellStyle name="Normal 7_2180" xfId="11431"/>
    <cellStyle name="Normal 70" xfId="226"/>
    <cellStyle name="Normal 70 2" xfId="11432"/>
    <cellStyle name="Normal 70 3" xfId="11433"/>
    <cellStyle name="Normal 71" xfId="227"/>
    <cellStyle name="Normal 72" xfId="228"/>
    <cellStyle name="Normal 72 2" xfId="11434"/>
    <cellStyle name="Normal 72 2 2" xfId="11435"/>
    <cellStyle name="Normal 72 2 2 2" xfId="11436"/>
    <cellStyle name="Normal 72 2 2 2 2" xfId="11437"/>
    <cellStyle name="Normal 72 2 2 2 3" xfId="11438"/>
    <cellStyle name="Normal 72 2 2 3" xfId="11439"/>
    <cellStyle name="Normal 72 2 2 3 2" xfId="11440"/>
    <cellStyle name="Normal 72 2 2 3 3" xfId="11441"/>
    <cellStyle name="Normal 72 2 2 4" xfId="11442"/>
    <cellStyle name="Normal 72 2 2 5" xfId="11443"/>
    <cellStyle name="Normal 72 2 3" xfId="11444"/>
    <cellStyle name="Normal 72 2 3 2" xfId="11445"/>
    <cellStyle name="Normal 72 2 3 3" xfId="11446"/>
    <cellStyle name="Normal 72 2 4" xfId="11447"/>
    <cellStyle name="Normal 72 2 4 2" xfId="11448"/>
    <cellStyle name="Normal 72 2 4 3" xfId="11449"/>
    <cellStyle name="Normal 72 2 5" xfId="11450"/>
    <cellStyle name="Normal 72 2 6" xfId="11451"/>
    <cellStyle name="Normal 72 3" xfId="11452"/>
    <cellStyle name="Normal 72 3 2" xfId="11453"/>
    <cellStyle name="Normal 72 3 2 2" xfId="11454"/>
    <cellStyle name="Normal 72 3 2 3" xfId="11455"/>
    <cellStyle name="Normal 72 3 3" xfId="11456"/>
    <cellStyle name="Normal 72 3 3 2" xfId="11457"/>
    <cellStyle name="Normal 72 3 3 3" xfId="11458"/>
    <cellStyle name="Normal 72 3 4" xfId="11459"/>
    <cellStyle name="Normal 72 3 5" xfId="11460"/>
    <cellStyle name="Normal 72 4" xfId="11461"/>
    <cellStyle name="Normal 72 4 2" xfId="11462"/>
    <cellStyle name="Normal 72 4 3" xfId="11463"/>
    <cellStyle name="Normal 72 5" xfId="11464"/>
    <cellStyle name="Normal 72 5 2" xfId="11465"/>
    <cellStyle name="Normal 72 5 3" xfId="11466"/>
    <cellStyle name="Normal 72 6" xfId="11467"/>
    <cellStyle name="Normal 72 7" xfId="11468"/>
    <cellStyle name="Normal 73" xfId="229"/>
    <cellStyle name="Normal 73 2" xfId="11469"/>
    <cellStyle name="Normal 74" xfId="230"/>
    <cellStyle name="Normal 75" xfId="231"/>
    <cellStyle name="Normal 76" xfId="232"/>
    <cellStyle name="Normal 77" xfId="233"/>
    <cellStyle name="Normal 78" xfId="234"/>
    <cellStyle name="Normal 79" xfId="235"/>
    <cellStyle name="Normal 8" xfId="236"/>
    <cellStyle name="Normal 8 10" xfId="11470"/>
    <cellStyle name="Normal 8 11" xfId="11471"/>
    <cellStyle name="Normal 8 2" xfId="11472"/>
    <cellStyle name="Normal 8 2 2" xfId="11473"/>
    <cellStyle name="Normal 8 2 2 2" xfId="11474"/>
    <cellStyle name="Normal 8 2 2 2 2" xfId="11475"/>
    <cellStyle name="Normal 8 2 2 2 2 2" xfId="11476"/>
    <cellStyle name="Normal 8 2 2 2 2 2 2" xfId="11477"/>
    <cellStyle name="Normal 8 2 2 2 2 2 2 2" xfId="11478"/>
    <cellStyle name="Normal 8 2 2 2 2 2 2 3" xfId="11479"/>
    <cellStyle name="Normal 8 2 2 2 2 2 3" xfId="11480"/>
    <cellStyle name="Normal 8 2 2 2 2 2 3 2" xfId="11481"/>
    <cellStyle name="Normal 8 2 2 2 2 2 3 3" xfId="11482"/>
    <cellStyle name="Normal 8 2 2 2 2 2 4" xfId="11483"/>
    <cellStyle name="Normal 8 2 2 2 2 2 5" xfId="11484"/>
    <cellStyle name="Normal 8 2 2 2 2 3" xfId="11485"/>
    <cellStyle name="Normal 8 2 2 2 2 3 2" xfId="11486"/>
    <cellStyle name="Normal 8 2 2 2 2 3 3" xfId="11487"/>
    <cellStyle name="Normal 8 2 2 2 2 4" xfId="11488"/>
    <cellStyle name="Normal 8 2 2 2 2 4 2" xfId="11489"/>
    <cellStyle name="Normal 8 2 2 2 2 4 3" xfId="11490"/>
    <cellStyle name="Normal 8 2 2 2 2 5" xfId="11491"/>
    <cellStyle name="Normal 8 2 2 2 2 6" xfId="11492"/>
    <cellStyle name="Normal 8 2 2 2 3" xfId="11493"/>
    <cellStyle name="Normal 8 2 2 2 3 2" xfId="11494"/>
    <cellStyle name="Normal 8 2 2 2 3 2 2" xfId="11495"/>
    <cellStyle name="Normal 8 2 2 2 3 2 3" xfId="11496"/>
    <cellStyle name="Normal 8 2 2 2 3 3" xfId="11497"/>
    <cellStyle name="Normal 8 2 2 2 3 3 2" xfId="11498"/>
    <cellStyle name="Normal 8 2 2 2 3 3 3" xfId="11499"/>
    <cellStyle name="Normal 8 2 2 2 3 4" xfId="11500"/>
    <cellStyle name="Normal 8 2 2 2 3 5" xfId="11501"/>
    <cellStyle name="Normal 8 2 2 2 3 6" xfId="34901"/>
    <cellStyle name="Normal 8 2 2 2 4" xfId="11502"/>
    <cellStyle name="Normal 8 2 2 2 4 2" xfId="11503"/>
    <cellStyle name="Normal 8 2 2 2 4 3" xfId="11504"/>
    <cellStyle name="Normal 8 2 2 2 5" xfId="11505"/>
    <cellStyle name="Normal 8 2 2 2 5 2" xfId="11506"/>
    <cellStyle name="Normal 8 2 2 2 5 3" xfId="11507"/>
    <cellStyle name="Normal 8 2 2 2 6" xfId="11508"/>
    <cellStyle name="Normal 8 2 2 2 7" xfId="11509"/>
    <cellStyle name="Normal 8 2 2 3" xfId="11510"/>
    <cellStyle name="Normal 8 2 2 3 2" xfId="11511"/>
    <cellStyle name="Normal 8 2 2 3 2 2" xfId="11512"/>
    <cellStyle name="Normal 8 2 2 3 2 2 2" xfId="11513"/>
    <cellStyle name="Normal 8 2 2 3 2 2 3" xfId="11514"/>
    <cellStyle name="Normal 8 2 2 3 2 3" xfId="11515"/>
    <cellStyle name="Normal 8 2 2 3 2 3 2" xfId="11516"/>
    <cellStyle name="Normal 8 2 2 3 2 3 3" xfId="11517"/>
    <cellStyle name="Normal 8 2 2 3 2 4" xfId="11518"/>
    <cellStyle name="Normal 8 2 2 3 2 5" xfId="11519"/>
    <cellStyle name="Normal 8 2 2 3 3" xfId="11520"/>
    <cellStyle name="Normal 8 2 2 3 3 2" xfId="11521"/>
    <cellStyle name="Normal 8 2 2 3 3 3" xfId="11522"/>
    <cellStyle name="Normal 8 2 2 3 4" xfId="11523"/>
    <cellStyle name="Normal 8 2 2 3 4 2" xfId="11524"/>
    <cellStyle name="Normal 8 2 2 3 4 3" xfId="11525"/>
    <cellStyle name="Normal 8 2 2 3 5" xfId="11526"/>
    <cellStyle name="Normal 8 2 2 3 6" xfId="11527"/>
    <cellStyle name="Normal 8 2 2 4" xfId="11528"/>
    <cellStyle name="Normal 8 2 2 4 2" xfId="11529"/>
    <cellStyle name="Normal 8 2 2 4 2 2" xfId="11530"/>
    <cellStyle name="Normal 8 2 2 4 2 3" xfId="11531"/>
    <cellStyle name="Normal 8 2 2 4 3" xfId="11532"/>
    <cellStyle name="Normal 8 2 2 4 3 2" xfId="11533"/>
    <cellStyle name="Normal 8 2 2 4 3 3" xfId="11534"/>
    <cellStyle name="Normal 8 2 2 4 4" xfId="11535"/>
    <cellStyle name="Normal 8 2 2 4 5" xfId="11536"/>
    <cellStyle name="Normal 8 2 2 5" xfId="11537"/>
    <cellStyle name="Normal 8 2 2 5 2" xfId="11538"/>
    <cellStyle name="Normal 8 2 2 5 3" xfId="11539"/>
    <cellStyle name="Normal 8 2 2 6" xfId="11540"/>
    <cellStyle name="Normal 8 2 2 6 2" xfId="11541"/>
    <cellStyle name="Normal 8 2 2 6 3" xfId="11542"/>
    <cellStyle name="Normal 8 2 2 7" xfId="11543"/>
    <cellStyle name="Normal 8 2 2 8" xfId="11544"/>
    <cellStyle name="Normal 8 2 3" xfId="11545"/>
    <cellStyle name="Normal 8 2 3 2" xfId="11546"/>
    <cellStyle name="Normal 8 2 3 2 2" xfId="11547"/>
    <cellStyle name="Normal 8 2 3 2 2 2" xfId="11548"/>
    <cellStyle name="Normal 8 2 3 2 2 2 2" xfId="11549"/>
    <cellStyle name="Normal 8 2 3 2 2 2 3" xfId="11550"/>
    <cellStyle name="Normal 8 2 3 2 2 3" xfId="11551"/>
    <cellStyle name="Normal 8 2 3 2 2 3 2" xfId="11552"/>
    <cellStyle name="Normal 8 2 3 2 2 3 3" xfId="11553"/>
    <cellStyle name="Normal 8 2 3 2 2 4" xfId="11554"/>
    <cellStyle name="Normal 8 2 3 2 2 5" xfId="11555"/>
    <cellStyle name="Normal 8 2 3 2 3" xfId="11556"/>
    <cellStyle name="Normal 8 2 3 2 3 2" xfId="11557"/>
    <cellStyle name="Normal 8 2 3 2 3 3" xfId="11558"/>
    <cellStyle name="Normal 8 2 3 2 4" xfId="11559"/>
    <cellStyle name="Normal 8 2 3 2 4 2" xfId="11560"/>
    <cellStyle name="Normal 8 2 3 2 4 3" xfId="11561"/>
    <cellStyle name="Normal 8 2 3 2 5" xfId="11562"/>
    <cellStyle name="Normal 8 2 3 2 6" xfId="11563"/>
    <cellStyle name="Normal 8 2 3 3" xfId="11564"/>
    <cellStyle name="Normal 8 2 3 3 2" xfId="11565"/>
    <cellStyle name="Normal 8 2 3 3 2 2" xfId="11566"/>
    <cellStyle name="Normal 8 2 3 3 2 3" xfId="11567"/>
    <cellStyle name="Normal 8 2 3 3 3" xfId="11568"/>
    <cellStyle name="Normal 8 2 3 3 3 2" xfId="11569"/>
    <cellStyle name="Normal 8 2 3 3 3 3" xfId="11570"/>
    <cellStyle name="Normal 8 2 3 3 4" xfId="11571"/>
    <cellStyle name="Normal 8 2 3 3 5" xfId="11572"/>
    <cellStyle name="Normal 8 2 3 4" xfId="11573"/>
    <cellStyle name="Normal 8 2 3 4 2" xfId="11574"/>
    <cellStyle name="Normal 8 2 3 4 3" xfId="11575"/>
    <cellStyle name="Normal 8 2 3 5" xfId="11576"/>
    <cellStyle name="Normal 8 2 3 5 2" xfId="11577"/>
    <cellStyle name="Normal 8 2 3 5 3" xfId="11578"/>
    <cellStyle name="Normal 8 2 3 6" xfId="11579"/>
    <cellStyle name="Normal 8 2 3 7" xfId="11580"/>
    <cellStyle name="Normal 8 2 4" xfId="11581"/>
    <cellStyle name="Normal 8 2 4 2" xfId="11582"/>
    <cellStyle name="Normal 8 2 4 2 2" xfId="11583"/>
    <cellStyle name="Normal 8 2 4 2 2 2" xfId="11584"/>
    <cellStyle name="Normal 8 2 4 2 2 3" xfId="11585"/>
    <cellStyle name="Normal 8 2 4 2 3" xfId="11586"/>
    <cellStyle name="Normal 8 2 4 2 3 2" xfId="11587"/>
    <cellStyle name="Normal 8 2 4 2 3 3" xfId="11588"/>
    <cellStyle name="Normal 8 2 4 2 4" xfId="11589"/>
    <cellStyle name="Normal 8 2 4 2 5" xfId="11590"/>
    <cellStyle name="Normal 8 2 4 3" xfId="11591"/>
    <cellStyle name="Normal 8 2 4 3 2" xfId="11592"/>
    <cellStyle name="Normal 8 2 4 3 3" xfId="11593"/>
    <cellStyle name="Normal 8 2 4 4" xfId="11594"/>
    <cellStyle name="Normal 8 2 4 4 2" xfId="11595"/>
    <cellStyle name="Normal 8 2 4 4 3" xfId="11596"/>
    <cellStyle name="Normal 8 2 4 5" xfId="11597"/>
    <cellStyle name="Normal 8 2 4 6" xfId="11598"/>
    <cellStyle name="Normal 8 2 5" xfId="11599"/>
    <cellStyle name="Normal 8 2 5 2" xfId="11600"/>
    <cellStyle name="Normal 8 2 5 2 2" xfId="11601"/>
    <cellStyle name="Normal 8 2 5 2 3" xfId="11602"/>
    <cellStyle name="Normal 8 2 5 3" xfId="11603"/>
    <cellStyle name="Normal 8 2 5 3 2" xfId="11604"/>
    <cellStyle name="Normal 8 2 5 3 3" xfId="11605"/>
    <cellStyle name="Normal 8 2 5 4" xfId="11606"/>
    <cellStyle name="Normal 8 2 5 5" xfId="11607"/>
    <cellStyle name="Normal 8 2 6" xfId="11608"/>
    <cellStyle name="Normal 8 2 6 2" xfId="11609"/>
    <cellStyle name="Normal 8 2 6 3" xfId="11610"/>
    <cellStyle name="Normal 8 2 7" xfId="11611"/>
    <cellStyle name="Normal 8 2 7 2" xfId="11612"/>
    <cellStyle name="Normal 8 2 7 3" xfId="11613"/>
    <cellStyle name="Normal 8 2 8" xfId="11614"/>
    <cellStyle name="Normal 8 2 9" xfId="11615"/>
    <cellStyle name="Normal 8 3" xfId="11616"/>
    <cellStyle name="Normal 8 3 2" xfId="11617"/>
    <cellStyle name="Normal 8 3 2 2" xfId="11618"/>
    <cellStyle name="Normal 8 3 2 2 2" xfId="11619"/>
    <cellStyle name="Normal 8 3 2 2 2 2" xfId="11620"/>
    <cellStyle name="Normal 8 3 2 2 2 2 2" xfId="11621"/>
    <cellStyle name="Normal 8 3 2 2 2 2 3" xfId="11622"/>
    <cellStyle name="Normal 8 3 2 2 2 3" xfId="11623"/>
    <cellStyle name="Normal 8 3 2 2 2 3 2" xfId="11624"/>
    <cellStyle name="Normal 8 3 2 2 2 3 3" xfId="11625"/>
    <cellStyle name="Normal 8 3 2 2 2 4" xfId="11626"/>
    <cellStyle name="Normal 8 3 2 2 2 5" xfId="11627"/>
    <cellStyle name="Normal 8 3 2 2 3" xfId="11628"/>
    <cellStyle name="Normal 8 3 2 2 3 2" xfId="11629"/>
    <cellStyle name="Normal 8 3 2 2 3 3" xfId="11630"/>
    <cellStyle name="Normal 8 3 2 2 4" xfId="11631"/>
    <cellStyle name="Normal 8 3 2 2 4 2" xfId="11632"/>
    <cellStyle name="Normal 8 3 2 2 4 3" xfId="11633"/>
    <cellStyle name="Normal 8 3 2 2 5" xfId="11634"/>
    <cellStyle name="Normal 8 3 2 2 6" xfId="11635"/>
    <cellStyle name="Normal 8 3 2 3" xfId="11636"/>
    <cellStyle name="Normal 8 3 2 3 2" xfId="11637"/>
    <cellStyle name="Normal 8 3 2 3 2 2" xfId="11638"/>
    <cellStyle name="Normal 8 3 2 3 2 3" xfId="11639"/>
    <cellStyle name="Normal 8 3 2 3 3" xfId="11640"/>
    <cellStyle name="Normal 8 3 2 3 3 2" xfId="11641"/>
    <cellStyle name="Normal 8 3 2 3 3 3" xfId="11642"/>
    <cellStyle name="Normal 8 3 2 3 4" xfId="11643"/>
    <cellStyle name="Normal 8 3 2 3 5" xfId="11644"/>
    <cellStyle name="Normal 8 3 2 4" xfId="11645"/>
    <cellStyle name="Normal 8 3 2 4 2" xfId="11646"/>
    <cellStyle name="Normal 8 3 2 4 3" xfId="11647"/>
    <cellStyle name="Normal 8 3 2 5" xfId="11648"/>
    <cellStyle name="Normal 8 3 2 5 2" xfId="11649"/>
    <cellStyle name="Normal 8 3 2 5 3" xfId="11650"/>
    <cellStyle name="Normal 8 3 2 6" xfId="11651"/>
    <cellStyle name="Normal 8 3 2 7" xfId="11652"/>
    <cellStyle name="Normal 8 3 3" xfId="11653"/>
    <cellStyle name="Normal 8 3 3 2" xfId="11654"/>
    <cellStyle name="Normal 8 3 3 2 2" xfId="11655"/>
    <cellStyle name="Normal 8 3 3 2 2 2" xfId="11656"/>
    <cellStyle name="Normal 8 3 3 2 2 3" xfId="11657"/>
    <cellStyle name="Normal 8 3 3 2 3" xfId="11658"/>
    <cellStyle name="Normal 8 3 3 2 3 2" xfId="11659"/>
    <cellStyle name="Normal 8 3 3 2 3 3" xfId="11660"/>
    <cellStyle name="Normal 8 3 3 2 4" xfId="11661"/>
    <cellStyle name="Normal 8 3 3 2 5" xfId="11662"/>
    <cellStyle name="Normal 8 3 3 3" xfId="11663"/>
    <cellStyle name="Normal 8 3 3 3 2" xfId="11664"/>
    <cellStyle name="Normal 8 3 3 3 3" xfId="11665"/>
    <cellStyle name="Normal 8 3 3 4" xfId="11666"/>
    <cellStyle name="Normal 8 3 3 4 2" xfId="11667"/>
    <cellStyle name="Normal 8 3 3 4 3" xfId="11668"/>
    <cellStyle name="Normal 8 3 3 5" xfId="11669"/>
    <cellStyle name="Normal 8 3 3 6" xfId="11670"/>
    <cellStyle name="Normal 8 3 4" xfId="11671"/>
    <cellStyle name="Normal 8 3 4 2" xfId="11672"/>
    <cellStyle name="Normal 8 3 4 2 2" xfId="11673"/>
    <cellStyle name="Normal 8 3 4 2 3" xfId="11674"/>
    <cellStyle name="Normal 8 3 4 3" xfId="11675"/>
    <cellStyle name="Normal 8 3 4 3 2" xfId="11676"/>
    <cellStyle name="Normal 8 3 4 3 3" xfId="11677"/>
    <cellStyle name="Normal 8 3 4 4" xfId="11678"/>
    <cellStyle name="Normal 8 3 4 5" xfId="11679"/>
    <cellStyle name="Normal 8 3 5" xfId="11680"/>
    <cellStyle name="Normal 8 3 5 2" xfId="11681"/>
    <cellStyle name="Normal 8 3 5 3" xfId="11682"/>
    <cellStyle name="Normal 8 3 6" xfId="11683"/>
    <cellStyle name="Normal 8 3 6 2" xfId="11684"/>
    <cellStyle name="Normal 8 3 6 3" xfId="11685"/>
    <cellStyle name="Normal 8 3 7" xfId="11686"/>
    <cellStyle name="Normal 8 3 8" xfId="11687"/>
    <cellStyle name="Normal 8 4" xfId="11688"/>
    <cellStyle name="Normal 8 4 2" xfId="11689"/>
    <cellStyle name="Normal 8 4 2 2" xfId="11690"/>
    <cellStyle name="Normal 8 4 2 2 2" xfId="11691"/>
    <cellStyle name="Normal 8 4 2 2 2 2" xfId="11692"/>
    <cellStyle name="Normal 8 4 2 2 2 2 2" xfId="11693"/>
    <cellStyle name="Normal 8 4 2 2 2 2 3" xfId="11694"/>
    <cellStyle name="Normal 8 4 2 2 2 3" xfId="11695"/>
    <cellStyle name="Normal 8 4 2 2 2 3 2" xfId="11696"/>
    <cellStyle name="Normal 8 4 2 2 2 3 3" xfId="11697"/>
    <cellStyle name="Normal 8 4 2 2 2 4" xfId="11698"/>
    <cellStyle name="Normal 8 4 2 2 2 5" xfId="11699"/>
    <cellStyle name="Normal 8 4 2 2 3" xfId="11700"/>
    <cellStyle name="Normal 8 4 2 2 3 2" xfId="11701"/>
    <cellStyle name="Normal 8 4 2 2 3 3" xfId="11702"/>
    <cellStyle name="Normal 8 4 2 2 4" xfId="11703"/>
    <cellStyle name="Normal 8 4 2 2 4 2" xfId="11704"/>
    <cellStyle name="Normal 8 4 2 2 4 3" xfId="11705"/>
    <cellStyle name="Normal 8 4 2 2 5" xfId="11706"/>
    <cellStyle name="Normal 8 4 2 2 6" xfId="11707"/>
    <cellStyle name="Normal 8 4 2 3" xfId="11708"/>
    <cellStyle name="Normal 8 4 2 3 2" xfId="11709"/>
    <cellStyle name="Normal 8 4 2 3 2 2" xfId="11710"/>
    <cellStyle name="Normal 8 4 2 3 2 3" xfId="11711"/>
    <cellStyle name="Normal 8 4 2 3 3" xfId="11712"/>
    <cellStyle name="Normal 8 4 2 3 3 2" xfId="11713"/>
    <cellStyle name="Normal 8 4 2 3 3 3" xfId="11714"/>
    <cellStyle name="Normal 8 4 2 3 4" xfId="11715"/>
    <cellStyle name="Normal 8 4 2 3 5" xfId="11716"/>
    <cellStyle name="Normal 8 4 2 4" xfId="11717"/>
    <cellStyle name="Normal 8 4 2 4 2" xfId="11718"/>
    <cellStyle name="Normal 8 4 2 4 3" xfId="11719"/>
    <cellStyle name="Normal 8 4 2 5" xfId="11720"/>
    <cellStyle name="Normal 8 4 2 5 2" xfId="11721"/>
    <cellStyle name="Normal 8 4 2 5 3" xfId="11722"/>
    <cellStyle name="Normal 8 4 2 6" xfId="11723"/>
    <cellStyle name="Normal 8 4 2 7" xfId="11724"/>
    <cellStyle name="Normal 8 4 3" xfId="11725"/>
    <cellStyle name="Normal 8 4 3 2" xfId="11726"/>
    <cellStyle name="Normal 8 4 3 2 2" xfId="11727"/>
    <cellStyle name="Normal 8 4 3 2 2 2" xfId="11728"/>
    <cellStyle name="Normal 8 4 3 2 2 3" xfId="11729"/>
    <cellStyle name="Normal 8 4 3 2 3" xfId="11730"/>
    <cellStyle name="Normal 8 4 3 2 3 2" xfId="11731"/>
    <cellStyle name="Normal 8 4 3 2 3 3" xfId="11732"/>
    <cellStyle name="Normal 8 4 3 2 4" xfId="11733"/>
    <cellStyle name="Normal 8 4 3 2 5" xfId="11734"/>
    <cellStyle name="Normal 8 4 3 3" xfId="11735"/>
    <cellStyle name="Normal 8 4 3 3 2" xfId="11736"/>
    <cellStyle name="Normal 8 4 3 3 3" xfId="11737"/>
    <cellStyle name="Normal 8 4 3 4" xfId="11738"/>
    <cellStyle name="Normal 8 4 3 4 2" xfId="11739"/>
    <cellStyle name="Normal 8 4 3 4 3" xfId="11740"/>
    <cellStyle name="Normal 8 4 3 5" xfId="11741"/>
    <cellStyle name="Normal 8 4 3 6" xfId="11742"/>
    <cellStyle name="Normal 8 4 4" xfId="11743"/>
    <cellStyle name="Normal 8 4 4 2" xfId="11744"/>
    <cellStyle name="Normal 8 4 4 2 2" xfId="11745"/>
    <cellStyle name="Normal 8 4 4 2 3" xfId="11746"/>
    <cellStyle name="Normal 8 4 4 3" xfId="11747"/>
    <cellStyle name="Normal 8 4 4 3 2" xfId="11748"/>
    <cellStyle name="Normal 8 4 4 3 3" xfId="11749"/>
    <cellStyle name="Normal 8 4 4 4" xfId="11750"/>
    <cellStyle name="Normal 8 4 4 5" xfId="11751"/>
    <cellStyle name="Normal 8 4 5" xfId="11752"/>
    <cellStyle name="Normal 8 4 5 2" xfId="11753"/>
    <cellStyle name="Normal 8 4 5 3" xfId="11754"/>
    <cellStyle name="Normal 8 4 6" xfId="11755"/>
    <cellStyle name="Normal 8 4 6 2" xfId="11756"/>
    <cellStyle name="Normal 8 4 6 3" xfId="11757"/>
    <cellStyle name="Normal 8 4 7" xfId="11758"/>
    <cellStyle name="Normal 8 4 8" xfId="11759"/>
    <cellStyle name="Normal 8 5" xfId="11760"/>
    <cellStyle name="Normal 8 5 2" xfId="11761"/>
    <cellStyle name="Normal 8 5 2 2" xfId="11762"/>
    <cellStyle name="Normal 8 5 2 2 2" xfId="11763"/>
    <cellStyle name="Normal 8 5 2 2 2 2" xfId="11764"/>
    <cellStyle name="Normal 8 5 2 2 2 3" xfId="11765"/>
    <cellStyle name="Normal 8 5 2 2 3" xfId="11766"/>
    <cellStyle name="Normal 8 5 2 2 3 2" xfId="11767"/>
    <cellStyle name="Normal 8 5 2 2 3 3" xfId="11768"/>
    <cellStyle name="Normal 8 5 2 2 4" xfId="11769"/>
    <cellStyle name="Normal 8 5 2 2 5" xfId="11770"/>
    <cellStyle name="Normal 8 5 2 3" xfId="11771"/>
    <cellStyle name="Normal 8 5 2 3 2" xfId="11772"/>
    <cellStyle name="Normal 8 5 2 3 3" xfId="11773"/>
    <cellStyle name="Normal 8 5 2 4" xfId="11774"/>
    <cellStyle name="Normal 8 5 2 4 2" xfId="11775"/>
    <cellStyle name="Normal 8 5 2 4 3" xfId="11776"/>
    <cellStyle name="Normal 8 5 2 5" xfId="11777"/>
    <cellStyle name="Normal 8 5 2 6" xfId="11778"/>
    <cellStyle name="Normal 8 5 3" xfId="11779"/>
    <cellStyle name="Normal 8 5 3 2" xfId="11780"/>
    <cellStyle name="Normal 8 5 3 2 2" xfId="11781"/>
    <cellStyle name="Normal 8 5 3 2 3" xfId="11782"/>
    <cellStyle name="Normal 8 5 3 3" xfId="11783"/>
    <cellStyle name="Normal 8 5 3 3 2" xfId="11784"/>
    <cellStyle name="Normal 8 5 3 3 3" xfId="11785"/>
    <cellStyle name="Normal 8 5 3 4" xfId="11786"/>
    <cellStyle name="Normal 8 5 3 5" xfId="11787"/>
    <cellStyle name="Normal 8 5 4" xfId="11788"/>
    <cellStyle name="Normal 8 5 4 2" xfId="11789"/>
    <cellStyle name="Normal 8 5 4 3" xfId="11790"/>
    <cellStyle name="Normal 8 5 5" xfId="11791"/>
    <cellStyle name="Normal 8 5 5 2" xfId="11792"/>
    <cellStyle name="Normal 8 5 5 3" xfId="11793"/>
    <cellStyle name="Normal 8 5 6" xfId="11794"/>
    <cellStyle name="Normal 8 5 7" xfId="11795"/>
    <cellStyle name="Normal 8 6" xfId="11796"/>
    <cellStyle name="Normal 8 6 2" xfId="11797"/>
    <cellStyle name="Normal 8 6 2 2" xfId="11798"/>
    <cellStyle name="Normal 8 6 2 2 2" xfId="11799"/>
    <cellStyle name="Normal 8 6 2 2 3" xfId="11800"/>
    <cellStyle name="Normal 8 6 2 3" xfId="11801"/>
    <cellStyle name="Normal 8 6 2 3 2" xfId="11802"/>
    <cellStyle name="Normal 8 6 2 3 3" xfId="11803"/>
    <cellStyle name="Normal 8 6 2 4" xfId="11804"/>
    <cellStyle name="Normal 8 6 2 5" xfId="11805"/>
    <cellStyle name="Normal 8 6 3" xfId="11806"/>
    <cellStyle name="Normal 8 6 3 2" xfId="11807"/>
    <cellStyle name="Normal 8 6 3 3" xfId="11808"/>
    <cellStyle name="Normal 8 6 4" xfId="11809"/>
    <cellStyle name="Normal 8 6 4 2" xfId="11810"/>
    <cellStyle name="Normal 8 6 4 3" xfId="11811"/>
    <cellStyle name="Normal 8 6 5" xfId="11812"/>
    <cellStyle name="Normal 8 6 6" xfId="11813"/>
    <cellStyle name="Normal 8 7" xfId="11814"/>
    <cellStyle name="Normal 8 7 2" xfId="11815"/>
    <cellStyle name="Normal 8 7 2 2" xfId="11816"/>
    <cellStyle name="Normal 8 7 2 3" xfId="11817"/>
    <cellStyle name="Normal 8 7 3" xfId="11818"/>
    <cellStyle name="Normal 8 7 3 2" xfId="11819"/>
    <cellStyle name="Normal 8 7 3 3" xfId="11820"/>
    <cellStyle name="Normal 8 7 4" xfId="11821"/>
    <cellStyle name="Normal 8 7 5" xfId="11822"/>
    <cellStyle name="Normal 8 8" xfId="11823"/>
    <cellStyle name="Normal 8 8 2" xfId="11824"/>
    <cellStyle name="Normal 8 8 3" xfId="11825"/>
    <cellStyle name="Normal 8 9" xfId="11826"/>
    <cellStyle name="Normal 8 9 2" xfId="11827"/>
    <cellStyle name="Normal 8 9 3" xfId="11828"/>
    <cellStyle name="Normal 8_2180" xfId="11829"/>
    <cellStyle name="Normal 80" xfId="237"/>
    <cellStyle name="Normal 81" xfId="238"/>
    <cellStyle name="Normal 81 2" xfId="11830"/>
    <cellStyle name="Normal 81 2 2" xfId="11831"/>
    <cellStyle name="Normal 81 2 2 2" xfId="11832"/>
    <cellStyle name="Normal 81 2 2 3" xfId="11833"/>
    <cellStyle name="Normal 81 2 3" xfId="11834"/>
    <cellStyle name="Normal 81 2 3 2" xfId="11835"/>
    <cellStyle name="Normal 81 2 3 3" xfId="11836"/>
    <cellStyle name="Normal 81 2 4" xfId="11837"/>
    <cellStyle name="Normal 81 2 5" xfId="11838"/>
    <cellStyle name="Normal 81 3" xfId="11839"/>
    <cellStyle name="Normal 81 3 2" xfId="11840"/>
    <cellStyle name="Normal 81 3 3" xfId="11841"/>
    <cellStyle name="Normal 81 4" xfId="11842"/>
    <cellStyle name="Normal 81 4 2" xfId="11843"/>
    <cellStyle name="Normal 81 4 3" xfId="11844"/>
    <cellStyle name="Normal 81 5" xfId="11845"/>
    <cellStyle name="Normal 81 6" xfId="11846"/>
    <cellStyle name="Normal 82" xfId="239"/>
    <cellStyle name="Normal 82 2" xfId="11847"/>
    <cellStyle name="Normal 82 2 2" xfId="11848"/>
    <cellStyle name="Normal 82 2 2 2" xfId="11849"/>
    <cellStyle name="Normal 82 2 2 3" xfId="11850"/>
    <cellStyle name="Normal 82 2 3" xfId="11851"/>
    <cellStyle name="Normal 82 2 3 2" xfId="11852"/>
    <cellStyle name="Normal 82 2 3 3" xfId="11853"/>
    <cellStyle name="Normal 82 2 4" xfId="11854"/>
    <cellStyle name="Normal 82 2 5" xfId="11855"/>
    <cellStyle name="Normal 82 3" xfId="11856"/>
    <cellStyle name="Normal 82 3 2" xfId="11857"/>
    <cellStyle name="Normal 82 3 3" xfId="11858"/>
    <cellStyle name="Normal 82 4" xfId="11859"/>
    <cellStyle name="Normal 82 4 2" xfId="11860"/>
    <cellStyle name="Normal 82 4 3" xfId="11861"/>
    <cellStyle name="Normal 82 5" xfId="11862"/>
    <cellStyle name="Normal 82 6" xfId="11863"/>
    <cellStyle name="Normal 83" xfId="240"/>
    <cellStyle name="Normal 84" xfId="38"/>
    <cellStyle name="Normal 84 2" xfId="275"/>
    <cellStyle name="Normal 84 2 2" xfId="11864"/>
    <cellStyle name="Normal 84 2 2 2" xfId="11865"/>
    <cellStyle name="Normal 84 2 2 3" xfId="11866"/>
    <cellStyle name="Normal 84 2 3" xfId="11867"/>
    <cellStyle name="Normal 84 2 3 2" xfId="11868"/>
    <cellStyle name="Normal 84 2 3 3" xfId="11869"/>
    <cellStyle name="Normal 84 2 4" xfId="11870"/>
    <cellStyle name="Normal 84 2 5" xfId="11871"/>
    <cellStyle name="Normal 84 3" xfId="347"/>
    <cellStyle name="Normal 84 3 2" xfId="11872"/>
    <cellStyle name="Normal 84 3 3" xfId="11873"/>
    <cellStyle name="Normal 84 4" xfId="11874"/>
    <cellStyle name="Normal 84 4 2" xfId="11875"/>
    <cellStyle name="Normal 84 4 3" xfId="11876"/>
    <cellStyle name="Normal 84 5" xfId="11877"/>
    <cellStyle name="Normal 84 6" xfId="11878"/>
    <cellStyle name="Normal 85" xfId="249"/>
    <cellStyle name="Normal 85 2" xfId="367"/>
    <cellStyle name="Normal 85 2 2" xfId="11879"/>
    <cellStyle name="Normal 85 2 3" xfId="11880"/>
    <cellStyle name="Normal 85 3" xfId="11881"/>
    <cellStyle name="Normal 85 3 2" xfId="11882"/>
    <cellStyle name="Normal 85 3 3" xfId="11883"/>
    <cellStyle name="Normal 85 4" xfId="11884"/>
    <cellStyle name="Normal 85 5" xfId="11885"/>
    <cellStyle name="Normal 86" xfId="267"/>
    <cellStyle name="Normal 86 2" xfId="11886"/>
    <cellStyle name="Normal 86 3" xfId="11887"/>
    <cellStyle name="Normal 87" xfId="268"/>
    <cellStyle name="Normal 87 2" xfId="11888"/>
    <cellStyle name="Normal 88" xfId="269"/>
    <cellStyle name="Normal 88 2" xfId="11889"/>
    <cellStyle name="Normal 89" xfId="270"/>
    <cellStyle name="Normal 9" xfId="241"/>
    <cellStyle name="Normal 9 10" xfId="11890"/>
    <cellStyle name="Normal 9 11" xfId="11891"/>
    <cellStyle name="Normal 9 12" xfId="11892"/>
    <cellStyle name="Normal 9 13" xfId="11893"/>
    <cellStyle name="Normal 9 14" xfId="11894"/>
    <cellStyle name="Normal 9 2" xfId="11895"/>
    <cellStyle name="Normal 9 2 10" xfId="11896"/>
    <cellStyle name="Normal 9 2 11" xfId="11897"/>
    <cellStyle name="Normal 9 2 12" xfId="11898"/>
    <cellStyle name="Normal 9 2 2" xfId="11899"/>
    <cellStyle name="Normal 9 2 2 2" xfId="11900"/>
    <cellStyle name="Normal 9 2 2 2 2" xfId="11901"/>
    <cellStyle name="Normal 9 2 2 2 2 2" xfId="11902"/>
    <cellStyle name="Normal 9 2 2 2 2 2 2" xfId="11903"/>
    <cellStyle name="Normal 9 2 2 2 2 2 2 2" xfId="11904"/>
    <cellStyle name="Normal 9 2 2 2 2 2 2 3" xfId="11905"/>
    <cellStyle name="Normal 9 2 2 2 2 2 3" xfId="11906"/>
    <cellStyle name="Normal 9 2 2 2 2 2 3 2" xfId="11907"/>
    <cellStyle name="Normal 9 2 2 2 2 2 3 3" xfId="11908"/>
    <cellStyle name="Normal 9 2 2 2 2 2 4" xfId="11909"/>
    <cellStyle name="Normal 9 2 2 2 2 2 5" xfId="11910"/>
    <cellStyle name="Normal 9 2 2 2 2 3" xfId="11911"/>
    <cellStyle name="Normal 9 2 2 2 2 3 2" xfId="11912"/>
    <cellStyle name="Normal 9 2 2 2 2 3 3" xfId="11913"/>
    <cellStyle name="Normal 9 2 2 2 2 4" xfId="11914"/>
    <cellStyle name="Normal 9 2 2 2 2 4 2" xfId="11915"/>
    <cellStyle name="Normal 9 2 2 2 2 4 3" xfId="11916"/>
    <cellStyle name="Normal 9 2 2 2 2 5" xfId="11917"/>
    <cellStyle name="Normal 9 2 2 2 2 6" xfId="11918"/>
    <cellStyle name="Normal 9 2 2 2 3" xfId="11919"/>
    <cellStyle name="Normal 9 2 2 2 3 2" xfId="11920"/>
    <cellStyle name="Normal 9 2 2 2 3 2 2" xfId="11921"/>
    <cellStyle name="Normal 9 2 2 2 3 2 3" xfId="11922"/>
    <cellStyle name="Normal 9 2 2 2 3 3" xfId="11923"/>
    <cellStyle name="Normal 9 2 2 2 3 3 2" xfId="11924"/>
    <cellStyle name="Normal 9 2 2 2 3 3 3" xfId="11925"/>
    <cellStyle name="Normal 9 2 2 2 3 4" xfId="11926"/>
    <cellStyle name="Normal 9 2 2 2 3 5" xfId="11927"/>
    <cellStyle name="Normal 9 2 2 2 3 6" xfId="34903"/>
    <cellStyle name="Normal 9 2 2 2 4" xfId="11928"/>
    <cellStyle name="Normal 9 2 2 2 4 2" xfId="11929"/>
    <cellStyle name="Normal 9 2 2 2 4 3" xfId="11930"/>
    <cellStyle name="Normal 9 2 2 2 5" xfId="11931"/>
    <cellStyle name="Normal 9 2 2 2 5 2" xfId="11932"/>
    <cellStyle name="Normal 9 2 2 2 5 3" xfId="11933"/>
    <cellStyle name="Normal 9 2 2 2 6" xfId="11934"/>
    <cellStyle name="Normal 9 2 2 2 7" xfId="11935"/>
    <cellStyle name="Normal 9 2 2 3" xfId="11936"/>
    <cellStyle name="Normal 9 2 2 3 2" xfId="11937"/>
    <cellStyle name="Normal 9 2 2 3 2 2" xfId="11938"/>
    <cellStyle name="Normal 9 2 2 3 2 2 2" xfId="11939"/>
    <cellStyle name="Normal 9 2 2 3 2 2 3" xfId="11940"/>
    <cellStyle name="Normal 9 2 2 3 2 3" xfId="11941"/>
    <cellStyle name="Normal 9 2 2 3 2 3 2" xfId="11942"/>
    <cellStyle name="Normal 9 2 2 3 2 3 3" xfId="11943"/>
    <cellStyle name="Normal 9 2 2 3 2 4" xfId="11944"/>
    <cellStyle name="Normal 9 2 2 3 2 5" xfId="11945"/>
    <cellStyle name="Normal 9 2 2 3 3" xfId="11946"/>
    <cellStyle name="Normal 9 2 2 3 3 2" xfId="11947"/>
    <cellStyle name="Normal 9 2 2 3 3 3" xfId="11948"/>
    <cellStyle name="Normal 9 2 2 3 4" xfId="11949"/>
    <cellStyle name="Normal 9 2 2 3 4 2" xfId="11950"/>
    <cellStyle name="Normal 9 2 2 3 4 3" xfId="11951"/>
    <cellStyle name="Normal 9 2 2 3 5" xfId="11952"/>
    <cellStyle name="Normal 9 2 2 3 6" xfId="11953"/>
    <cellStyle name="Normal 9 2 2 4" xfId="11954"/>
    <cellStyle name="Normal 9 2 2 4 2" xfId="11955"/>
    <cellStyle name="Normal 9 2 2 4 2 2" xfId="11956"/>
    <cellStyle name="Normal 9 2 2 4 2 3" xfId="11957"/>
    <cellStyle name="Normal 9 2 2 4 3" xfId="11958"/>
    <cellStyle name="Normal 9 2 2 4 3 2" xfId="11959"/>
    <cellStyle name="Normal 9 2 2 4 3 3" xfId="11960"/>
    <cellStyle name="Normal 9 2 2 4 4" xfId="11961"/>
    <cellStyle name="Normal 9 2 2 4 5" xfId="11962"/>
    <cellStyle name="Normal 9 2 2 5" xfId="11963"/>
    <cellStyle name="Normal 9 2 2 5 2" xfId="11964"/>
    <cellStyle name="Normal 9 2 2 5 3" xfId="11965"/>
    <cellStyle name="Normal 9 2 2 6" xfId="11966"/>
    <cellStyle name="Normal 9 2 2 6 2" xfId="11967"/>
    <cellStyle name="Normal 9 2 2 6 3" xfId="11968"/>
    <cellStyle name="Normal 9 2 2 7" xfId="11969"/>
    <cellStyle name="Normal 9 2 2 8" xfId="11970"/>
    <cellStyle name="Normal 9 2 3" xfId="11971"/>
    <cellStyle name="Normal 9 2 3 2" xfId="11972"/>
    <cellStyle name="Normal 9 2 3 2 2" xfId="11973"/>
    <cellStyle name="Normal 9 2 3 2 2 2" xfId="11974"/>
    <cellStyle name="Normal 9 2 3 2 2 2 2" xfId="11975"/>
    <cellStyle name="Normal 9 2 3 2 2 2 3" xfId="11976"/>
    <cellStyle name="Normal 9 2 3 2 2 3" xfId="11977"/>
    <cellStyle name="Normal 9 2 3 2 2 3 2" xfId="11978"/>
    <cellStyle name="Normal 9 2 3 2 2 3 3" xfId="11979"/>
    <cellStyle name="Normal 9 2 3 2 2 4" xfId="11980"/>
    <cellStyle name="Normal 9 2 3 2 2 5" xfId="11981"/>
    <cellStyle name="Normal 9 2 3 2 3" xfId="11982"/>
    <cellStyle name="Normal 9 2 3 2 3 2" xfId="11983"/>
    <cellStyle name="Normal 9 2 3 2 3 3" xfId="11984"/>
    <cellStyle name="Normal 9 2 3 2 4" xfId="11985"/>
    <cellStyle name="Normal 9 2 3 2 4 2" xfId="11986"/>
    <cellStyle name="Normal 9 2 3 2 4 3" xfId="11987"/>
    <cellStyle name="Normal 9 2 3 2 5" xfId="11988"/>
    <cellStyle name="Normal 9 2 3 2 6" xfId="11989"/>
    <cellStyle name="Normal 9 2 3 3" xfId="11990"/>
    <cellStyle name="Normal 9 2 3 3 2" xfId="11991"/>
    <cellStyle name="Normal 9 2 3 3 2 2" xfId="11992"/>
    <cellStyle name="Normal 9 2 3 3 2 3" xfId="11993"/>
    <cellStyle name="Normal 9 2 3 3 3" xfId="11994"/>
    <cellStyle name="Normal 9 2 3 3 3 2" xfId="11995"/>
    <cellStyle name="Normal 9 2 3 3 3 3" xfId="11996"/>
    <cellStyle name="Normal 9 2 3 3 4" xfId="11997"/>
    <cellStyle name="Normal 9 2 3 3 5" xfId="11998"/>
    <cellStyle name="Normal 9 2 3 4" xfId="11999"/>
    <cellStyle name="Normal 9 2 3 4 2" xfId="12000"/>
    <cellStyle name="Normal 9 2 3 4 3" xfId="12001"/>
    <cellStyle name="Normal 9 2 3 5" xfId="12002"/>
    <cellStyle name="Normal 9 2 3 5 2" xfId="12003"/>
    <cellStyle name="Normal 9 2 3 5 3" xfId="12004"/>
    <cellStyle name="Normal 9 2 3 6" xfId="12005"/>
    <cellStyle name="Normal 9 2 3 7" xfId="12006"/>
    <cellStyle name="Normal 9 2 4" xfId="12007"/>
    <cellStyle name="Normal 9 2 4 2" xfId="12008"/>
    <cellStyle name="Normal 9 2 4 2 2" xfId="12009"/>
    <cellStyle name="Normal 9 2 4 2 2 2" xfId="12010"/>
    <cellStyle name="Normal 9 2 4 2 2 3" xfId="12011"/>
    <cellStyle name="Normal 9 2 4 2 3" xfId="12012"/>
    <cellStyle name="Normal 9 2 4 2 3 2" xfId="12013"/>
    <cellStyle name="Normal 9 2 4 2 3 3" xfId="12014"/>
    <cellStyle name="Normal 9 2 4 2 4" xfId="12015"/>
    <cellStyle name="Normal 9 2 4 2 5" xfId="12016"/>
    <cellStyle name="Normal 9 2 4 3" xfId="12017"/>
    <cellStyle name="Normal 9 2 4 3 2" xfId="12018"/>
    <cellStyle name="Normal 9 2 4 3 3" xfId="12019"/>
    <cellStyle name="Normal 9 2 4 4" xfId="12020"/>
    <cellStyle name="Normal 9 2 4 4 2" xfId="12021"/>
    <cellStyle name="Normal 9 2 4 4 3" xfId="12022"/>
    <cellStyle name="Normal 9 2 4 5" xfId="12023"/>
    <cellStyle name="Normal 9 2 4 6" xfId="12024"/>
    <cellStyle name="Normal 9 2 5" xfId="12025"/>
    <cellStyle name="Normal 9 2 5 2" xfId="12026"/>
    <cellStyle name="Normal 9 2 5 2 2" xfId="12027"/>
    <cellStyle name="Normal 9 2 5 2 2 2" xfId="12028"/>
    <cellStyle name="Normal 9 2 5 2 2 3" xfId="12029"/>
    <cellStyle name="Normal 9 2 5 2 2 4" xfId="12030"/>
    <cellStyle name="Normal 9 2 5 2 2 5" xfId="12031"/>
    <cellStyle name="Normal 9 2 5 2 3" xfId="12032"/>
    <cellStyle name="Normal 9 2 5 2 3 2" xfId="12033"/>
    <cellStyle name="Normal 9 2 5 2 3 3" xfId="12034"/>
    <cellStyle name="Normal 9 2 5 2 4" xfId="12035"/>
    <cellStyle name="Normal 9 2 5 2 4 2" xfId="12036"/>
    <cellStyle name="Normal 9 2 5 2 4 3" xfId="12037"/>
    <cellStyle name="Normal 9 2 5 2 5" xfId="12038"/>
    <cellStyle name="Normal 9 2 5 2 6" xfId="12039"/>
    <cellStyle name="Normal 9 2 5 3" xfId="12040"/>
    <cellStyle name="Normal 9 2 5 3 2" xfId="12041"/>
    <cellStyle name="Normal 9 2 5 3 2 2" xfId="12042"/>
    <cellStyle name="Normal 9 2 5 3 2 2 2" xfId="12043"/>
    <cellStyle name="Normal 9 2 5 3 2 2 3" xfId="12044"/>
    <cellStyle name="Normal 9 2 5 3 2 3" xfId="12045"/>
    <cellStyle name="Normal 9 2 5 3 2 3 2" xfId="12046"/>
    <cellStyle name="Normal 9 2 5 3 2 3 3" xfId="12047"/>
    <cellStyle name="Normal 9 2 5 3 2 4" xfId="12048"/>
    <cellStyle name="Normal 9 2 5 3 2 5" xfId="12049"/>
    <cellStyle name="Normal 9 2 5 3 3" xfId="12050"/>
    <cellStyle name="Normal 9 2 5 3 3 2" xfId="12051"/>
    <cellStyle name="Normal 9 2 5 3 3 3" xfId="12052"/>
    <cellStyle name="Normal 9 2 5 3 3 4" xfId="12053"/>
    <cellStyle name="Normal 9 2 5 3 3 5" xfId="12054"/>
    <cellStyle name="Normal 9 2 5 3 4" xfId="12055"/>
    <cellStyle name="Normal 9 2 5 3 4 2" xfId="12056"/>
    <cellStyle name="Normal 9 2 5 3 4 3" xfId="12057"/>
    <cellStyle name="Normal 9 2 5 3 5" xfId="12058"/>
    <cellStyle name="Normal 9 2 5 3 5 2" xfId="12059"/>
    <cellStyle name="Normal 9 2 5 3 5 3" xfId="12060"/>
    <cellStyle name="Normal 9 2 5 3 6" xfId="12061"/>
    <cellStyle name="Normal 9 2 5 3 7" xfId="12062"/>
    <cellStyle name="Normal 9 2 5 4" xfId="12063"/>
    <cellStyle name="Normal 9 2 5 4 2" xfId="12064"/>
    <cellStyle name="Normal 9 2 5 4 2 2" xfId="12065"/>
    <cellStyle name="Normal 9 2 5 4 2 3" xfId="12066"/>
    <cellStyle name="Normal 9 2 5 4 3" xfId="12067"/>
    <cellStyle name="Normal 9 2 5 4 3 2" xfId="12068"/>
    <cellStyle name="Normal 9 2 5 4 3 3" xfId="12069"/>
    <cellStyle name="Normal 9 2 5 4 4" xfId="12070"/>
    <cellStyle name="Normal 9 2 5 4 5" xfId="12071"/>
    <cellStyle name="Normal 9 2 5 5" xfId="12072"/>
    <cellStyle name="Normal 9 2 5 5 2" xfId="12073"/>
    <cellStyle name="Normal 9 2 5 5 3" xfId="12074"/>
    <cellStyle name="Normal 9 2 5 5 4" xfId="12075"/>
    <cellStyle name="Normal 9 2 5 5 5" xfId="12076"/>
    <cellStyle name="Normal 9 2 5 6" xfId="12077"/>
    <cellStyle name="Normal 9 2 5 6 2" xfId="12078"/>
    <cellStyle name="Normal 9 2 5 6 3" xfId="12079"/>
    <cellStyle name="Normal 9 2 5 7" xfId="12080"/>
    <cellStyle name="Normal 9 2 5 7 2" xfId="12081"/>
    <cellStyle name="Normal 9 2 5 7 3" xfId="12082"/>
    <cellStyle name="Normal 9 2 5 8" xfId="12083"/>
    <cellStyle name="Normal 9 2 5 9" xfId="12084"/>
    <cellStyle name="Normal 9 2 5_10070" xfId="12085"/>
    <cellStyle name="Normal 9 2 6" xfId="12086"/>
    <cellStyle name="Normal 9 2 6 2" xfId="12087"/>
    <cellStyle name="Normal 9 2 6 3" xfId="12088"/>
    <cellStyle name="Normal 9 2 6 4" xfId="12089"/>
    <cellStyle name="Normal 9 2 6 5" xfId="12090"/>
    <cellStyle name="Normal 9 2 7" xfId="12091"/>
    <cellStyle name="Normal 9 2 7 2" xfId="12092"/>
    <cellStyle name="Normal 9 2 7 3" xfId="12093"/>
    <cellStyle name="Normal 9 2 8" xfId="12094"/>
    <cellStyle name="Normal 9 2 8 2" xfId="12095"/>
    <cellStyle name="Normal 9 2 8 3" xfId="12096"/>
    <cellStyle name="Normal 9 2 9" xfId="12097"/>
    <cellStyle name="Normal 9 3" xfId="12098"/>
    <cellStyle name="Normal 9 3 2" xfId="12099"/>
    <cellStyle name="Normal 9 3 2 2" xfId="12100"/>
    <cellStyle name="Normal 9 3 2 2 2" xfId="12101"/>
    <cellStyle name="Normal 9 3 2 2 2 2" xfId="12102"/>
    <cellStyle name="Normal 9 3 2 2 2 2 2" xfId="12103"/>
    <cellStyle name="Normal 9 3 2 2 2 2 3" xfId="12104"/>
    <cellStyle name="Normal 9 3 2 2 2 3" xfId="12105"/>
    <cellStyle name="Normal 9 3 2 2 2 3 2" xfId="12106"/>
    <cellStyle name="Normal 9 3 2 2 2 3 3" xfId="12107"/>
    <cellStyle name="Normal 9 3 2 2 2 4" xfId="12108"/>
    <cellStyle name="Normal 9 3 2 2 2 5" xfId="12109"/>
    <cellStyle name="Normal 9 3 2 2 3" xfId="12110"/>
    <cellStyle name="Normal 9 3 2 2 3 2" xfId="12111"/>
    <cellStyle name="Normal 9 3 2 2 3 3" xfId="12112"/>
    <cellStyle name="Normal 9 3 2 2 4" xfId="12113"/>
    <cellStyle name="Normal 9 3 2 2 4 2" xfId="12114"/>
    <cellStyle name="Normal 9 3 2 2 4 3" xfId="12115"/>
    <cellStyle name="Normal 9 3 2 2 5" xfId="12116"/>
    <cellStyle name="Normal 9 3 2 2 6" xfId="12117"/>
    <cellStyle name="Normal 9 3 2 3" xfId="12118"/>
    <cellStyle name="Normal 9 3 2 3 2" xfId="12119"/>
    <cellStyle name="Normal 9 3 2 3 2 2" xfId="12120"/>
    <cellStyle name="Normal 9 3 2 3 2 3" xfId="12121"/>
    <cellStyle name="Normal 9 3 2 3 3" xfId="12122"/>
    <cellStyle name="Normal 9 3 2 3 3 2" xfId="12123"/>
    <cellStyle name="Normal 9 3 2 3 3 3" xfId="12124"/>
    <cellStyle name="Normal 9 3 2 3 4" xfId="12125"/>
    <cellStyle name="Normal 9 3 2 3 5" xfId="12126"/>
    <cellStyle name="Normal 9 3 2 4" xfId="12127"/>
    <cellStyle name="Normal 9 3 2 4 2" xfId="12128"/>
    <cellStyle name="Normal 9 3 2 4 3" xfId="12129"/>
    <cellStyle name="Normal 9 3 2 5" xfId="12130"/>
    <cellStyle name="Normal 9 3 2 5 2" xfId="12131"/>
    <cellStyle name="Normal 9 3 2 5 3" xfId="12132"/>
    <cellStyle name="Normal 9 3 2 6" xfId="12133"/>
    <cellStyle name="Normal 9 3 2 7" xfId="12134"/>
    <cellStyle name="Normal 9 3 3" xfId="12135"/>
    <cellStyle name="Normal 9 3 3 2" xfId="12136"/>
    <cellStyle name="Normal 9 3 3 2 2" xfId="12137"/>
    <cellStyle name="Normal 9 3 3 2 2 2" xfId="12138"/>
    <cellStyle name="Normal 9 3 3 2 2 3" xfId="12139"/>
    <cellStyle name="Normal 9 3 3 2 3" xfId="12140"/>
    <cellStyle name="Normal 9 3 3 2 3 2" xfId="12141"/>
    <cellStyle name="Normal 9 3 3 2 3 3" xfId="12142"/>
    <cellStyle name="Normal 9 3 3 2 4" xfId="12143"/>
    <cellStyle name="Normal 9 3 3 2 5" xfId="12144"/>
    <cellStyle name="Normal 9 3 3 3" xfId="12145"/>
    <cellStyle name="Normal 9 3 3 3 2" xfId="12146"/>
    <cellStyle name="Normal 9 3 3 3 3" xfId="12147"/>
    <cellStyle name="Normal 9 3 3 4" xfId="12148"/>
    <cellStyle name="Normal 9 3 3 4 2" xfId="12149"/>
    <cellStyle name="Normal 9 3 3 4 3" xfId="12150"/>
    <cellStyle name="Normal 9 3 3 5" xfId="12151"/>
    <cellStyle name="Normal 9 3 3 6" xfId="12152"/>
    <cellStyle name="Normal 9 3 4" xfId="12153"/>
    <cellStyle name="Normal 9 3 4 2" xfId="12154"/>
    <cellStyle name="Normal 9 3 4 2 2" xfId="12155"/>
    <cellStyle name="Normal 9 3 4 2 3" xfId="12156"/>
    <cellStyle name="Normal 9 3 4 3" xfId="12157"/>
    <cellStyle name="Normal 9 3 4 3 2" xfId="12158"/>
    <cellStyle name="Normal 9 3 4 3 3" xfId="12159"/>
    <cellStyle name="Normal 9 3 4 4" xfId="12160"/>
    <cellStyle name="Normal 9 3 4 5" xfId="12161"/>
    <cellStyle name="Normal 9 3 5" xfId="12162"/>
    <cellStyle name="Normal 9 3 5 2" xfId="12163"/>
    <cellStyle name="Normal 9 3 5 3" xfId="12164"/>
    <cellStyle name="Normal 9 3 6" xfId="12165"/>
    <cellStyle name="Normal 9 3 6 2" xfId="12166"/>
    <cellStyle name="Normal 9 3 6 3" xfId="12167"/>
    <cellStyle name="Normal 9 3 7" xfId="12168"/>
    <cellStyle name="Normal 9 3 8" xfId="12169"/>
    <cellStyle name="Normal 9 4" xfId="12170"/>
    <cellStyle name="Normal 9 4 2" xfId="12171"/>
    <cellStyle name="Normal 9 4 2 2" xfId="12172"/>
    <cellStyle name="Normal 9 4 2 2 2" xfId="12173"/>
    <cellStyle name="Normal 9 4 2 2 2 2" xfId="12174"/>
    <cellStyle name="Normal 9 4 2 2 2 2 2" xfId="12175"/>
    <cellStyle name="Normal 9 4 2 2 2 2 3" xfId="12176"/>
    <cellStyle name="Normal 9 4 2 2 2 3" xfId="12177"/>
    <cellStyle name="Normal 9 4 2 2 2 3 2" xfId="12178"/>
    <cellStyle name="Normal 9 4 2 2 2 3 3" xfId="12179"/>
    <cellStyle name="Normal 9 4 2 2 2 4" xfId="12180"/>
    <cellStyle name="Normal 9 4 2 2 2 5" xfId="12181"/>
    <cellStyle name="Normal 9 4 2 2 3" xfId="12182"/>
    <cellStyle name="Normal 9 4 2 2 3 2" xfId="12183"/>
    <cellStyle name="Normal 9 4 2 2 3 3" xfId="12184"/>
    <cellStyle name="Normal 9 4 2 2 4" xfId="12185"/>
    <cellStyle name="Normal 9 4 2 2 4 2" xfId="12186"/>
    <cellStyle name="Normal 9 4 2 2 4 3" xfId="12187"/>
    <cellStyle name="Normal 9 4 2 2 5" xfId="12188"/>
    <cellStyle name="Normal 9 4 2 2 6" xfId="12189"/>
    <cellStyle name="Normal 9 4 2 3" xfId="12190"/>
    <cellStyle name="Normal 9 4 2 3 2" xfId="12191"/>
    <cellStyle name="Normal 9 4 2 3 2 2" xfId="12192"/>
    <cellStyle name="Normal 9 4 2 3 2 3" xfId="12193"/>
    <cellStyle name="Normal 9 4 2 3 3" xfId="12194"/>
    <cellStyle name="Normal 9 4 2 3 3 2" xfId="12195"/>
    <cellStyle name="Normal 9 4 2 3 3 3" xfId="12196"/>
    <cellStyle name="Normal 9 4 2 3 4" xfId="12197"/>
    <cellStyle name="Normal 9 4 2 3 5" xfId="12198"/>
    <cellStyle name="Normal 9 4 2 4" xfId="12199"/>
    <cellStyle name="Normal 9 4 2 4 2" xfId="12200"/>
    <cellStyle name="Normal 9 4 2 4 3" xfId="12201"/>
    <cellStyle name="Normal 9 4 2 5" xfId="12202"/>
    <cellStyle name="Normal 9 4 2 5 2" xfId="12203"/>
    <cellStyle name="Normal 9 4 2 5 3" xfId="12204"/>
    <cellStyle name="Normal 9 4 2 6" xfId="12205"/>
    <cellStyle name="Normal 9 4 2 7" xfId="12206"/>
    <cellStyle name="Normal 9 4 3" xfId="12207"/>
    <cellStyle name="Normal 9 4 3 2" xfId="12208"/>
    <cellStyle name="Normal 9 4 3 2 2" xfId="12209"/>
    <cellStyle name="Normal 9 4 3 2 2 2" xfId="12210"/>
    <cellStyle name="Normal 9 4 3 2 2 3" xfId="12211"/>
    <cellStyle name="Normal 9 4 3 2 3" xfId="12212"/>
    <cellStyle name="Normal 9 4 3 2 3 2" xfId="12213"/>
    <cellStyle name="Normal 9 4 3 2 3 3" xfId="12214"/>
    <cellStyle name="Normal 9 4 3 2 4" xfId="12215"/>
    <cellStyle name="Normal 9 4 3 2 5" xfId="12216"/>
    <cellStyle name="Normal 9 4 3 3" xfId="12217"/>
    <cellStyle name="Normal 9 4 3 3 2" xfId="12218"/>
    <cellStyle name="Normal 9 4 3 3 3" xfId="12219"/>
    <cellStyle name="Normal 9 4 3 4" xfId="12220"/>
    <cellStyle name="Normal 9 4 3 4 2" xfId="12221"/>
    <cellStyle name="Normal 9 4 3 4 3" xfId="12222"/>
    <cellStyle name="Normal 9 4 3 5" xfId="12223"/>
    <cellStyle name="Normal 9 4 3 6" xfId="12224"/>
    <cellStyle name="Normal 9 4 4" xfId="12225"/>
    <cellStyle name="Normal 9 4 4 2" xfId="12226"/>
    <cellStyle name="Normal 9 4 4 2 2" xfId="12227"/>
    <cellStyle name="Normal 9 4 4 2 3" xfId="12228"/>
    <cellStyle name="Normal 9 4 4 3" xfId="12229"/>
    <cellStyle name="Normal 9 4 4 3 2" xfId="12230"/>
    <cellStyle name="Normal 9 4 4 3 3" xfId="12231"/>
    <cellStyle name="Normal 9 4 4 4" xfId="12232"/>
    <cellStyle name="Normal 9 4 4 5" xfId="12233"/>
    <cellStyle name="Normal 9 4 5" xfId="12234"/>
    <cellStyle name="Normal 9 4 5 2" xfId="12235"/>
    <cellStyle name="Normal 9 4 5 3" xfId="12236"/>
    <cellStyle name="Normal 9 4 6" xfId="12237"/>
    <cellStyle name="Normal 9 4 6 2" xfId="12238"/>
    <cellStyle name="Normal 9 4 6 3" xfId="12239"/>
    <cellStyle name="Normal 9 4 7" xfId="12240"/>
    <cellStyle name="Normal 9 4 8" xfId="12241"/>
    <cellStyle name="Normal 9 5" xfId="12242"/>
    <cellStyle name="Normal 9 5 2" xfId="12243"/>
    <cellStyle name="Normal 9 5 2 2" xfId="12244"/>
    <cellStyle name="Normal 9 5 2 2 2" xfId="12245"/>
    <cellStyle name="Normal 9 5 2 2 2 2" xfId="12246"/>
    <cellStyle name="Normal 9 5 2 2 2 3" xfId="12247"/>
    <cellStyle name="Normal 9 5 2 2 3" xfId="12248"/>
    <cellStyle name="Normal 9 5 2 2 3 2" xfId="12249"/>
    <cellStyle name="Normal 9 5 2 2 3 3" xfId="12250"/>
    <cellStyle name="Normal 9 5 2 2 4" xfId="12251"/>
    <cellStyle name="Normal 9 5 2 2 5" xfId="12252"/>
    <cellStyle name="Normal 9 5 2 3" xfId="12253"/>
    <cellStyle name="Normal 9 5 2 3 2" xfId="12254"/>
    <cellStyle name="Normal 9 5 2 3 3" xfId="12255"/>
    <cellStyle name="Normal 9 5 2 4" xfId="12256"/>
    <cellStyle name="Normal 9 5 2 4 2" xfId="12257"/>
    <cellStyle name="Normal 9 5 2 4 3" xfId="12258"/>
    <cellStyle name="Normal 9 5 2 5" xfId="12259"/>
    <cellStyle name="Normal 9 5 2 6" xfId="12260"/>
    <cellStyle name="Normal 9 5 3" xfId="12261"/>
    <cellStyle name="Normal 9 5 3 2" xfId="12262"/>
    <cellStyle name="Normal 9 5 3 2 2" xfId="12263"/>
    <cellStyle name="Normal 9 5 3 2 2 2" xfId="12264"/>
    <cellStyle name="Normal 9 5 3 2 2 3" xfId="12265"/>
    <cellStyle name="Normal 9 5 3 2 3" xfId="12266"/>
    <cellStyle name="Normal 9 5 3 2 3 2" xfId="12267"/>
    <cellStyle name="Normal 9 5 3 2 3 3" xfId="12268"/>
    <cellStyle name="Normal 9 5 3 2 4" xfId="12269"/>
    <cellStyle name="Normal 9 5 3 2 5" xfId="12270"/>
    <cellStyle name="Normal 9 5 3 3" xfId="12271"/>
    <cellStyle name="Normal 9 5 3 3 2" xfId="12272"/>
    <cellStyle name="Normal 9 5 3 3 3" xfId="12273"/>
    <cellStyle name="Normal 9 5 3 3 4" xfId="12274"/>
    <cellStyle name="Normal 9 5 3 3 5" xfId="12275"/>
    <cellStyle name="Normal 9 5 3 4" xfId="12276"/>
    <cellStyle name="Normal 9 5 3 4 2" xfId="12277"/>
    <cellStyle name="Normal 9 5 3 4 3" xfId="12278"/>
    <cellStyle name="Normal 9 5 3 5" xfId="12279"/>
    <cellStyle name="Normal 9 5 3 5 2" xfId="12280"/>
    <cellStyle name="Normal 9 5 3 5 3" xfId="12281"/>
    <cellStyle name="Normal 9 5 3 6" xfId="12282"/>
    <cellStyle name="Normal 9 5 3 7" xfId="12283"/>
    <cellStyle name="Normal 9 5 4" xfId="12284"/>
    <cellStyle name="Normal 9 5 4 2" xfId="12285"/>
    <cellStyle name="Normal 9 5 4 2 2" xfId="12286"/>
    <cellStyle name="Normal 9 5 4 2 3" xfId="12287"/>
    <cellStyle name="Normal 9 5 4 3" xfId="12288"/>
    <cellStyle name="Normal 9 5 4 3 2" xfId="12289"/>
    <cellStyle name="Normal 9 5 4 3 3" xfId="12290"/>
    <cellStyle name="Normal 9 5 4 4" xfId="12291"/>
    <cellStyle name="Normal 9 5 4 5" xfId="12292"/>
    <cellStyle name="Normal 9 5 5" xfId="12293"/>
    <cellStyle name="Normal 9 5 5 2" xfId="12294"/>
    <cellStyle name="Normal 9 5 5 3" xfId="12295"/>
    <cellStyle name="Normal 9 5 5 4" xfId="12296"/>
    <cellStyle name="Normal 9 5 5 5" xfId="12297"/>
    <cellStyle name="Normal 9 5 6" xfId="12298"/>
    <cellStyle name="Normal 9 5 6 2" xfId="12299"/>
    <cellStyle name="Normal 9 5 6 3" xfId="12300"/>
    <cellStyle name="Normal 9 5 7" xfId="12301"/>
    <cellStyle name="Normal 9 5 7 2" xfId="12302"/>
    <cellStyle name="Normal 9 5 7 3" xfId="12303"/>
    <cellStyle name="Normal 9 5 8" xfId="12304"/>
    <cellStyle name="Normal 9 5 9" xfId="12305"/>
    <cellStyle name="Normal 9 5_10070" xfId="12306"/>
    <cellStyle name="Normal 9 6" xfId="12307"/>
    <cellStyle name="Normal 9 6 2" xfId="12308"/>
    <cellStyle name="Normal 9 6 2 2" xfId="12309"/>
    <cellStyle name="Normal 9 6 2 2 2" xfId="12310"/>
    <cellStyle name="Normal 9 6 2 2 3" xfId="12311"/>
    <cellStyle name="Normal 9 6 2 3" xfId="12312"/>
    <cellStyle name="Normal 9 6 2 3 2" xfId="12313"/>
    <cellStyle name="Normal 9 6 2 3 3" xfId="12314"/>
    <cellStyle name="Normal 9 6 2 4" xfId="12315"/>
    <cellStyle name="Normal 9 6 2 5" xfId="12316"/>
    <cellStyle name="Normal 9 6 3" xfId="12317"/>
    <cellStyle name="Normal 9 6 3 2" xfId="12318"/>
    <cellStyle name="Normal 9 6 3 3" xfId="12319"/>
    <cellStyle name="Normal 9 6 4" xfId="12320"/>
    <cellStyle name="Normal 9 6 4 2" xfId="12321"/>
    <cellStyle name="Normal 9 6 4 3" xfId="12322"/>
    <cellStyle name="Normal 9 6 5" xfId="12323"/>
    <cellStyle name="Normal 9 6 6" xfId="12324"/>
    <cellStyle name="Normal 9 7" xfId="12325"/>
    <cellStyle name="Normal 9 7 2" xfId="12326"/>
    <cellStyle name="Normal 9 7 2 2" xfId="12327"/>
    <cellStyle name="Normal 9 7 2 3" xfId="12328"/>
    <cellStyle name="Normal 9 7 3" xfId="12329"/>
    <cellStyle name="Normal 9 7 3 2" xfId="12330"/>
    <cellStyle name="Normal 9 7 3 3" xfId="12331"/>
    <cellStyle name="Normal 9 7 4" xfId="12332"/>
    <cellStyle name="Normal 9 7 5" xfId="12333"/>
    <cellStyle name="Normal 9 8" xfId="12334"/>
    <cellStyle name="Normal 9 8 2" xfId="12335"/>
    <cellStyle name="Normal 9 8 3" xfId="12336"/>
    <cellStyle name="Normal 9 9" xfId="12337"/>
    <cellStyle name="Normal 9 9 2" xfId="12338"/>
    <cellStyle name="Normal 9 9 3" xfId="12339"/>
    <cellStyle name="Normal 9_2180" xfId="12340"/>
    <cellStyle name="Normal 90" xfId="271"/>
    <cellStyle name="Normal 90 2" xfId="12341"/>
    <cellStyle name="Normal 90 2 2" xfId="12342"/>
    <cellStyle name="Normal 91" xfId="276"/>
    <cellStyle name="Normal 92" xfId="12343"/>
    <cellStyle name="Normal 92 2" xfId="12344"/>
    <cellStyle name="Normal 92 2 2" xfId="12345"/>
    <cellStyle name="Normal 93" xfId="12346"/>
    <cellStyle name="Normal 93 2" xfId="12347"/>
    <cellStyle name="Normal 93 3" xfId="12348"/>
    <cellStyle name="Normal 94" xfId="12349"/>
    <cellStyle name="Normal 94 2" xfId="12350"/>
    <cellStyle name="Normal 94 3" xfId="12351"/>
    <cellStyle name="Normal 95" xfId="12352"/>
    <cellStyle name="Normal 95 2" xfId="12353"/>
    <cellStyle name="Normal 95 3" xfId="12354"/>
    <cellStyle name="Normal 96" xfId="12355"/>
    <cellStyle name="Normal 96 2" xfId="12356"/>
    <cellStyle name="Normal 96 3" xfId="12357"/>
    <cellStyle name="Normal 97" xfId="12358"/>
    <cellStyle name="Normal 97 2" xfId="12359"/>
    <cellStyle name="Normal 97 3" xfId="12360"/>
    <cellStyle name="Normal 98" xfId="12361"/>
    <cellStyle name="Normal 98 2" xfId="12362"/>
    <cellStyle name="Normal 98 2 2" xfId="12363"/>
    <cellStyle name="Normal 99" xfId="12364"/>
    <cellStyle name="Normal 99 2" xfId="12365"/>
    <cellStyle name="Normal 99 3" xfId="12366"/>
    <cellStyle name="Normal 99 4" xfId="12367"/>
    <cellStyle name="Normal_Murrey's Jan-Dec 2012" xfId="296"/>
    <cellStyle name="Normal_Price out" xfId="4"/>
    <cellStyle name="Normal_Regulated Price Out 9-6-2011 Final HL" xfId="37551"/>
    <cellStyle name="Note" xfId="13361" builtinId="10" customBuiltin="1"/>
    <cellStyle name="Note 2" xfId="243"/>
    <cellStyle name="Note 2 10" xfId="37402"/>
    <cellStyle name="Note 2 2" xfId="348"/>
    <cellStyle name="Note 2 2 2" xfId="12368"/>
    <cellStyle name="Note 2 2 2 10" xfId="14159"/>
    <cellStyle name="Note 2 2 2 11" xfId="13417"/>
    <cellStyle name="Note 2 2 2 12" xfId="14174"/>
    <cellStyle name="Note 2 2 2 13" xfId="15794"/>
    <cellStyle name="Note 2 2 2 14" xfId="15564"/>
    <cellStyle name="Note 2 2 2 15" xfId="26268"/>
    <cellStyle name="Note 2 2 2 16" xfId="27746"/>
    <cellStyle name="Note 2 2 2 17" xfId="26806"/>
    <cellStyle name="Note 2 2 2 18" xfId="26019"/>
    <cellStyle name="Note 2 2 2 19" xfId="27382"/>
    <cellStyle name="Note 2 2 2 2" xfId="12369"/>
    <cellStyle name="Note 2 2 2 2 10" xfId="14609"/>
    <cellStyle name="Note 2 2 2 2 11" xfId="26328"/>
    <cellStyle name="Note 2 2 2 2 12" xfId="27722"/>
    <cellStyle name="Note 2 2 2 2 13" xfId="26252"/>
    <cellStyle name="Note 2 2 2 2 14" xfId="26242"/>
    <cellStyle name="Note 2 2 2 2 15" xfId="27480"/>
    <cellStyle name="Note 2 2 2 2 16" xfId="27303"/>
    <cellStyle name="Note 2 2 2 2 17" xfId="26836"/>
    <cellStyle name="Note 2 2 2 2 18" xfId="35023"/>
    <cellStyle name="Note 2 2 2 2 19" xfId="35447"/>
    <cellStyle name="Note 2 2 2 2 2" xfId="14910"/>
    <cellStyle name="Note 2 2 2 2 3" xfId="13738"/>
    <cellStyle name="Note 2 2 2 2 4" xfId="15283"/>
    <cellStyle name="Note 2 2 2 2 5" xfId="15592"/>
    <cellStyle name="Note 2 2 2 2 6" xfId="14645"/>
    <cellStyle name="Note 2 2 2 2 7" xfId="17849"/>
    <cellStyle name="Note 2 2 2 2 8" xfId="18415"/>
    <cellStyle name="Note 2 2 2 2 9" xfId="14509"/>
    <cellStyle name="Note 2 2 2 20" xfId="26892"/>
    <cellStyle name="Note 2 2 2 21" xfId="26948"/>
    <cellStyle name="Note 2 2 2 22" xfId="34971"/>
    <cellStyle name="Note 2 2 2 23" xfId="35352"/>
    <cellStyle name="Note 2 2 2 24" xfId="37501"/>
    <cellStyle name="Note 2 2 2 3" xfId="12370"/>
    <cellStyle name="Note 2 2 2 3 10" xfId="15181"/>
    <cellStyle name="Note 2 2 2 3 11" xfId="26465"/>
    <cellStyle name="Note 2 2 2 3 12" xfId="27072"/>
    <cellStyle name="Note 2 2 2 3 13" xfId="27354"/>
    <cellStyle name="Note 2 2 2 3 14" xfId="27012"/>
    <cellStyle name="Note 2 2 2 3 15" xfId="26023"/>
    <cellStyle name="Note 2 2 2 3 16" xfId="26857"/>
    <cellStyle name="Note 2 2 2 3 17" xfId="27377"/>
    <cellStyle name="Note 2 2 2 3 18" xfId="35148"/>
    <cellStyle name="Note 2 2 2 3 19" xfId="34849"/>
    <cellStyle name="Note 2 2 2 3 2" xfId="14839"/>
    <cellStyle name="Note 2 2 2 3 3" xfId="14067"/>
    <cellStyle name="Note 2 2 2 3 4" xfId="15644"/>
    <cellStyle name="Note 2 2 2 3 5" xfId="13819"/>
    <cellStyle name="Note 2 2 2 3 6" xfId="15234"/>
    <cellStyle name="Note 2 2 2 3 7" xfId="15229"/>
    <cellStyle name="Note 2 2 2 3 8" xfId="14244"/>
    <cellStyle name="Note 2 2 2 3 9" xfId="13672"/>
    <cellStyle name="Note 2 2 2 4" xfId="12371"/>
    <cellStyle name="Note 2 2 2 4 10" xfId="20903"/>
    <cellStyle name="Note 2 2 2 4 11" xfId="26348"/>
    <cellStyle name="Note 2 2 2 4 12" xfId="27146"/>
    <cellStyle name="Note 2 2 2 4 13" xfId="26135"/>
    <cellStyle name="Note 2 2 2 4 14" xfId="27023"/>
    <cellStyle name="Note 2 2 2 4 15" xfId="25929"/>
    <cellStyle name="Note 2 2 2 4 16" xfId="26581"/>
    <cellStyle name="Note 2 2 2 4 17" xfId="29772"/>
    <cellStyle name="Note 2 2 2 4 18" xfId="35042"/>
    <cellStyle name="Note 2 2 2 4 19" xfId="35301"/>
    <cellStyle name="Note 2 2 2 4 2" xfId="14900"/>
    <cellStyle name="Note 2 2 2 4 3" xfId="15071"/>
    <cellStyle name="Note 2 2 2 4 4" xfId="15730"/>
    <cellStyle name="Note 2 2 2 4 5" xfId="13481"/>
    <cellStyle name="Note 2 2 2 4 6" xfId="14691"/>
    <cellStyle name="Note 2 2 2 4 7" xfId="14318"/>
    <cellStyle name="Note 2 2 2 4 8" xfId="13598"/>
    <cellStyle name="Note 2 2 2 4 9" xfId="15302"/>
    <cellStyle name="Note 2 2 2 5" xfId="12372"/>
    <cellStyle name="Note 2 2 2 5 10" xfId="15588"/>
    <cellStyle name="Note 2 2 2 5 11" xfId="26481"/>
    <cellStyle name="Note 2 2 2 5 12" xfId="27061"/>
    <cellStyle name="Note 2 2 2 5 13" xfId="26180"/>
    <cellStyle name="Note 2 2 2 5 14" xfId="27010"/>
    <cellStyle name="Note 2 2 2 5 15" xfId="26830"/>
    <cellStyle name="Note 2 2 2 5 16" xfId="26106"/>
    <cellStyle name="Note 2 2 2 5 17" xfId="26619"/>
    <cellStyle name="Note 2 2 2 5 18" xfId="35164"/>
    <cellStyle name="Note 2 2 2 5 19" xfId="35216"/>
    <cellStyle name="Note 2 2 2 5 2" xfId="14830"/>
    <cellStyle name="Note 2 2 2 5 3" xfId="15213"/>
    <cellStyle name="Note 2 2 2 5 4" xfId="13915"/>
    <cellStyle name="Note 2 2 2 5 5" xfId="15441"/>
    <cellStyle name="Note 2 2 2 5 6" xfId="13841"/>
    <cellStyle name="Note 2 2 2 5 7" xfId="14015"/>
    <cellStyle name="Note 2 2 2 5 8" xfId="14021"/>
    <cellStyle name="Note 2 2 2 5 9" xfId="14081"/>
    <cellStyle name="Note 2 2 2 6" xfId="14943"/>
    <cellStyle name="Note 2 2 2 7" xfId="15186"/>
    <cellStyle name="Note 2 2 2 8" xfId="13678"/>
    <cellStyle name="Note 2 2 2 9" xfId="14460"/>
    <cellStyle name="Note 2 2 3" xfId="12373"/>
    <cellStyle name="Note 2 2 3 10" xfId="14620"/>
    <cellStyle name="Note 2 2 3 11" xfId="15469"/>
    <cellStyle name="Note 2 2 3 12" xfId="21851"/>
    <cellStyle name="Note 2 2 3 13" xfId="14194"/>
    <cellStyle name="Note 2 2 3 14" xfId="13495"/>
    <cellStyle name="Note 2 2 3 15" xfId="26078"/>
    <cellStyle name="Note 2 2 3 16" xfId="27263"/>
    <cellStyle name="Note 2 2 3 17" xfId="28749"/>
    <cellStyle name="Note 2 2 3 18" xfId="27505"/>
    <cellStyle name="Note 2 2 3 19" xfId="25895"/>
    <cellStyle name="Note 2 2 3 2" xfId="12374"/>
    <cellStyle name="Note 2 2 3 2 10" xfId="15501"/>
    <cellStyle name="Note 2 2 3 2 11" xfId="26300"/>
    <cellStyle name="Note 2 2 3 2 12" xfId="27179"/>
    <cellStyle name="Note 2 2 3 2 13" xfId="26813"/>
    <cellStyle name="Note 2 2 3 2 14" xfId="26651"/>
    <cellStyle name="Note 2 2 3 2 15" xfId="27477"/>
    <cellStyle name="Note 2 2 3 2 16" xfId="27619"/>
    <cellStyle name="Note 2 2 3 2 17" xfId="27549"/>
    <cellStyle name="Note 2 2 3 2 18" xfId="34996"/>
    <cellStyle name="Note 2 2 3 2 19" xfId="35458"/>
    <cellStyle name="Note 2 2 3 2 2" xfId="15704"/>
    <cellStyle name="Note 2 2 3 2 3" xfId="13718"/>
    <cellStyle name="Note 2 2 3 2 4" xfId="15540"/>
    <cellStyle name="Note 2 2 3 2 5" xfId="14544"/>
    <cellStyle name="Note 2 2 3 2 6" xfId="14104"/>
    <cellStyle name="Note 2 2 3 2 7" xfId="15077"/>
    <cellStyle name="Note 2 2 3 2 8" xfId="18905"/>
    <cellStyle name="Note 2 2 3 2 9" xfId="14683"/>
    <cellStyle name="Note 2 2 3 20" xfId="25951"/>
    <cellStyle name="Note 2 2 3 21" xfId="29774"/>
    <cellStyle name="Note 2 2 3 22" xfId="34939"/>
    <cellStyle name="Note 2 2 3 23" xfId="34923"/>
    <cellStyle name="Note 2 2 3 3" xfId="12375"/>
    <cellStyle name="Note 2 2 3 3 10" xfId="15599"/>
    <cellStyle name="Note 2 2 3 3 11" xfId="26380"/>
    <cellStyle name="Note 2 2 3 3 12" xfId="27127"/>
    <cellStyle name="Note 2 2 3 3 13" xfId="27526"/>
    <cellStyle name="Note 2 2 3 3 14" xfId="27650"/>
    <cellStyle name="Note 2 2 3 3 15" xfId="27366"/>
    <cellStyle name="Note 2 2 3 3 16" xfId="28787"/>
    <cellStyle name="Note 2 2 3 3 17" xfId="27614"/>
    <cellStyle name="Note 2 2 3 3 18" xfId="35071"/>
    <cellStyle name="Note 2 2 3 3 19" xfId="35429"/>
    <cellStyle name="Note 2 2 3 3 2" xfId="14880"/>
    <cellStyle name="Note 2 2 3 3 3" xfId="13765"/>
    <cellStyle name="Note 2 2 3 3 4" xfId="15532"/>
    <cellStyle name="Note 2 2 3 3 5" xfId="14552"/>
    <cellStyle name="Note 2 2 3 3 6" xfId="15294"/>
    <cellStyle name="Note 2 2 3 3 7" xfId="15816"/>
    <cellStyle name="Note 2 2 3 3 8" xfId="14591"/>
    <cellStyle name="Note 2 2 3 3 9" xfId="18882"/>
    <cellStyle name="Note 2 2 3 4" xfId="12376"/>
    <cellStyle name="Note 2 2 3 4 10" xfId="13445"/>
    <cellStyle name="Note 2 2 3 4 11" xfId="26358"/>
    <cellStyle name="Note 2 2 3 4 12" xfId="26034"/>
    <cellStyle name="Note 2 2 3 4 13" xfId="27522"/>
    <cellStyle name="Note 2 2 3 4 14" xfId="25907"/>
    <cellStyle name="Note 2 2 3 4 15" xfId="26723"/>
    <cellStyle name="Note 2 2 3 4 16" xfId="27211"/>
    <cellStyle name="Note 2 2 3 4 17" xfId="27282"/>
    <cellStyle name="Note 2 2 3 4 18" xfId="35050"/>
    <cellStyle name="Note 2 2 3 4 19" xfId="35291"/>
    <cellStyle name="Note 2 2 3 4 2" xfId="13609"/>
    <cellStyle name="Note 2 2 3 4 3" xfId="14042"/>
    <cellStyle name="Note 2 2 3 4 4" xfId="15645"/>
    <cellStyle name="Note 2 2 3 4 5" xfId="14466"/>
    <cellStyle name="Note 2 2 3 4 6" xfId="14664"/>
    <cellStyle name="Note 2 2 3 4 7" xfId="15516"/>
    <cellStyle name="Note 2 2 3 4 8" xfId="14680"/>
    <cellStyle name="Note 2 2 3 4 9" xfId="14640"/>
    <cellStyle name="Note 2 2 3 5" xfId="12377"/>
    <cellStyle name="Note 2 2 3 5 10" xfId="14682"/>
    <cellStyle name="Note 2 2 3 5 11" xfId="26443"/>
    <cellStyle name="Note 2 2 3 5 12" xfId="27087"/>
    <cellStyle name="Note 2 2 3 5 13" xfId="26161"/>
    <cellStyle name="Note 2 2 3 5 14" xfId="27645"/>
    <cellStyle name="Note 2 2 3 5 15" xfId="27493"/>
    <cellStyle name="Note 2 2 3 5 16" xfId="26936"/>
    <cellStyle name="Note 2 2 3 5 17" xfId="26221"/>
    <cellStyle name="Note 2 2 3 5 18" xfId="35126"/>
    <cellStyle name="Note 2 2 3 5 19" xfId="35406"/>
    <cellStyle name="Note 2 2 3 5 2" xfId="15663"/>
    <cellStyle name="Note 2 2 3 5 3" xfId="13554"/>
    <cellStyle name="Note 2 2 3 5 4" xfId="15020"/>
    <cellStyle name="Note 2 2 3 5 5" xfId="14971"/>
    <cellStyle name="Note 2 2 3 5 6" xfId="14661"/>
    <cellStyle name="Note 2 2 3 5 7" xfId="15311"/>
    <cellStyle name="Note 2 2 3 5 8" xfId="17818"/>
    <cellStyle name="Note 2 2 3 5 9" xfId="15151"/>
    <cellStyle name="Note 2 2 3 6" xfId="13851"/>
    <cellStyle name="Note 2 2 3 7" xfId="14351"/>
    <cellStyle name="Note 2 2 3 8" xfId="15082"/>
    <cellStyle name="Note 2 2 3 9" xfId="15126"/>
    <cellStyle name="Note 2 2 4" xfId="12378"/>
    <cellStyle name="Note 2 2 4 10" xfId="24871"/>
    <cellStyle name="Note 2 2 4 11" xfId="25870"/>
    <cellStyle name="Note 2 2 4 12" xfId="28776"/>
    <cellStyle name="Note 2 2 4 13" xfId="29793"/>
    <cellStyle name="Note 2 2 4 14" xfId="30826"/>
    <cellStyle name="Note 2 2 4 15" xfId="31821"/>
    <cellStyle name="Note 2 2 4 16" xfId="32825"/>
    <cellStyle name="Note 2 2 4 17" xfId="33828"/>
    <cellStyle name="Note 2 2 4 18" xfId="34827"/>
    <cellStyle name="Note 2 2 4 19" xfId="36388"/>
    <cellStyle name="Note 2 2 4 2" xfId="16860"/>
    <cellStyle name="Note 2 2 4 20" xfId="37387"/>
    <cellStyle name="Note 2 2 4 3" xfId="17840"/>
    <cellStyle name="Note 2 2 4 4" xfId="18865"/>
    <cellStyle name="Note 2 2 4 5" xfId="19899"/>
    <cellStyle name="Note 2 2 4 6" xfId="20924"/>
    <cellStyle name="Note 2 2 4 7" xfId="21884"/>
    <cellStyle name="Note 2 2 4 8" xfId="22896"/>
    <cellStyle name="Note 2 2 4 9" xfId="23899"/>
    <cellStyle name="Note 2 2 5" xfId="12379"/>
    <cellStyle name="Note 2 2 5 10" xfId="24870"/>
    <cellStyle name="Note 2 2 5 11" xfId="25869"/>
    <cellStyle name="Note 2 2 5 12" xfId="28775"/>
    <cellStyle name="Note 2 2 5 13" xfId="29792"/>
    <cellStyle name="Note 2 2 5 14" xfId="30825"/>
    <cellStyle name="Note 2 2 5 15" xfId="31820"/>
    <cellStyle name="Note 2 2 5 16" xfId="32824"/>
    <cellStyle name="Note 2 2 5 17" xfId="33827"/>
    <cellStyle name="Note 2 2 5 18" xfId="34826"/>
    <cellStyle name="Note 2 2 5 19" xfId="36387"/>
    <cellStyle name="Note 2 2 5 2" xfId="16859"/>
    <cellStyle name="Note 2 2 5 20" xfId="37386"/>
    <cellStyle name="Note 2 2 5 3" xfId="17839"/>
    <cellStyle name="Note 2 2 5 4" xfId="18864"/>
    <cellStyle name="Note 2 2 5 5" xfId="19898"/>
    <cellStyle name="Note 2 2 5 6" xfId="20923"/>
    <cellStyle name="Note 2 2 5 7" xfId="21883"/>
    <cellStyle name="Note 2 2 5 8" xfId="22895"/>
    <cellStyle name="Note 2 2 5 9" xfId="23898"/>
    <cellStyle name="Note 2 2 6" xfId="37449"/>
    <cellStyle name="Note 2 3" xfId="12380"/>
    <cellStyle name="Note 2 3 10" xfId="27789"/>
    <cellStyle name="Note 2 3 11" xfId="26243"/>
    <cellStyle name="Note 2 3 12" xfId="27324"/>
    <cellStyle name="Note 2 3 13" xfId="29776"/>
    <cellStyle name="Note 2 3 14" xfId="26858"/>
    <cellStyle name="Note 2 3 15" xfId="34906"/>
    <cellStyle name="Note 2 3 16" xfId="34970"/>
    <cellStyle name="Note 2 3 17" xfId="37502"/>
    <cellStyle name="Note 2 3 2" xfId="12381"/>
    <cellStyle name="Note 2 3 2 10" xfId="17858"/>
    <cellStyle name="Note 2 3 2 11" xfId="14678"/>
    <cellStyle name="Note 2 3 2 12" xfId="15260"/>
    <cellStyle name="Note 2 3 2 13" xfId="15511"/>
    <cellStyle name="Note 2 3 2 14" xfId="18884"/>
    <cellStyle name="Note 2 3 2 15" xfId="26097"/>
    <cellStyle name="Note 2 3 2 16" xfId="27774"/>
    <cellStyle name="Note 2 3 2 17" xfId="28755"/>
    <cellStyle name="Note 2 3 2 18" xfId="26131"/>
    <cellStyle name="Note 2 3 2 19" xfId="26959"/>
    <cellStyle name="Note 2 3 2 2" xfId="12382"/>
    <cellStyle name="Note 2 3 2 2 10" xfId="13451"/>
    <cellStyle name="Note 2 3 2 2 11" xfId="26317"/>
    <cellStyle name="Note 2 3 2 2 12" xfId="27168"/>
    <cellStyle name="Note 2 3 2 2 13" xfId="27518"/>
    <cellStyle name="Note 2 3 2 2 14" xfId="26649"/>
    <cellStyle name="Note 2 3 2 2 15" xfId="26756"/>
    <cellStyle name="Note 2 3 2 2 16" xfId="26888"/>
    <cellStyle name="Note 2 3 2 2 17" xfId="26616"/>
    <cellStyle name="Note 2 3 2 2 18" xfId="35013"/>
    <cellStyle name="Note 2 3 2 2 19" xfId="35452"/>
    <cellStyle name="Note 2 3 2 2 2" xfId="15701"/>
    <cellStyle name="Note 2 3 2 2 3" xfId="13728"/>
    <cellStyle name="Note 2 3 2 2 4" xfId="14193"/>
    <cellStyle name="Note 2 3 2 2 5" xfId="15591"/>
    <cellStyle name="Note 2 3 2 2 6" xfId="15324"/>
    <cellStyle name="Note 2 3 2 2 7" xfId="15145"/>
    <cellStyle name="Note 2 3 2 2 8" xfId="15628"/>
    <cellStyle name="Note 2 3 2 2 9" xfId="15216"/>
    <cellStyle name="Note 2 3 2 20" xfId="27602"/>
    <cellStyle name="Note 2 3 2 21" xfId="27220"/>
    <cellStyle name="Note 2 3 2 22" xfId="34956"/>
    <cellStyle name="Note 2 3 2 23" xfId="35471"/>
    <cellStyle name="Note 2 3 2 3" xfId="12383"/>
    <cellStyle name="Note 2 3 2 3 10" xfId="15089"/>
    <cellStyle name="Note 2 3 2 3 11" xfId="26397"/>
    <cellStyle name="Note 2 3 2 3 12" xfId="27700"/>
    <cellStyle name="Note 2 3 2 3 13" xfId="26144"/>
    <cellStyle name="Note 2 3 2 3 14" xfId="27452"/>
    <cellStyle name="Note 2 3 2 3 15" xfId="26548"/>
    <cellStyle name="Note 2 3 2 3 16" xfId="26698"/>
    <cellStyle name="Note 2 3 2 3 17" xfId="26840"/>
    <cellStyle name="Note 2 3 2 3 18" xfId="35088"/>
    <cellStyle name="Note 2 3 2 3 19" xfId="35423"/>
    <cellStyle name="Note 2 3 2 3 2" xfId="15677"/>
    <cellStyle name="Note 2 3 2 3 3" xfId="15411"/>
    <cellStyle name="Note 2 3 2 3 4" xfId="14183"/>
    <cellStyle name="Note 2 3 2 3 5" xfId="15817"/>
    <cellStyle name="Note 2 3 2 3 6" xfId="14759"/>
    <cellStyle name="Note 2 3 2 3 7" xfId="13617"/>
    <cellStyle name="Note 2 3 2 3 8" xfId="14606"/>
    <cellStyle name="Note 2 3 2 3 9" xfId="18914"/>
    <cellStyle name="Note 2 3 2 4" xfId="12384"/>
    <cellStyle name="Note 2 3 2 4 10" xfId="14128"/>
    <cellStyle name="Note 2 3 2 4 11" xfId="26413"/>
    <cellStyle name="Note 2 3 2 4 12" xfId="27104"/>
    <cellStyle name="Note 2 3 2 4 13" xfId="26151"/>
    <cellStyle name="Note 2 3 2 4 14" xfId="25950"/>
    <cellStyle name="Note 2 3 2 4 15" xfId="26777"/>
    <cellStyle name="Note 2 3 2 4 16" xfId="26881"/>
    <cellStyle name="Note 2 3 2 4 17" xfId="26875"/>
    <cellStyle name="Note 2 3 2 4 18" xfId="35103"/>
    <cellStyle name="Note 2 3 2 4 19" xfId="35259"/>
    <cellStyle name="Note 2 3 2 4 2" xfId="14862"/>
    <cellStyle name="Note 2 3 2 4 3" xfId="13778"/>
    <cellStyle name="Note 2 3 2 4 4" xfId="15529"/>
    <cellStyle name="Note 2 3 2 4 5" xfId="14138"/>
    <cellStyle name="Note 2 3 2 4 6" xfId="13921"/>
    <cellStyle name="Note 2 3 2 4 7" xfId="13580"/>
    <cellStyle name="Note 2 3 2 4 8" xfId="13998"/>
    <cellStyle name="Note 2 3 2 4 9" xfId="14151"/>
    <cellStyle name="Note 2 3 2 5" xfId="12385"/>
    <cellStyle name="Note 2 3 2 5 10" xfId="15737"/>
    <cellStyle name="Note 2 3 2 5 11" xfId="26436"/>
    <cellStyle name="Note 2 3 2 5 12" xfId="27092"/>
    <cellStyle name="Note 2 3 2 5 13" xfId="26157"/>
    <cellStyle name="Note 2 3 2 5 14" xfId="27015"/>
    <cellStyle name="Note 2 3 2 5 15" xfId="27349"/>
    <cellStyle name="Note 2 3 2 5 16" xfId="27312"/>
    <cellStyle name="Note 2 3 2 5 17" xfId="27536"/>
    <cellStyle name="Note 2 3 2 5 18" xfId="35120"/>
    <cellStyle name="Note 2 3 2 5 19" xfId="35409"/>
    <cellStyle name="Note 2 3 2 5 2" xfId="15665"/>
    <cellStyle name="Note 2 3 2 5 3" xfId="13550"/>
    <cellStyle name="Note 2 3 2 5 4" xfId="15276"/>
    <cellStyle name="Note 2 3 2 5 5" xfId="14739"/>
    <cellStyle name="Note 2 3 2 5 6" xfId="15768"/>
    <cellStyle name="Note 2 3 2 5 7" xfId="15223"/>
    <cellStyle name="Note 2 3 2 5 8" xfId="13687"/>
    <cellStyle name="Note 2 3 2 5 9" xfId="13449"/>
    <cellStyle name="Note 2 3 2 6" xfId="13839"/>
    <cellStyle name="Note 2 3 2 7" xfId="15849"/>
    <cellStyle name="Note 2 3 2 8" xfId="14317"/>
    <cellStyle name="Note 2 3 2 9" xfId="17854"/>
    <cellStyle name="Note 2 3 3" xfId="12386"/>
    <cellStyle name="Note 2 3 3 10" xfId="19883"/>
    <cellStyle name="Note 2 3 3 11" xfId="14505"/>
    <cellStyle name="Note 2 3 3 12" xfId="26522"/>
    <cellStyle name="Note 2 3 3 13" xfId="27661"/>
    <cellStyle name="Note 2 3 3 14" xfId="26201"/>
    <cellStyle name="Note 2 3 3 15" xfId="27225"/>
    <cellStyle name="Note 2 3 3 16" xfId="26004"/>
    <cellStyle name="Note 2 3 3 17" xfId="27417"/>
    <cellStyle name="Note 2 3 3 18" xfId="26002"/>
    <cellStyle name="Note 2 3 3 19" xfId="35187"/>
    <cellStyle name="Note 2 3 3 2" xfId="13968"/>
    <cellStyle name="Note 2 3 3 20" xfId="35203"/>
    <cellStyle name="Note 2 3 3 3" xfId="14806"/>
    <cellStyle name="Note 2 3 3 4" xfId="15217"/>
    <cellStyle name="Note 2 3 3 5" xfId="13600"/>
    <cellStyle name="Note 2 3 3 6" xfId="15153"/>
    <cellStyle name="Note 2 3 3 7" xfId="15290"/>
    <cellStyle name="Note 2 3 3 8" xfId="14127"/>
    <cellStyle name="Note 2 3 3 9" xfId="16840"/>
    <cellStyle name="Note 2 3 4" xfId="14310"/>
    <cellStyle name="Note 2 3 5" xfId="15358"/>
    <cellStyle name="Note 2 3 6" xfId="13506"/>
    <cellStyle name="Note 2 3 7" xfId="13569"/>
    <cellStyle name="Note 2 3 8" xfId="15184"/>
    <cellStyle name="Note 2 3 9" xfId="26055"/>
    <cellStyle name="Note 2 4" xfId="12387"/>
    <cellStyle name="Note 2 4 10" xfId="27273"/>
    <cellStyle name="Note 2 4 11" xfId="25917"/>
    <cellStyle name="Note 2 4 12" xfId="26717"/>
    <cellStyle name="Note 2 4 13" xfId="26955"/>
    <cellStyle name="Note 2 4 14" xfId="26861"/>
    <cellStyle name="Note 2 4 15" xfId="34907"/>
    <cellStyle name="Note 2 4 16" xfId="34927"/>
    <cellStyle name="Note 2 4 17" xfId="37503"/>
    <cellStyle name="Note 2 4 2" xfId="12388"/>
    <cellStyle name="Note 2 4 2 10" xfId="13784"/>
    <cellStyle name="Note 2 4 2 11" xfId="13643"/>
    <cellStyle name="Note 2 4 2 12" xfId="13523"/>
    <cellStyle name="Note 2 4 2 13" xfId="14175"/>
    <cellStyle name="Note 2 4 2 14" xfId="21890"/>
    <cellStyle name="Note 2 4 2 15" xfId="26098"/>
    <cellStyle name="Note 2 4 2 16" xfId="27255"/>
    <cellStyle name="Note 2 4 2 17" xfId="27755"/>
    <cellStyle name="Note 2 4 2 18" xfId="27247"/>
    <cellStyle name="Note 2 4 2 19" xfId="26926"/>
    <cellStyle name="Note 2 4 2 2" xfId="12389"/>
    <cellStyle name="Note 2 4 2 2 10" xfId="14578"/>
    <cellStyle name="Note 2 4 2 2 11" xfId="26318"/>
    <cellStyle name="Note 2 4 2 2 12" xfId="27727"/>
    <cellStyle name="Note 2 4 2 2 13" xfId="26116"/>
    <cellStyle name="Note 2 4 2 2 14" xfId="26713"/>
    <cellStyle name="Note 2 4 2 2 15" xfId="26757"/>
    <cellStyle name="Note 2 4 2 2 16" xfId="27757"/>
    <cellStyle name="Note 2 4 2 2 17" xfId="26213"/>
    <cellStyle name="Note 2 4 2 2 18" xfId="35014"/>
    <cellStyle name="Note 2 4 2 2 19" xfId="35322"/>
    <cellStyle name="Note 2 4 2 2 2" xfId="14918"/>
    <cellStyle name="Note 2 4 2 2 3" xfId="13729"/>
    <cellStyle name="Note 2 4 2 2 4" xfId="14631"/>
    <cellStyle name="Note 2 4 2 2 5" xfId="13632"/>
    <cellStyle name="Note 2 4 2 2 6" xfId="14779"/>
    <cellStyle name="Note 2 4 2 2 7" xfId="15495"/>
    <cellStyle name="Note 2 4 2 2 8" xfId="14610"/>
    <cellStyle name="Note 2 4 2 2 9" xfId="18885"/>
    <cellStyle name="Note 2 4 2 20" xfId="27457"/>
    <cellStyle name="Note 2 4 2 21" xfId="26686"/>
    <cellStyle name="Note 2 4 2 22" xfId="34957"/>
    <cellStyle name="Note 2 4 2 23" xfId="35361"/>
    <cellStyle name="Note 2 4 2 3" xfId="12390"/>
    <cellStyle name="Note 2 4 2 3 10" xfId="15265"/>
    <cellStyle name="Note 2 4 2 3 11" xfId="26398"/>
    <cellStyle name="Note 2 4 2 3 12" xfId="27116"/>
    <cellStyle name="Note 2 4 2 3 13" xfId="26145"/>
    <cellStyle name="Note 2 4 2 3 14" xfId="27579"/>
    <cellStyle name="Note 2 4 2 3 15" xfId="26577"/>
    <cellStyle name="Note 2 4 2 3 16" xfId="26596"/>
    <cellStyle name="Note 2 4 2 3 17" xfId="27322"/>
    <cellStyle name="Note 2 4 2 3 18" xfId="35089"/>
    <cellStyle name="Note 2 4 2 3 19" xfId="35271"/>
    <cellStyle name="Note 2 4 2 3 2" xfId="14871"/>
    <cellStyle name="Note 2 4 2 3 3" xfId="15203"/>
    <cellStyle name="Note 2 4 2 3 4" xfId="14296"/>
    <cellStyle name="Note 2 4 2 3 5" xfId="14087"/>
    <cellStyle name="Note 2 4 2 3 6" xfId="15451"/>
    <cellStyle name="Note 2 4 2 3 7" xfId="15054"/>
    <cellStyle name="Note 2 4 2 3 8" xfId="17856"/>
    <cellStyle name="Note 2 4 2 3 9" xfId="14199"/>
    <cellStyle name="Note 2 4 2 4" xfId="12391"/>
    <cellStyle name="Note 2 4 2 4 10" xfId="13616"/>
    <cellStyle name="Note 2 4 2 4 11" xfId="26414"/>
    <cellStyle name="Note 2 4 2 4 12" xfId="27103"/>
    <cellStyle name="Note 2 4 2 4 13" xfId="25940"/>
    <cellStyle name="Note 2 4 2 4 14" xfId="26707"/>
    <cellStyle name="Note 2 4 2 4 15" xfId="27491"/>
    <cellStyle name="Note 2 4 2 4 16" xfId="29807"/>
    <cellStyle name="Note 2 4 2 4 17" xfId="27214"/>
    <cellStyle name="Note 2 4 2 4 18" xfId="35104"/>
    <cellStyle name="Note 2 4 2 4 19" xfId="35258"/>
    <cellStyle name="Note 2 4 2 4 2" xfId="14861"/>
    <cellStyle name="Note 2 4 2 4 3" xfId="14425"/>
    <cellStyle name="Note 2 4 2 4 4" xfId="15277"/>
    <cellStyle name="Note 2 4 2 4 5" xfId="14736"/>
    <cellStyle name="Note 2 4 2 4 6" xfId="13897"/>
    <cellStyle name="Note 2 4 2 4 7" xfId="15461"/>
    <cellStyle name="Note 2 4 2 4 8" xfId="14846"/>
    <cellStyle name="Note 2 4 2 4 9" xfId="14097"/>
    <cellStyle name="Note 2 4 2 5" xfId="12392"/>
    <cellStyle name="Note 2 4 2 5 10" xfId="15738"/>
    <cellStyle name="Note 2 4 2 5 11" xfId="26435"/>
    <cellStyle name="Note 2 4 2 5 12" xfId="27093"/>
    <cellStyle name="Note 2 4 2 5 13" xfId="27530"/>
    <cellStyle name="Note 2 4 2 5 14" xfId="27233"/>
    <cellStyle name="Note 2 4 2 5 15" xfId="27836"/>
    <cellStyle name="Note 2 4 2 5 16" xfId="26661"/>
    <cellStyle name="Note 2 4 2 5 17" xfId="26841"/>
    <cellStyle name="Note 2 4 2 5 18" xfId="35119"/>
    <cellStyle name="Note 2 4 2 5 19" xfId="35248"/>
    <cellStyle name="Note 2 4 2 5 2" xfId="14850"/>
    <cellStyle name="Note 2 4 2 5 3" xfId="13942"/>
    <cellStyle name="Note 2 4 2 5 4" xfId="14616"/>
    <cellStyle name="Note 2 4 2 5 5" xfId="15494"/>
    <cellStyle name="Note 2 4 2 5 6" xfId="15293"/>
    <cellStyle name="Note 2 4 2 5 7" xfId="13863"/>
    <cellStyle name="Note 2 4 2 5 8" xfId="14325"/>
    <cellStyle name="Note 2 4 2 5 9" xfId="14581"/>
    <cellStyle name="Note 2 4 2 6" xfId="15787"/>
    <cellStyle name="Note 2 4 2 7" xfId="14969"/>
    <cellStyle name="Note 2 4 2 8" xfId="13683"/>
    <cellStyle name="Note 2 4 2 9" xfId="15288"/>
    <cellStyle name="Note 2 4 3" xfId="12393"/>
    <cellStyle name="Note 2 4 3 10" xfId="15841"/>
    <cellStyle name="Note 2 4 3 11" xfId="14709"/>
    <cellStyle name="Note 2 4 3 12" xfId="26523"/>
    <cellStyle name="Note 2 4 3 13" xfId="27039"/>
    <cellStyle name="Note 2 4 3 14" xfId="26202"/>
    <cellStyle name="Note 2 4 3 15" xfId="27758"/>
    <cellStyle name="Note 2 4 3 16" xfId="26011"/>
    <cellStyle name="Note 2 4 3 17" xfId="27308"/>
    <cellStyle name="Note 2 4 3 18" xfId="26748"/>
    <cellStyle name="Note 2 4 3 19" xfId="35188"/>
    <cellStyle name="Note 2 4 3 2" xfId="13969"/>
    <cellStyle name="Note 2 4 3 20" xfId="35202"/>
    <cellStyle name="Note 2 4 3 3" xfId="14805"/>
    <cellStyle name="Note 2 4 3 4" xfId="15428"/>
    <cellStyle name="Note 2 4 3 5" xfId="15748"/>
    <cellStyle name="Note 2 4 3 6" xfId="14398"/>
    <cellStyle name="Note 2 4 3 7" xfId="15633"/>
    <cellStyle name="Note 2 4 3 8" xfId="14074"/>
    <cellStyle name="Note 2 4 3 9" xfId="14989"/>
    <cellStyle name="Note 2 4 4" xfId="14375"/>
    <cellStyle name="Note 2 4 5" xfId="15780"/>
    <cellStyle name="Note 2 4 6" xfId="14122"/>
    <cellStyle name="Note 2 4 7" xfId="15789"/>
    <cellStyle name="Note 2 4 8" xfId="19878"/>
    <cellStyle name="Note 2 4 9" xfId="26056"/>
    <cellStyle name="Note 2 5" xfId="12394"/>
    <cellStyle name="Note 2 5 10" xfId="13589"/>
    <cellStyle name="Note 2 5 11" xfId="15472"/>
    <cellStyle name="Note 2 5 12" xfId="21850"/>
    <cellStyle name="Note 2 5 13" xfId="13802"/>
    <cellStyle name="Note 2 5 14" xfId="15774"/>
    <cellStyle name="Note 2 5 15" xfId="26077"/>
    <cellStyle name="Note 2 5 16" xfId="27782"/>
    <cellStyle name="Note 2 5 17" xfId="26431"/>
    <cellStyle name="Note 2 5 18" xfId="26567"/>
    <cellStyle name="Note 2 5 19" xfId="27466"/>
    <cellStyle name="Note 2 5 2" xfId="12395"/>
    <cellStyle name="Note 2 5 2 10" xfId="14130"/>
    <cellStyle name="Note 2 5 2 11" xfId="26299"/>
    <cellStyle name="Note 2 5 2 12" xfId="27180"/>
    <cellStyle name="Note 2 5 2 13" xfId="26812"/>
    <cellStyle name="Note 2 5 2 14" xfId="27654"/>
    <cellStyle name="Note 2 5 2 15" xfId="26753"/>
    <cellStyle name="Note 2 5 2 16" xfId="27566"/>
    <cellStyle name="Note 2 5 2 17" xfId="27537"/>
    <cellStyle name="Note 2 5 2 18" xfId="34995"/>
    <cellStyle name="Note 2 5 2 19" xfId="35334"/>
    <cellStyle name="Note 2 5 2 2" xfId="14926"/>
    <cellStyle name="Note 2 5 2 3" xfId="13717"/>
    <cellStyle name="Note 2 5 2 4" xfId="14633"/>
    <cellStyle name="Note 2 5 2 5" xfId="14543"/>
    <cellStyle name="Note 2 5 2 6" xfId="14343"/>
    <cellStyle name="Note 2 5 2 7" xfId="14712"/>
    <cellStyle name="Note 2 5 2 8" xfId="14579"/>
    <cellStyle name="Note 2 5 2 9" xfId="13596"/>
    <cellStyle name="Note 2 5 20" xfId="27411"/>
    <cellStyle name="Note 2 5 21" xfId="30834"/>
    <cellStyle name="Note 2 5 22" xfId="34938"/>
    <cellStyle name="Note 2 5 23" xfId="34924"/>
    <cellStyle name="Note 2 5 3" xfId="12396"/>
    <cellStyle name="Note 2 5 3 10" xfId="14604"/>
    <cellStyle name="Note 2 5 3 11" xfId="26379"/>
    <cellStyle name="Note 2 5 3 12" xfId="27706"/>
    <cellStyle name="Note 2 5 3 13" xfId="26825"/>
    <cellStyle name="Note 2 5 3 14" xfId="25986"/>
    <cellStyle name="Note 2 5 3 15" xfId="25876"/>
    <cellStyle name="Note 2 5 3 16" xfId="27618"/>
    <cellStyle name="Note 2 5 3 17" xfId="27213"/>
    <cellStyle name="Note 2 5 3 18" xfId="35070"/>
    <cellStyle name="Note 2 5 3 19" xfId="35283"/>
    <cellStyle name="Note 2 5 3 2" xfId="15680"/>
    <cellStyle name="Note 2 5 3 3" xfId="14048"/>
    <cellStyle name="Note 2 5 3 4" xfId="14783"/>
    <cellStyle name="Note 2 5 3 5" xfId="13813"/>
    <cellStyle name="Note 2 5 3 6" xfId="14498"/>
    <cellStyle name="Note 2 5 3 7" xfId="13527"/>
    <cellStyle name="Note 2 5 3 8" xfId="14977"/>
    <cellStyle name="Note 2 5 3 9" xfId="15500"/>
    <cellStyle name="Note 2 5 4" xfId="12397"/>
    <cellStyle name="Note 2 5 4 10" xfId="14566"/>
    <cellStyle name="Note 2 5 4 11" xfId="26357"/>
    <cellStyle name="Note 2 5 4 12" xfId="25903"/>
    <cellStyle name="Note 2 5 4 13" xfId="25970"/>
    <cellStyle name="Note 2 5 4 14" xfId="27413"/>
    <cellStyle name="Note 2 5 4 15" xfId="25995"/>
    <cellStyle name="Note 2 5 4 16" xfId="26670"/>
    <cellStyle name="Note 2 5 4 17" xfId="26701"/>
    <cellStyle name="Note 2 5 4 18" xfId="35049"/>
    <cellStyle name="Note 2 5 4 19" xfId="35292"/>
    <cellStyle name="Note 2 5 4 2" xfId="13610"/>
    <cellStyle name="Note 2 5 4 3" xfId="13754"/>
    <cellStyle name="Note 2 5 4 4" xfId="15534"/>
    <cellStyle name="Note 2 5 4 5" xfId="14549"/>
    <cellStyle name="Note 2 5 4 6" xfId="15562"/>
    <cellStyle name="Note 2 5 4 7" xfId="15514"/>
    <cellStyle name="Note 2 5 4 8" xfId="13997"/>
    <cellStyle name="Note 2 5 4 9" xfId="15481"/>
    <cellStyle name="Note 2 5 5" xfId="12398"/>
    <cellStyle name="Note 2 5 5 10" xfId="14235"/>
    <cellStyle name="Note 2 5 5 11" xfId="26365"/>
    <cellStyle name="Note 2 5 5 12" xfId="25900"/>
    <cellStyle name="Note 2 5 5 13" xfId="26823"/>
    <cellStyle name="Note 2 5 5 14" xfId="26643"/>
    <cellStyle name="Note 2 5 5 15" xfId="26188"/>
    <cellStyle name="Note 2 5 5 16" xfId="26999"/>
    <cellStyle name="Note 2 5 5 17" xfId="26609"/>
    <cellStyle name="Note 2 5 5 18" xfId="35057"/>
    <cellStyle name="Note 2 5 5 19" xfId="34841"/>
    <cellStyle name="Note 2 5 5 2" xfId="14888"/>
    <cellStyle name="Note 2 5 5 3" xfId="14044"/>
    <cellStyle name="Note 2 5 5 4" xfId="15625"/>
    <cellStyle name="Note 2 5 5 5" xfId="15435"/>
    <cellStyle name="Note 2 5 5 6" xfId="15776"/>
    <cellStyle name="Note 2 5 5 7" xfId="13501"/>
    <cellStyle name="Note 2 5 5 8" xfId="15600"/>
    <cellStyle name="Note 2 5 5 9" xfId="14270"/>
    <cellStyle name="Note 2 5 6" xfId="13852"/>
    <cellStyle name="Note 2 5 7" xfId="13986"/>
    <cellStyle name="Note 2 5 8" xfId="15043"/>
    <cellStyle name="Note 2 5 9" xfId="13533"/>
    <cellStyle name="Note 2 6" xfId="12399"/>
    <cellStyle name="Note 2 6 10" xfId="18893"/>
    <cellStyle name="Note 2 6 11" xfId="14649"/>
    <cellStyle name="Note 2 6 12" xfId="26524"/>
    <cellStyle name="Note 2 6 13" xfId="27038"/>
    <cellStyle name="Note 2 6 14" xfId="26203"/>
    <cellStyle name="Note 2 6 15" xfId="27224"/>
    <cellStyle name="Note 2 6 16" xfId="25978"/>
    <cellStyle name="Note 2 6 17" xfId="27239"/>
    <cellStyle name="Note 2 6 18" xfId="25952"/>
    <cellStyle name="Note 2 6 19" xfId="35189"/>
    <cellStyle name="Note 2 6 2" xfId="13970"/>
    <cellStyle name="Note 2 6 20" xfId="35201"/>
    <cellStyle name="Note 2 6 3" xfId="15637"/>
    <cellStyle name="Note 2 6 4" xfId="14078"/>
    <cellStyle name="Note 2 6 5" xfId="17343"/>
    <cellStyle name="Note 2 6 6" xfId="15843"/>
    <cellStyle name="Note 2 6 7" xfId="14652"/>
    <cellStyle name="Note 2 6 8" xfId="14716"/>
    <cellStyle name="Note 2 6 9" xfId="13904"/>
    <cellStyle name="Note 2 7" xfId="12400"/>
    <cellStyle name="Note 2 8" xfId="12401"/>
    <cellStyle name="Note 2 8 10" xfId="24862"/>
    <cellStyle name="Note 2 8 11" xfId="25861"/>
    <cellStyle name="Note 2 8 12" xfId="28767"/>
    <cellStyle name="Note 2 8 13" xfId="29784"/>
    <cellStyle name="Note 2 8 14" xfId="30817"/>
    <cellStyle name="Note 2 8 15" xfId="31812"/>
    <cellStyle name="Note 2 8 16" xfId="32816"/>
    <cellStyle name="Note 2 8 17" xfId="33819"/>
    <cellStyle name="Note 2 8 18" xfId="34818"/>
    <cellStyle name="Note 2 8 19" xfId="36379"/>
    <cellStyle name="Note 2 8 2" xfId="16851"/>
    <cellStyle name="Note 2 8 20" xfId="37378"/>
    <cellStyle name="Note 2 8 3" xfId="17831"/>
    <cellStyle name="Note 2 8 4" xfId="18856"/>
    <cellStyle name="Note 2 8 5" xfId="19890"/>
    <cellStyle name="Note 2 8 6" xfId="20915"/>
    <cellStyle name="Note 2 8 7" xfId="21875"/>
    <cellStyle name="Note 2 8 8" xfId="22887"/>
    <cellStyle name="Note 2 8 9" xfId="23890"/>
    <cellStyle name="Note 2 9" xfId="37398"/>
    <cellStyle name="Note 3" xfId="242"/>
    <cellStyle name="Note 3 2" xfId="349"/>
    <cellStyle name="Note 3 2 2" xfId="12402"/>
    <cellStyle name="Note 3 2 2 10" xfId="14811"/>
    <cellStyle name="Note 3 2 2 11" xfId="14669"/>
    <cellStyle name="Note 3 2 2 12" xfId="15721"/>
    <cellStyle name="Note 3 2 2 13" xfId="14748"/>
    <cellStyle name="Note 3 2 2 14" xfId="14246"/>
    <cellStyle name="Note 3 2 2 15" xfId="26269"/>
    <cellStyle name="Note 3 2 2 16" xfId="27197"/>
    <cellStyle name="Note 3 2 2 17" xfId="26807"/>
    <cellStyle name="Note 3 2 2 18" xfId="26714"/>
    <cellStyle name="Note 3 2 2 19" xfId="27630"/>
    <cellStyle name="Note 3 2 2 2" xfId="12403"/>
    <cellStyle name="Note 3 2 2 2 10" xfId="18923"/>
    <cellStyle name="Note 3 2 2 2 11" xfId="26329"/>
    <cellStyle name="Note 3 2 2 2 12" xfId="27159"/>
    <cellStyle name="Note 3 2 2 2 13" xfId="25883"/>
    <cellStyle name="Note 3 2 2 2 14" xfId="27024"/>
    <cellStyle name="Note 3 2 2 2 15" xfId="26539"/>
    <cellStyle name="Note 3 2 2 2 16" xfId="27389"/>
    <cellStyle name="Note 3 2 2 2 17" xfId="27444"/>
    <cellStyle name="Note 3 2 2 2 18" xfId="35024"/>
    <cellStyle name="Note 3 2 2 2 19" xfId="35313"/>
    <cellStyle name="Note 3 2 2 2 2" xfId="15696"/>
    <cellStyle name="Note 3 2 2 2 3" xfId="13739"/>
    <cellStyle name="Note 3 2 2 2 4" xfId="13441"/>
    <cellStyle name="Note 3 2 2 2 5" xfId="13853"/>
    <cellStyle name="Note 3 2 2 2 6" xfId="14702"/>
    <cellStyle name="Note 3 2 2 2 7" xfId="14511"/>
    <cellStyle name="Note 3 2 2 2 8" xfId="15241"/>
    <cellStyle name="Note 3 2 2 2 9" xfId="15630"/>
    <cellStyle name="Note 3 2 2 20" xfId="26852"/>
    <cellStyle name="Note 3 2 2 21" xfId="27443"/>
    <cellStyle name="Note 3 2 2 22" xfId="34972"/>
    <cellStyle name="Note 3 2 2 23" xfId="35467"/>
    <cellStyle name="Note 3 2 2 24" xfId="37504"/>
    <cellStyle name="Note 3 2 2 3" xfId="12404"/>
    <cellStyle name="Note 3 2 2 3 10" xfId="13517"/>
    <cellStyle name="Note 3 2 2 3 11" xfId="26466"/>
    <cellStyle name="Note 3 2 2 3 12" xfId="27674"/>
    <cellStyle name="Note 3 2 2 3 13" xfId="25887"/>
    <cellStyle name="Note 3 2 2 3 14" xfId="26637"/>
    <cellStyle name="Note 3 2 2 3 15" xfId="26556"/>
    <cellStyle name="Note 3 2 2 3 16" xfId="27606"/>
    <cellStyle name="Note 3 2 2 3 17" xfId="27840"/>
    <cellStyle name="Note 3 2 2 3 18" xfId="35149"/>
    <cellStyle name="Note 3 2 2 3 19" xfId="35398"/>
    <cellStyle name="Note 3 2 2 3 2" xfId="15657"/>
    <cellStyle name="Note 3 2 2 3 3" xfId="15416"/>
    <cellStyle name="Note 3 2 2 3 4" xfId="15013"/>
    <cellStyle name="Note 3 2 2 3 5" xfId="15390"/>
    <cellStyle name="Note 3 2 2 3 6" xfId="15087"/>
    <cellStyle name="Note 3 2 2 3 7" xfId="15249"/>
    <cellStyle name="Note 3 2 2 3 8" xfId="21433"/>
    <cellStyle name="Note 3 2 2 3 9" xfId="21435"/>
    <cellStyle name="Note 3 2 2 4" xfId="12405"/>
    <cellStyle name="Note 3 2 2 4 10" xfId="13827"/>
    <cellStyle name="Note 3 2 2 4 11" xfId="26364"/>
    <cellStyle name="Note 3 2 2 4 12" xfId="26029"/>
    <cellStyle name="Note 3 2 2 4 13" xfId="25972"/>
    <cellStyle name="Note 3 2 2 4 14" xfId="26015"/>
    <cellStyle name="Note 3 2 2 4 15" xfId="26764"/>
    <cellStyle name="Note 3 2 2 4 16" xfId="27544"/>
    <cellStyle name="Note 3 2 2 4 17" xfId="26629"/>
    <cellStyle name="Note 3 2 2 4 18" xfId="35056"/>
    <cellStyle name="Note 3 2 2 4 19" xfId="34894"/>
    <cellStyle name="Note 3 2 2 4 2" xfId="14889"/>
    <cellStyle name="Note 3 2 2 4 3" xfId="13759"/>
    <cellStyle name="Note 3 2 2 4 4" xfId="14625"/>
    <cellStyle name="Note 3 2 2 4 5" xfId="15489"/>
    <cellStyle name="Note 3 2 2 4 6" xfId="14518"/>
    <cellStyle name="Note 3 2 2 4 7" xfId="15328"/>
    <cellStyle name="Note 3 2 2 4 8" xfId="15827"/>
    <cellStyle name="Note 3 2 2 4 9" xfId="13795"/>
    <cellStyle name="Note 3 2 2 5" xfId="12406"/>
    <cellStyle name="Note 3 2 2 5 10" xfId="14108"/>
    <cellStyle name="Note 3 2 2 5 11" xfId="26482"/>
    <cellStyle name="Note 3 2 2 5 12" xfId="27668"/>
    <cellStyle name="Note 3 2 2 5 13" xfId="25890"/>
    <cellStyle name="Note 3 2 2 5 14" xfId="27407"/>
    <cellStyle name="Note 3 2 2 5 15" xfId="26790"/>
    <cellStyle name="Note 3 2 2 5 16" xfId="26818"/>
    <cellStyle name="Note 3 2 2 5 17" xfId="27298"/>
    <cellStyle name="Note 3 2 2 5 18" xfId="35165"/>
    <cellStyle name="Note 3 2 2 5 19" xfId="35392"/>
    <cellStyle name="Note 3 2 2 5 2" xfId="13605"/>
    <cellStyle name="Note 3 2 2 5 3" xfId="14437"/>
    <cellStyle name="Note 3 2 2 5 4" xfId="15009"/>
    <cellStyle name="Note 3 2 2 5 5" xfId="15391"/>
    <cellStyle name="Note 3 2 2 5 6" xfId="14319"/>
    <cellStyle name="Note 3 2 2 5 7" xfId="14793"/>
    <cellStyle name="Note 3 2 2 5 8" xfId="14161"/>
    <cellStyle name="Note 3 2 2 5 9" xfId="14949"/>
    <cellStyle name="Note 3 2 2 6" xfId="15717"/>
    <cellStyle name="Note 3 2 2 7" xfId="13693"/>
    <cellStyle name="Note 3 2 2 8" xfId="14638"/>
    <cellStyle name="Note 3 2 2 9" xfId="14131"/>
    <cellStyle name="Note 3 2 3" xfId="12407"/>
    <cellStyle name="Note 3 2 3 10" xfId="13415"/>
    <cellStyle name="Note 3 2 3 11" xfId="14520"/>
    <cellStyle name="Note 3 2 3 12" xfId="21852"/>
    <cellStyle name="Note 3 2 3 13" xfId="20950"/>
    <cellStyle name="Note 3 2 3 14" xfId="17847"/>
    <cellStyle name="Note 3 2 3 15" xfId="26080"/>
    <cellStyle name="Note 3 2 3 16" xfId="27781"/>
    <cellStyle name="Note 3 2 3 17" xfId="28750"/>
    <cellStyle name="Note 3 2 3 18" xfId="26049"/>
    <cellStyle name="Note 3 2 3 19" xfId="27437"/>
    <cellStyle name="Note 3 2 3 2" xfId="12408"/>
    <cellStyle name="Note 3 2 3 2 10" xfId="14756"/>
    <cellStyle name="Note 3 2 3 2 11" xfId="26302"/>
    <cellStyle name="Note 3 2 3 2 12" xfId="27178"/>
    <cellStyle name="Note 3 2 3 2 13" xfId="27514"/>
    <cellStyle name="Note 3 2 3 2 14" xfId="26920"/>
    <cellStyle name="Note 3 2 3 2 15" xfId="26083"/>
    <cellStyle name="Note 3 2 3 2 16" xfId="25984"/>
    <cellStyle name="Note 3 2 3 2 17" xfId="26994"/>
    <cellStyle name="Note 3 2 3 2 18" xfId="34998"/>
    <cellStyle name="Note 3 2 3 2 19" xfId="35332"/>
    <cellStyle name="Note 3 2 3 2 2" xfId="14924"/>
    <cellStyle name="Note 3 2 3 2 3" xfId="14030"/>
    <cellStyle name="Note 3 2 3 2 4" xfId="14788"/>
    <cellStyle name="Note 3 2 3 2 5" xfId="13520"/>
    <cellStyle name="Note 3 2 3 2 6" xfId="13468"/>
    <cellStyle name="Note 3 2 3 2 7" xfId="15267"/>
    <cellStyle name="Note 3 2 3 2 8" xfId="15819"/>
    <cellStyle name="Note 3 2 3 2 9" xfId="14597"/>
    <cellStyle name="Note 3 2 3 20" xfId="26911"/>
    <cellStyle name="Note 3 2 3 21" xfId="26975"/>
    <cellStyle name="Note 3 2 3 22" xfId="34941"/>
    <cellStyle name="Note 3 2 3 23" xfId="35477"/>
    <cellStyle name="Note 3 2 3 3" xfId="12409"/>
    <cellStyle name="Note 3 2 3 3 10" xfId="14145"/>
    <cellStyle name="Note 3 2 3 3 11" xfId="26382"/>
    <cellStyle name="Note 3 2 3 3 12" xfId="27126"/>
    <cellStyle name="Note 3 2 3 3 13" xfId="25924"/>
    <cellStyle name="Note 3 2 3 3 14" xfId="26709"/>
    <cellStyle name="Note 3 2 3 3 15" xfId="26769"/>
    <cellStyle name="Note 3 2 3 3 16" xfId="26565"/>
    <cellStyle name="Note 3 2 3 3 17" xfId="26696"/>
    <cellStyle name="Note 3 2 3 3 18" xfId="35073"/>
    <cellStyle name="Note 3 2 3 3 19" xfId="35281"/>
    <cellStyle name="Note 3 2 3 3 2" xfId="14879"/>
    <cellStyle name="Note 3 2 3 3 3" xfId="13766"/>
    <cellStyle name="Note 3 2 3 3 4" xfId="15279"/>
    <cellStyle name="Note 3 2 3 3 5" xfId="15594"/>
    <cellStyle name="Note 3 2 3 3 6" xfId="13587"/>
    <cellStyle name="Note 3 2 3 3 7" xfId="13995"/>
    <cellStyle name="Note 3 2 3 3 8" xfId="14567"/>
    <cellStyle name="Note 3 2 3 3 9" xfId="15396"/>
    <cellStyle name="Note 3 2 3 4" xfId="12410"/>
    <cellStyle name="Note 3 2 3 4 10" xfId="15033"/>
    <cellStyle name="Note 3 2 3 4 11" xfId="26359"/>
    <cellStyle name="Note 3 2 3 4 12" xfId="26033"/>
    <cellStyle name="Note 3 2 3 4 13" xfId="26138"/>
    <cellStyle name="Note 3 2 3 4 14" xfId="27237"/>
    <cellStyle name="Note 3 2 3 4 15" xfId="27365"/>
    <cellStyle name="Note 3 2 3 4 16" xfId="27564"/>
    <cellStyle name="Note 3 2 3 4 17" xfId="26561"/>
    <cellStyle name="Note 3 2 3 4 18" xfId="35051"/>
    <cellStyle name="Note 3 2 3 4 19" xfId="34892"/>
    <cellStyle name="Note 3 2 3 4 2" xfId="15686"/>
    <cellStyle name="Note 3 2 3 4 3" xfId="13755"/>
    <cellStyle name="Note 3 2 3 4 4" xfId="14188"/>
    <cellStyle name="Note 3 2 3 4 5" xfId="14262"/>
    <cellStyle name="Note 3 2 3 4 6" xfId="15506"/>
    <cellStyle name="Note 3 2 3 4 7" xfId="14752"/>
    <cellStyle name="Note 3 2 3 4 8" xfId="14667"/>
    <cellStyle name="Note 3 2 3 4 9" xfId="15550"/>
    <cellStyle name="Note 3 2 3 5" xfId="12411"/>
    <cellStyle name="Note 3 2 3 5 10" xfId="15040"/>
    <cellStyle name="Note 3 2 3 5 11" xfId="26467"/>
    <cellStyle name="Note 3 2 3 5 12" xfId="27070"/>
    <cellStyle name="Note 3 2 3 5 13" xfId="25888"/>
    <cellStyle name="Note 3 2 3 5 14" xfId="26705"/>
    <cellStyle name="Note 3 2 3 5 15" xfId="27372"/>
    <cellStyle name="Note 3 2 3 5 16" xfId="27641"/>
    <cellStyle name="Note 3 2 3 5 17" xfId="27267"/>
    <cellStyle name="Note 3 2 3 5 18" xfId="35150"/>
    <cellStyle name="Note 3 2 3 5 19" xfId="35397"/>
    <cellStyle name="Note 3 2 3 5 2" xfId="15656"/>
    <cellStyle name="Note 3 2 3 5 3" xfId="15417"/>
    <cellStyle name="Note 3 2 3 5 4" xfId="15760"/>
    <cellStyle name="Note 3 2 3 5 5" xfId="15799"/>
    <cellStyle name="Note 3 2 3 5 6" xfId="15755"/>
    <cellStyle name="Note 3 2 3 5 7" xfId="14018"/>
    <cellStyle name="Note 3 2 3 5 8" xfId="18901"/>
    <cellStyle name="Note 3 2 3 5 9" xfId="14948"/>
    <cellStyle name="Note 3 2 3 6" xfId="13849"/>
    <cellStyle name="Note 3 2 3 7" xfId="15372"/>
    <cellStyle name="Note 3 2 3 8" xfId="15053"/>
    <cellStyle name="Note 3 2 3 9" xfId="14941"/>
    <cellStyle name="Note 3 2 4" xfId="12412"/>
    <cellStyle name="Note 3 2 4 10" xfId="24872"/>
    <cellStyle name="Note 3 2 4 11" xfId="25871"/>
    <cellStyle name="Note 3 2 4 12" xfId="28777"/>
    <cellStyle name="Note 3 2 4 13" xfId="29794"/>
    <cellStyle name="Note 3 2 4 14" xfId="30827"/>
    <cellStyle name="Note 3 2 4 15" xfId="31822"/>
    <cellStyle name="Note 3 2 4 16" xfId="32826"/>
    <cellStyle name="Note 3 2 4 17" xfId="33829"/>
    <cellStyle name="Note 3 2 4 18" xfId="34828"/>
    <cellStyle name="Note 3 2 4 19" xfId="36389"/>
    <cellStyle name="Note 3 2 4 2" xfId="16861"/>
    <cellStyle name="Note 3 2 4 20" xfId="37388"/>
    <cellStyle name="Note 3 2 4 3" xfId="17841"/>
    <cellStyle name="Note 3 2 4 4" xfId="18866"/>
    <cellStyle name="Note 3 2 4 5" xfId="19900"/>
    <cellStyle name="Note 3 2 4 6" xfId="20925"/>
    <cellStyle name="Note 3 2 4 7" xfId="21885"/>
    <cellStyle name="Note 3 2 4 8" xfId="22897"/>
    <cellStyle name="Note 3 2 4 9" xfId="23900"/>
    <cellStyle name="Note 3 2 5" xfId="12413"/>
    <cellStyle name="Note 3 2 5 10" xfId="24856"/>
    <cellStyle name="Note 3 2 5 11" xfId="25855"/>
    <cellStyle name="Note 3 2 5 12" xfId="28761"/>
    <cellStyle name="Note 3 2 5 13" xfId="29778"/>
    <cellStyle name="Note 3 2 5 14" xfId="30811"/>
    <cellStyle name="Note 3 2 5 15" xfId="31806"/>
    <cellStyle name="Note 3 2 5 16" xfId="32810"/>
    <cellStyle name="Note 3 2 5 17" xfId="33813"/>
    <cellStyle name="Note 3 2 5 18" xfId="34812"/>
    <cellStyle name="Note 3 2 5 19" xfId="36373"/>
    <cellStyle name="Note 3 2 5 2" xfId="16845"/>
    <cellStyle name="Note 3 2 5 20" xfId="37372"/>
    <cellStyle name="Note 3 2 5 3" xfId="17825"/>
    <cellStyle name="Note 3 2 5 4" xfId="18850"/>
    <cellStyle name="Note 3 2 5 5" xfId="19884"/>
    <cellStyle name="Note 3 2 5 6" xfId="20909"/>
    <cellStyle name="Note 3 2 5 7" xfId="21869"/>
    <cellStyle name="Note 3 2 5 8" xfId="22881"/>
    <cellStyle name="Note 3 2 5 9" xfId="23884"/>
    <cellStyle name="Note 3 2 6" xfId="37464"/>
    <cellStyle name="Note 3 3" xfId="12414"/>
    <cellStyle name="Note 3 3 10" xfId="26241"/>
    <cellStyle name="Note 3 3 11" xfId="28744"/>
    <cellStyle name="Note 3 3 12" xfId="27463"/>
    <cellStyle name="Note 3 3 13" xfId="27824"/>
    <cellStyle name="Note 3 3 14" xfId="31805"/>
    <cellStyle name="Note 3 3 15" xfId="34908"/>
    <cellStyle name="Note 3 3 16" xfId="34926"/>
    <cellStyle name="Note 3 3 17" xfId="37505"/>
    <cellStyle name="Note 3 3 2" xfId="12415"/>
    <cellStyle name="Note 3 3 2 10" xfId="18919"/>
    <cellStyle name="Note 3 3 2 11" xfId="14792"/>
    <cellStyle name="Note 3 3 2 12" xfId="15124"/>
    <cellStyle name="Note 3 3 2 13" xfId="15252"/>
    <cellStyle name="Note 3 3 2 14" xfId="15463"/>
    <cellStyle name="Note 3 3 2 15" xfId="26099"/>
    <cellStyle name="Note 3 3 2 16" xfId="27254"/>
    <cellStyle name="Note 3 3 2 17" xfId="25958"/>
    <cellStyle name="Note 3 3 2 18" xfId="25909"/>
    <cellStyle name="Note 3 3 2 19" xfId="26726"/>
    <cellStyle name="Note 3 3 2 2" xfId="12416"/>
    <cellStyle name="Note 3 3 2 2 10" xfId="13526"/>
    <cellStyle name="Note 3 3 2 2 11" xfId="26319"/>
    <cellStyle name="Note 3 3 2 2 12" xfId="27167"/>
    <cellStyle name="Note 3 3 2 2 13" xfId="26134"/>
    <cellStyle name="Note 3 3 2 2 14" xfId="27763"/>
    <cellStyle name="Note 3 3 2 2 15" xfId="29828"/>
    <cellStyle name="Note 3 3 2 2 16" xfId="27387"/>
    <cellStyle name="Note 3 3 2 2 17" xfId="27004"/>
    <cellStyle name="Note 3 3 2 2 18" xfId="35015"/>
    <cellStyle name="Note 3 3 2 2 19" xfId="35321"/>
    <cellStyle name="Note 3 3 2 2 2" xfId="14917"/>
    <cellStyle name="Note 3 3 2 2 3" xfId="14034"/>
    <cellStyle name="Note 3 3 2 2 4" xfId="15333"/>
    <cellStyle name="Note 3 3 2 2 5" xfId="14086"/>
    <cellStyle name="Note 3 3 2 2 6" xfId="15574"/>
    <cellStyle name="Note 3 3 2 2 7" xfId="13638"/>
    <cellStyle name="Note 3 3 2 2 8" xfId="13665"/>
    <cellStyle name="Note 3 3 2 2 9" xfId="15739"/>
    <cellStyle name="Note 3 3 2 20" xfId="30849"/>
    <cellStyle name="Note 3 3 2 21" xfId="27545"/>
    <cellStyle name="Note 3 3 2 22" xfId="34958"/>
    <cellStyle name="Note 3 3 2 23" xfId="35360"/>
    <cellStyle name="Note 3 3 2 3" xfId="12417"/>
    <cellStyle name="Note 3 3 2 3 10" xfId="14605"/>
    <cellStyle name="Note 3 3 2 3 11" xfId="26399"/>
    <cellStyle name="Note 3 3 2 3 12" xfId="27699"/>
    <cellStyle name="Note 3 3 2 3 13" xfId="27662"/>
    <cellStyle name="Note 3 3 2 3 14" xfId="27018"/>
    <cellStyle name="Note 3 3 2 3 15" xfId="26773"/>
    <cellStyle name="Note 3 3 2 3 16" xfId="27810"/>
    <cellStyle name="Note 3 3 2 3 17" xfId="26829"/>
    <cellStyle name="Note 3 3 2 3 18" xfId="35090"/>
    <cellStyle name="Note 3 3 2 3 19" xfId="35270"/>
    <cellStyle name="Note 3 3 2 3 2" xfId="15676"/>
    <cellStyle name="Note 3 3 2 3 3" xfId="13772"/>
    <cellStyle name="Note 3 3 2 3 4" xfId="14621"/>
    <cellStyle name="Note 3 3 2 3 5" xfId="14555"/>
    <cellStyle name="Note 3 3 2 3 6" xfId="15749"/>
    <cellStyle name="Note 3 3 2 3 7" xfId="14799"/>
    <cellStyle name="Note 3 3 2 3 8" xfId="13794"/>
    <cellStyle name="Note 3 3 2 3 9" xfId="14094"/>
    <cellStyle name="Note 3 3 2 4" xfId="12418"/>
    <cellStyle name="Note 3 3 2 4 10" xfId="15607"/>
    <cellStyle name="Note 3 3 2 4 11" xfId="26415"/>
    <cellStyle name="Note 3 3 2 4 12" xfId="27692"/>
    <cellStyle name="Note 3 3 2 4 13" xfId="26152"/>
    <cellStyle name="Note 3 3 2 4 14" xfId="26912"/>
    <cellStyle name="Note 3 3 2 4 15" xfId="26428"/>
    <cellStyle name="Note 3 3 2 4 16" xfId="26844"/>
    <cellStyle name="Note 3 3 2 4 17" xfId="26595"/>
    <cellStyle name="Note 3 3 2 4 18" xfId="35105"/>
    <cellStyle name="Note 3 3 2 4 19" xfId="35416"/>
    <cellStyle name="Note 3 3 2 4 2" xfId="15672"/>
    <cellStyle name="Note 3 3 2 4 3" xfId="15205"/>
    <cellStyle name="Note 3 3 2 4 4" xfId="15108"/>
    <cellStyle name="Note 3 3 2 4 5" xfId="14471"/>
    <cellStyle name="Note 3 3 2 4 6" xfId="13493"/>
    <cellStyle name="Note 3 3 2 4 7" xfId="14517"/>
    <cellStyle name="Note 3 3 2 4 8" xfId="15117"/>
    <cellStyle name="Note 3 3 2 4 9" xfId="13673"/>
    <cellStyle name="Note 3 3 2 5" xfId="12419"/>
    <cellStyle name="Note 3 3 2 5 10" xfId="14163"/>
    <cellStyle name="Note 3 3 2 5 11" xfId="26456"/>
    <cellStyle name="Note 3 3 2 5 12" xfId="27078"/>
    <cellStyle name="Note 3 3 2 5 13" xfId="26168"/>
    <cellStyle name="Note 3 3 2 5 14" xfId="26227"/>
    <cellStyle name="Note 3 3 2 5 15" xfId="26554"/>
    <cellStyle name="Note 3 3 2 5 16" xfId="27595"/>
    <cellStyle name="Note 3 3 2 5 17" xfId="27398"/>
    <cellStyle name="Note 3 3 2 5 18" xfId="35139"/>
    <cellStyle name="Note 3 3 2 5 19" xfId="35233"/>
    <cellStyle name="Note 3 3 2 5 2" xfId="14843"/>
    <cellStyle name="Note 3 3 2 5 3" xfId="13559"/>
    <cellStyle name="Note 3 3 2 5 4" xfId="15017"/>
    <cellStyle name="Note 3 3 2 5 5" xfId="14007"/>
    <cellStyle name="Note 3 3 2 5 6" xfId="15292"/>
    <cellStyle name="Note 3 3 2 5 7" xfId="14126"/>
    <cellStyle name="Note 3 3 2 5 8" xfId="14694"/>
    <cellStyle name="Note 3 3 2 5 9" xfId="13943"/>
    <cellStyle name="Note 3 3 2 6" xfId="15052"/>
    <cellStyle name="Note 3 3 2 7" xfId="15168"/>
    <cellStyle name="Note 3 3 2 8" xfId="13651"/>
    <cellStyle name="Note 3 3 2 9" xfId="13469"/>
    <cellStyle name="Note 3 3 3" xfId="12420"/>
    <cellStyle name="Note 3 3 3 10" xfId="13798"/>
    <cellStyle name="Note 3 3 3 11" xfId="15405"/>
    <cellStyle name="Note 3 3 3 12" xfId="26525"/>
    <cellStyle name="Note 3 3 3 13" xfId="27660"/>
    <cellStyle name="Note 3 3 3 14" xfId="27378"/>
    <cellStyle name="Note 3 3 3 15" xfId="26702"/>
    <cellStyle name="Note 3 3 3 16" xfId="26988"/>
    <cellStyle name="Note 3 3 3 17" xfId="25908"/>
    <cellStyle name="Note 3 3 3 18" xfId="27394"/>
    <cellStyle name="Note 3 3 3 19" xfId="35190"/>
    <cellStyle name="Note 3 3 3 2" xfId="13971"/>
    <cellStyle name="Note 3 3 3 20" xfId="35383"/>
    <cellStyle name="Note 3 3 3 3" xfId="14804"/>
    <cellStyle name="Note 3 3 3 4" xfId="14452"/>
    <cellStyle name="Note 3 3 3 5" xfId="14994"/>
    <cellStyle name="Note 3 3 3 6" xfId="13477"/>
    <cellStyle name="Note 3 3 3 7" xfId="15131"/>
    <cellStyle name="Note 3 3 3 8" xfId="19915"/>
    <cellStyle name="Note 3 3 3 9" xfId="20905"/>
    <cellStyle name="Note 3 3 4" xfId="15345"/>
    <cellStyle name="Note 3 3 5" xfId="17857"/>
    <cellStyle name="Note 3 3 6" xfId="14521"/>
    <cellStyle name="Note 3 3 7" xfId="13402"/>
    <cellStyle name="Note 3 3 8" xfId="14121"/>
    <cellStyle name="Note 3 3 9" xfId="26057"/>
    <cellStyle name="Note 3 4" xfId="12421"/>
    <cellStyle name="Note 3 4 10" xfId="27788"/>
    <cellStyle name="Note 3 4 11" xfId="25953"/>
    <cellStyle name="Note 3 4 12" xfId="28784"/>
    <cellStyle name="Note 3 4 13" xfId="29810"/>
    <cellStyle name="Note 3 4 14" xfId="26856"/>
    <cellStyle name="Note 3 4 15" xfId="34909"/>
    <cellStyle name="Note 3 4 16" xfId="35481"/>
    <cellStyle name="Note 3 4 17" xfId="37506"/>
    <cellStyle name="Note 3 4 2" xfId="12422"/>
    <cellStyle name="Note 3 4 2 10" xfId="14848"/>
    <cellStyle name="Note 3 4 2 11" xfId="15581"/>
    <cellStyle name="Note 3 4 2 12" xfId="21860"/>
    <cellStyle name="Note 3 4 2 13" xfId="13560"/>
    <cellStyle name="Note 3 4 2 14" xfId="13418"/>
    <cellStyle name="Note 3 4 2 15" xfId="26100"/>
    <cellStyle name="Note 3 4 2 16" xfId="27773"/>
    <cellStyle name="Note 3 4 2 17" xfId="28756"/>
    <cellStyle name="Note 3 4 2 18" xfId="26231"/>
    <cellStyle name="Note 3 4 2 19" xfId="26008"/>
    <cellStyle name="Note 3 4 2 2" xfId="12423"/>
    <cellStyle name="Note 3 4 2 2 10" xfId="15480"/>
    <cellStyle name="Note 3 4 2 2 11" xfId="26320"/>
    <cellStyle name="Note 3 4 2 2 12" xfId="27726"/>
    <cellStyle name="Note 3 4 2 2 13" xfId="26817"/>
    <cellStyle name="Note 3 4 2 2 14" xfId="26918"/>
    <cellStyle name="Note 3 4 2 2 15" xfId="27362"/>
    <cellStyle name="Note 3 4 2 2 16" xfId="27313"/>
    <cellStyle name="Note 3 4 2 2 17" xfId="27383"/>
    <cellStyle name="Note 3 4 2 2 18" xfId="35016"/>
    <cellStyle name="Note 3 4 2 2 19" xfId="35451"/>
    <cellStyle name="Note 3 4 2 2 2" xfId="15700"/>
    <cellStyle name="Note 3 4 2 2 3" xfId="13730"/>
    <cellStyle name="Note 3 4 2 2 4" xfId="14192"/>
    <cellStyle name="Note 3 4 2 2 5" xfId="13515"/>
    <cellStyle name="Note 3 4 2 2 6" xfId="13505"/>
    <cellStyle name="Note 3 4 2 2 7" xfId="14599"/>
    <cellStyle name="Note 3 4 2 2 8" xfId="14226"/>
    <cellStyle name="Note 3 4 2 2 9" xfId="13980"/>
    <cellStyle name="Note 3 4 2 20" xfId="25910"/>
    <cellStyle name="Note 3 4 2 21" xfId="27587"/>
    <cellStyle name="Note 3 4 2 22" xfId="34959"/>
    <cellStyle name="Note 3 4 2 23" xfId="35470"/>
    <cellStyle name="Note 3 4 2 3" xfId="12424"/>
    <cellStyle name="Note 3 4 2 3 10" xfId="15273"/>
    <cellStyle name="Note 3 4 2 3 11" xfId="26400"/>
    <cellStyle name="Note 3 4 2 3 12" xfId="27115"/>
    <cellStyle name="Note 3 4 2 3 13" xfId="26257"/>
    <cellStyle name="Note 3 4 2 3 14" xfId="26642"/>
    <cellStyle name="Note 3 4 2 3 15" xfId="26774"/>
    <cellStyle name="Note 3 4 2 3 16" xfId="27287"/>
    <cellStyle name="Note 3 4 2 3 17" xfId="27201"/>
    <cellStyle name="Note 3 4 2 3 18" xfId="35091"/>
    <cellStyle name="Note 3 4 2 3 19" xfId="35269"/>
    <cellStyle name="Note 3 4 2 3 2" xfId="14870"/>
    <cellStyle name="Note 3 4 2 3 3" xfId="14424"/>
    <cellStyle name="Note 3 4 2 3 4" xfId="13952"/>
    <cellStyle name="Note 3 4 2 3 5" xfId="15095"/>
    <cellStyle name="Note 3 4 2 3 6" xfId="15287"/>
    <cellStyle name="Note 3 4 2 3 7" xfId="15431"/>
    <cellStyle name="Note 3 4 2 3 8" xfId="15226"/>
    <cellStyle name="Note 3 4 2 3 9" xfId="13499"/>
    <cellStyle name="Note 3 4 2 4" xfId="12425"/>
    <cellStyle name="Note 3 4 2 4 10" xfId="20899"/>
    <cellStyle name="Note 3 4 2 4 11" xfId="26416"/>
    <cellStyle name="Note 3 4 2 4 12" xfId="27102"/>
    <cellStyle name="Note 3 4 2 4 13" xfId="26153"/>
    <cellStyle name="Note 3 4 2 4 14" xfId="25920"/>
    <cellStyle name="Note 3 4 2 4 15" xfId="27369"/>
    <cellStyle name="Note 3 4 2 4 16" xfId="26938"/>
    <cellStyle name="Note 3 4 2 4 17" xfId="26900"/>
    <cellStyle name="Note 3 4 2 4 18" xfId="35106"/>
    <cellStyle name="Note 3 4 2 4 19" xfId="35257"/>
    <cellStyle name="Note 3 4 2 4 2" xfId="14860"/>
    <cellStyle name="Note 3 4 2 4 3" xfId="15413"/>
    <cellStyle name="Note 3 4 2 4 4" xfId="15766"/>
    <cellStyle name="Note 3 4 2 4 5" xfId="14382"/>
    <cellStyle name="Note 3 4 2 4 6" xfId="14217"/>
    <cellStyle name="Note 3 4 2 4 7" xfId="14489"/>
    <cellStyle name="Note 3 4 2 4 8" xfId="15185"/>
    <cellStyle name="Note 3 4 2 4 9" xfId="15800"/>
    <cellStyle name="Note 3 4 2 5" xfId="12426"/>
    <cellStyle name="Note 3 4 2 5 10" xfId="14459"/>
    <cellStyle name="Note 3 4 2 5 11" xfId="26368"/>
    <cellStyle name="Note 3 4 2 5 12" xfId="27711"/>
    <cellStyle name="Note 3 4 2 5 13" xfId="26256"/>
    <cellStyle name="Note 3 4 2 5 14" xfId="25930"/>
    <cellStyle name="Note 3 4 2 5 15" xfId="26765"/>
    <cellStyle name="Note 3 4 2 5 16" xfId="27030"/>
    <cellStyle name="Note 3 4 2 5 17" xfId="26874"/>
    <cellStyle name="Note 3 4 2 5 18" xfId="35060"/>
    <cellStyle name="Note 3 4 2 5 19" xfId="34843"/>
    <cellStyle name="Note 3 4 2 5 2" xfId="15683"/>
    <cellStyle name="Note 3 4 2 5 3" xfId="13761"/>
    <cellStyle name="Note 3 4 2 5 4" xfId="14187"/>
    <cellStyle name="Note 3 4 2 5 5" xfId="15314"/>
    <cellStyle name="Note 3 4 2 5 6" xfId="14306"/>
    <cellStyle name="Note 3 4 2 5 7" xfId="14129"/>
    <cellStyle name="Note 3 4 2 5 8" xfId="13882"/>
    <cellStyle name="Note 3 4 2 5 9" xfId="14758"/>
    <cellStyle name="Note 3 4 2 6" xfId="15786"/>
    <cellStyle name="Note 3 4 2 7" xfId="15376"/>
    <cellStyle name="Note 3 4 2 8" xfId="15148"/>
    <cellStyle name="Note 3 4 2 9" xfId="15133"/>
    <cellStyle name="Note 3 4 3" xfId="12427"/>
    <cellStyle name="Note 3 4 3 10" xfId="18894"/>
    <cellStyle name="Note 3 4 3 11" xfId="20943"/>
    <cellStyle name="Note 3 4 3 12" xfId="26526"/>
    <cellStyle name="Note 3 4 3 13" xfId="27037"/>
    <cellStyle name="Note 3 4 3 14" xfId="26204"/>
    <cellStyle name="Note 3 4 3 15" xfId="27223"/>
    <cellStyle name="Note 3 4 3 16" xfId="27280"/>
    <cellStyle name="Note 3 4 3 17" xfId="27336"/>
    <cellStyle name="Note 3 4 3 18" xfId="31830"/>
    <cellStyle name="Note 3 4 3 19" xfId="35191"/>
    <cellStyle name="Note 3 4 3 2" xfId="13972"/>
    <cellStyle name="Note 3 4 3 20" xfId="35200"/>
    <cellStyle name="Note 3 4 3 3" xfId="15636"/>
    <cellStyle name="Note 3 4 3 4" xfId="15429"/>
    <cellStyle name="Note 3 4 3 5" xfId="14993"/>
    <cellStyle name="Note 3 4 3 6" xfId="14399"/>
    <cellStyle name="Note 3 4 3 7" xfId="14798"/>
    <cellStyle name="Note 3 4 3 8" xfId="14532"/>
    <cellStyle name="Note 3 4 3 9" xfId="13924"/>
    <cellStyle name="Note 3 4 4" xfId="15171"/>
    <cellStyle name="Note 3 4 5" xfId="15563"/>
    <cellStyle name="Note 3 4 6" xfId="14329"/>
    <cellStyle name="Note 3 4 7" xfId="20908"/>
    <cellStyle name="Note 3 4 8" xfId="13674"/>
    <cellStyle name="Note 3 4 9" xfId="26058"/>
    <cellStyle name="Note 3 5" xfId="12428"/>
    <cellStyle name="Note 3 5 10" xfId="15144"/>
    <cellStyle name="Note 3 5 11" xfId="15582"/>
    <cellStyle name="Note 3 5 12" xfId="14679"/>
    <cellStyle name="Note 3 5 13" xfId="18887"/>
    <cellStyle name="Note 3 5 14" xfId="13896"/>
    <cellStyle name="Note 3 5 15" xfId="26079"/>
    <cellStyle name="Note 3 5 16" xfId="26051"/>
    <cellStyle name="Note 3 5 17" xfId="25956"/>
    <cellStyle name="Note 3 5 18" xfId="26432"/>
    <cellStyle name="Note 3 5 19" xfId="25944"/>
    <cellStyle name="Note 3 5 2" xfId="12429"/>
    <cellStyle name="Note 3 5 2 10" xfId="13577"/>
    <cellStyle name="Note 3 5 2 11" xfId="26301"/>
    <cellStyle name="Note 3 5 2 12" xfId="27733"/>
    <cellStyle name="Note 3 5 2 13" xfId="25967"/>
    <cellStyle name="Note 3 5 2 14" xfId="25891"/>
    <cellStyle name="Note 3 5 2 15" xfId="26665"/>
    <cellStyle name="Note 3 5 2 16" xfId="27300"/>
    <cellStyle name="Note 3 5 2 17" xfId="27447"/>
    <cellStyle name="Note 3 5 2 18" xfId="34997"/>
    <cellStyle name="Note 3 5 2 19" xfId="35333"/>
    <cellStyle name="Note 3 5 2 2" xfId="14925"/>
    <cellStyle name="Note 3 5 2 3" xfId="13874"/>
    <cellStyle name="Note 3 5 2 4" xfId="15732"/>
    <cellStyle name="Note 3 5 2 5" xfId="13479"/>
    <cellStyle name="Note 3 5 2 6" xfId="14178"/>
    <cellStyle name="Note 3 5 2 7" xfId="13621"/>
    <cellStyle name="Note 3 5 2 8" xfId="15449"/>
    <cellStyle name="Note 3 5 2 9" xfId="15266"/>
    <cellStyle name="Note 3 5 20" xfId="27376"/>
    <cellStyle name="Note 3 5 21" xfId="27321"/>
    <cellStyle name="Note 3 5 22" xfId="34940"/>
    <cellStyle name="Note 3 5 23" xfId="34881"/>
    <cellStyle name="Note 3 5 3" xfId="12430"/>
    <cellStyle name="Note 3 5 3 10" xfId="14204"/>
    <cellStyle name="Note 3 5 3 11" xfId="26381"/>
    <cellStyle name="Note 3 5 3 12" xfId="27705"/>
    <cellStyle name="Note 3 5 3 13" xfId="26142"/>
    <cellStyle name="Note 3 5 3 14" xfId="25982"/>
    <cellStyle name="Note 3 5 3 15" xfId="25948"/>
    <cellStyle name="Note 3 5 3 16" xfId="26662"/>
    <cellStyle name="Note 3 5 3 17" xfId="27500"/>
    <cellStyle name="Note 3 5 3 18" xfId="35072"/>
    <cellStyle name="Note 3 5 3 19" xfId="35282"/>
    <cellStyle name="Note 3 5 3 2" xfId="15679"/>
    <cellStyle name="Note 3 5 3 3" xfId="15201"/>
    <cellStyle name="Note 3 5 3 4" xfId="14297"/>
    <cellStyle name="Note 3 5 3 5" xfId="15436"/>
    <cellStyle name="Note 3 5 3 6" xfId="15556"/>
    <cellStyle name="Note 3 5 3 7" xfId="13993"/>
    <cellStyle name="Note 3 5 3 8" xfId="14506"/>
    <cellStyle name="Note 3 5 3 9" xfId="13790"/>
    <cellStyle name="Note 3 5 4" xfId="12431"/>
    <cellStyle name="Note 3 5 4 10" xfId="14540"/>
    <cellStyle name="Note 3 5 4 11" xfId="26343"/>
    <cellStyle name="Note 3 5 4 12" xfId="27149"/>
    <cellStyle name="Note 3 5 4 13" xfId="27352"/>
    <cellStyle name="Note 3 5 4 14" xfId="26128"/>
    <cellStyle name="Note 3 5 4 15" xfId="29823"/>
    <cellStyle name="Note 3 5 4 16" xfId="27390"/>
    <cellStyle name="Note 3 5 4 17" xfId="27616"/>
    <cellStyle name="Note 3 5 4 18" xfId="35037"/>
    <cellStyle name="Note 3 5 4 19" xfId="35304"/>
    <cellStyle name="Note 3 5 4 2" xfId="14902"/>
    <cellStyle name="Note 3 5 4 3" xfId="15160"/>
    <cellStyle name="Note 3 5 4 4" xfId="15136"/>
    <cellStyle name="Note 3 5 4 5" xfId="17855"/>
    <cellStyle name="Note 3 5 4 6" xfId="16866"/>
    <cellStyle name="Note 3 5 4 7" xfId="14698"/>
    <cellStyle name="Note 3 5 4 8" xfId="14408"/>
    <cellStyle name="Note 3 5 4 9" xfId="14259"/>
    <cellStyle name="Note 3 5 5" xfId="12432"/>
    <cellStyle name="Note 3 5 5 10" xfId="15485"/>
    <cellStyle name="Note 3 5 5 11" xfId="26464"/>
    <cellStyle name="Note 3 5 5 12" xfId="27073"/>
    <cellStyle name="Note 3 5 5 13" xfId="26258"/>
    <cellStyle name="Note 3 5 5 14" xfId="26908"/>
    <cellStyle name="Note 3 5 5 15" xfId="27496"/>
    <cellStyle name="Note 3 5 5 16" xfId="27029"/>
    <cellStyle name="Note 3 5 5 17" xfId="26968"/>
    <cellStyle name="Note 3 5 5 18" xfId="35147"/>
    <cellStyle name="Note 3 5 5 19" xfId="35227"/>
    <cellStyle name="Note 3 5 5 2" xfId="14840"/>
    <cellStyle name="Note 3 5 5 3" xfId="14431"/>
    <cellStyle name="Note 3 5 5 4" xfId="15761"/>
    <cellStyle name="Note 3 5 5 5" xfId="14390"/>
    <cellStyle name="Note 3 5 5 6" xfId="14200"/>
    <cellStyle name="Note 3 5 5 7" xfId="14538"/>
    <cellStyle name="Note 3 5 5 8" xfId="14504"/>
    <cellStyle name="Note 3 5 5 9" xfId="18871"/>
    <cellStyle name="Note 3 5 6" xfId="13850"/>
    <cellStyle name="Note 3 5 7" xfId="15166"/>
    <cellStyle name="Note 3 5 8" xfId="13914"/>
    <cellStyle name="Note 3 5 9" xfId="15360"/>
    <cellStyle name="Note 3 6" xfId="12433"/>
    <cellStyle name="Note 3 6 10" xfId="15146"/>
    <cellStyle name="Note 3 6 11" xfId="20947"/>
    <cellStyle name="Note 3 6 12" xfId="26527"/>
    <cellStyle name="Note 3 6 13" xfId="27036"/>
    <cellStyle name="Note 3 6 14" xfId="26584"/>
    <cellStyle name="Note 3 6 15" xfId="27006"/>
    <cellStyle name="Note 3 6 16" xfId="26217"/>
    <cellStyle name="Note 3 6 17" xfId="27818"/>
    <cellStyle name="Note 3 6 18" xfId="26003"/>
    <cellStyle name="Note 3 6 19" xfId="35192"/>
    <cellStyle name="Note 3 6 2" xfId="13973"/>
    <cellStyle name="Note 3 6 20" xfId="35382"/>
    <cellStyle name="Note 3 6 3" xfId="14803"/>
    <cellStyle name="Note 3 6 4" xfId="14079"/>
    <cellStyle name="Note 3 6 5" xfId="13900"/>
    <cellStyle name="Note 3 6 6" xfId="13466"/>
    <cellStyle name="Note 3 6 7" xfId="13634"/>
    <cellStyle name="Note 3 6 8" xfId="20424"/>
    <cellStyle name="Note 3 6 9" xfId="15177"/>
    <cellStyle name="Note 3 7" xfId="12434"/>
    <cellStyle name="Note 3 7 10" xfId="24868"/>
    <cellStyle name="Note 3 7 11" xfId="25867"/>
    <cellStyle name="Note 3 7 12" xfId="28773"/>
    <cellStyle name="Note 3 7 13" xfId="29790"/>
    <cellStyle name="Note 3 7 14" xfId="30823"/>
    <cellStyle name="Note 3 7 15" xfId="31818"/>
    <cellStyle name="Note 3 7 16" xfId="32822"/>
    <cellStyle name="Note 3 7 17" xfId="33825"/>
    <cellStyle name="Note 3 7 18" xfId="34824"/>
    <cellStyle name="Note 3 7 19" xfId="36385"/>
    <cellStyle name="Note 3 7 2" xfId="16857"/>
    <cellStyle name="Note 3 7 20" xfId="37384"/>
    <cellStyle name="Note 3 7 3" xfId="17837"/>
    <cellStyle name="Note 3 7 4" xfId="18862"/>
    <cellStyle name="Note 3 7 5" xfId="19896"/>
    <cellStyle name="Note 3 7 6" xfId="20921"/>
    <cellStyle name="Note 3 7 7" xfId="21881"/>
    <cellStyle name="Note 3 7 8" xfId="22893"/>
    <cellStyle name="Note 3 7 9" xfId="23896"/>
    <cellStyle name="Note 3 8" xfId="37397"/>
    <cellStyle name="Note 3 9" xfId="37450"/>
    <cellStyle name="Note 4" xfId="12435"/>
    <cellStyle name="Note 4 10" xfId="20942"/>
    <cellStyle name="Note 4 11" xfId="26059"/>
    <cellStyle name="Note 4 12" xfId="27272"/>
    <cellStyle name="Note 4 13" xfId="28745"/>
    <cellStyle name="Note 4 14" xfId="26718"/>
    <cellStyle name="Note 4 15" xfId="26020"/>
    <cellStyle name="Note 4 16" xfId="27274"/>
    <cellStyle name="Note 4 17" xfId="34910"/>
    <cellStyle name="Note 4 18" xfId="35374"/>
    <cellStyle name="Note 4 19" xfId="37507"/>
    <cellStyle name="Note 4 2" xfId="12436"/>
    <cellStyle name="Note 4 3" xfId="12437"/>
    <cellStyle name="Note 4 3 10" xfId="18920"/>
    <cellStyle name="Note 4 3 11" xfId="13568"/>
    <cellStyle name="Note 4 3 12" xfId="15772"/>
    <cellStyle name="Note 4 3 13" xfId="15003"/>
    <cellStyle name="Note 4 3 14" xfId="20906"/>
    <cellStyle name="Note 4 3 15" xfId="26101"/>
    <cellStyle name="Note 4 3 16" xfId="27253"/>
    <cellStyle name="Note 4 3 17" xfId="25959"/>
    <cellStyle name="Note 4 3 18" xfId="27293"/>
    <cellStyle name="Note 4 3 19" xfId="26656"/>
    <cellStyle name="Note 4 3 2" xfId="12438"/>
    <cellStyle name="Note 4 3 2 10" xfId="15084"/>
    <cellStyle name="Note 4 3 2 11" xfId="26321"/>
    <cellStyle name="Note 4 3 2 12" xfId="27166"/>
    <cellStyle name="Note 4 3 2 13" xfId="27842"/>
    <cellStyle name="Note 4 3 2 14" xfId="27652"/>
    <cellStyle name="Note 4 3 2 15" xfId="30336"/>
    <cellStyle name="Note 4 3 2 16" xfId="26854"/>
    <cellStyle name="Note 4 3 2 17" xfId="26215"/>
    <cellStyle name="Note 4 3 2 18" xfId="35017"/>
    <cellStyle name="Note 4 3 2 19" xfId="35320"/>
    <cellStyle name="Note 4 3 2 2" xfId="14916"/>
    <cellStyle name="Note 4 3 2 3" xfId="15193"/>
    <cellStyle name="Note 4 3 2 4" xfId="15626"/>
    <cellStyle name="Note 4 3 2 5" xfId="14464"/>
    <cellStyle name="Note 4 3 2 6" xfId="14983"/>
    <cellStyle name="Note 4 3 2 7" xfId="14589"/>
    <cellStyle name="Note 4 3 2 8" xfId="15289"/>
    <cellStyle name="Note 4 3 2 9" xfId="17820"/>
    <cellStyle name="Note 4 3 20" xfId="30850"/>
    <cellStyle name="Note 4 3 21" xfId="26685"/>
    <cellStyle name="Note 4 3 22" xfId="34960"/>
    <cellStyle name="Note 4 3 23" xfId="35359"/>
    <cellStyle name="Note 4 3 3" xfId="12439"/>
    <cellStyle name="Note 4 3 3 10" xfId="15524"/>
    <cellStyle name="Note 4 3 3 11" xfId="26401"/>
    <cellStyle name="Note 4 3 3 12" xfId="27114"/>
    <cellStyle name="Note 4 3 3 13" xfId="27353"/>
    <cellStyle name="Note 4 3 3 14" xfId="27761"/>
    <cellStyle name="Note 4 3 3 15" xfId="26737"/>
    <cellStyle name="Note 4 3 3 16" xfId="27546"/>
    <cellStyle name="Note 4 3 3 17" xfId="27629"/>
    <cellStyle name="Note 4 3 3 18" xfId="35092"/>
    <cellStyle name="Note 4 3 3 19" xfId="34845"/>
    <cellStyle name="Note 4 3 3 2" xfId="14869"/>
    <cellStyle name="Note 4 3 3 3" xfId="14053"/>
    <cellStyle name="Note 4 3 3 4" xfId="13597"/>
    <cellStyle name="Note 4 3 3 5" xfId="15437"/>
    <cellStyle name="Note 4 3 3 6" xfId="16837"/>
    <cellStyle name="Note 4 3 3 7" xfId="13595"/>
    <cellStyle name="Note 4 3 3 8" xfId="14749"/>
    <cellStyle name="Note 4 3 3 9" xfId="14308"/>
    <cellStyle name="Note 4 3 4" xfId="12440"/>
    <cellStyle name="Note 4 3 4 10" xfId="13615"/>
    <cellStyle name="Note 4 3 4 11" xfId="26417"/>
    <cellStyle name="Note 4 3 4 12" xfId="27101"/>
    <cellStyle name="Note 4 3 4 13" xfId="26154"/>
    <cellStyle name="Note 4 3 4 14" xfId="27647"/>
    <cellStyle name="Note 4 3 4 15" xfId="25892"/>
    <cellStyle name="Note 4 3 4 16" xfId="26880"/>
    <cellStyle name="Note 4 3 4 17" xfId="26618"/>
    <cellStyle name="Note 4 3 4 18" xfId="35107"/>
    <cellStyle name="Note 4 3 4 19" xfId="35415"/>
    <cellStyle name="Note 4 3 4 2" xfId="14859"/>
    <cellStyle name="Note 4 3 4 3" xfId="14056"/>
    <cellStyle name="Note 4 3 4 4" xfId="15825"/>
    <cellStyle name="Note 4 3 4 5" xfId="13400"/>
    <cellStyle name="Note 4 3 4 6" xfId="15142"/>
    <cellStyle name="Note 4 3 4 7" xfId="14602"/>
    <cellStyle name="Note 4 3 4 8" xfId="15568"/>
    <cellStyle name="Note 4 3 4 9" xfId="15335"/>
    <cellStyle name="Note 4 3 5" xfId="12441"/>
    <cellStyle name="Note 4 3 5 10" xfId="14205"/>
    <cellStyle name="Note 4 3 5 11" xfId="26459"/>
    <cellStyle name="Note 4 3 5 12" xfId="27075"/>
    <cellStyle name="Note 4 3 5 13" xfId="25886"/>
    <cellStyle name="Note 4 3 5 14" xfId="26638"/>
    <cellStyle name="Note 4 3 5 15" xfId="26555"/>
    <cellStyle name="Note 4 3 5 16" xfId="27760"/>
    <cellStyle name="Note 4 3 5 17" xfId="27794"/>
    <cellStyle name="Note 4 3 5 18" xfId="35142"/>
    <cellStyle name="Note 4 3 5 19" xfId="35231"/>
    <cellStyle name="Note 4 3 5 2" xfId="15659"/>
    <cellStyle name="Note 4 3 5 3" xfId="14429"/>
    <cellStyle name="Note 4 3 5 4" xfId="15015"/>
    <cellStyle name="Note 4 3 5 5" xfId="15389"/>
    <cellStyle name="Note 4 3 5 6" xfId="15000"/>
    <cellStyle name="Note 4 3 5 7" xfId="14743"/>
    <cellStyle name="Note 4 3 5 8" xfId="20955"/>
    <cellStyle name="Note 4 3 5 9" xfId="13834"/>
    <cellStyle name="Note 4 3 6" xfId="15051"/>
    <cellStyle name="Note 4 3 7" xfId="14970"/>
    <cellStyle name="Note 4 3 8" xfId="13935"/>
    <cellStyle name="Note 4 3 9" xfId="15112"/>
    <cellStyle name="Note 4 4" xfId="12442"/>
    <cellStyle name="Note 4 4 10" xfId="15128"/>
    <cellStyle name="Note 4 4 11" xfId="15522"/>
    <cellStyle name="Note 4 4 12" xfId="26528"/>
    <cellStyle name="Note 4 4 13" xfId="27659"/>
    <cellStyle name="Note 4 4 14" xfId="26827"/>
    <cellStyle name="Note 4 4 15" xfId="27222"/>
    <cellStyle name="Note 4 4 16" xfId="26693"/>
    <cellStyle name="Note 4 4 17" xfId="27591"/>
    <cellStyle name="Note 4 4 18" xfId="27552"/>
    <cellStyle name="Note 4 4 19" xfId="35193"/>
    <cellStyle name="Note 4 4 2" xfId="13974"/>
    <cellStyle name="Note 4 4 20" xfId="35199"/>
    <cellStyle name="Note 4 4 3" xfId="14802"/>
    <cellStyle name="Note 4 4 4" xfId="13561"/>
    <cellStyle name="Note 4 4 5" xfId="14992"/>
    <cellStyle name="Note 4 4 6" xfId="15394"/>
    <cellStyle name="Note 4 4 7" xfId="14208"/>
    <cellStyle name="Note 4 4 8" xfId="13911"/>
    <cellStyle name="Note 4 4 9" xfId="15575"/>
    <cellStyle name="Note 4 5" xfId="12443"/>
    <cellStyle name="Note 4 6" xfId="15355"/>
    <cellStyle name="Note 4 7" xfId="13393"/>
    <cellStyle name="Note 4 8" xfId="18907"/>
    <cellStyle name="Note 4 9" xfId="15795"/>
    <cellStyle name="Note 5" xfId="12444"/>
    <cellStyle name="Note 5 2" xfId="12445"/>
    <cellStyle name="Note 5 2 10" xfId="13475"/>
    <cellStyle name="Note 5 2 11" xfId="13967"/>
    <cellStyle name="Note 5 2 12" xfId="14017"/>
    <cellStyle name="Note 5 2 13" xfId="14987"/>
    <cellStyle name="Note 5 2 14" xfId="15741"/>
    <cellStyle name="Note 5 2 15" xfId="27745"/>
    <cellStyle name="Note 5 2 16" xfId="27588"/>
    <cellStyle name="Note 5 2 17" xfId="26216"/>
    <cellStyle name="Note 5 2 18" xfId="25893"/>
    <cellStyle name="Note 5 2 19" xfId="26218"/>
    <cellStyle name="Note 5 2 2" xfId="12446"/>
    <cellStyle name="Note 5 2 2 10" xfId="14688"/>
    <cellStyle name="Note 5 2 2 11" xfId="27158"/>
    <cellStyle name="Note 5 2 2 12" xfId="26424"/>
    <cellStyle name="Note 5 2 2 13" xfId="26129"/>
    <cellStyle name="Note 5 2 2 14" xfId="27422"/>
    <cellStyle name="Note 5 2 2 15" xfId="26808"/>
    <cellStyle name="Note 5 2 2 16" xfId="35446"/>
    <cellStyle name="Note 5 2 2 2" xfId="14909"/>
    <cellStyle name="Note 5 2 2 3" xfId="13740"/>
    <cellStyle name="Note 5 2 2 4" xfId="15807"/>
    <cellStyle name="Note 5 2 2 5" xfId="15061"/>
    <cellStyle name="Note 5 2 2 6" xfId="14886"/>
    <cellStyle name="Note 5 2 2 7" xfId="15317"/>
    <cellStyle name="Note 5 2 2 8" xfId="14404"/>
    <cellStyle name="Note 5 2 2 9" xfId="15215"/>
    <cellStyle name="Note 5 2 20" xfId="35351"/>
    <cellStyle name="Note 5 2 21" xfId="37508"/>
    <cellStyle name="Note 5 2 3" xfId="12447"/>
    <cellStyle name="Note 5 2 3 10" xfId="14481"/>
    <cellStyle name="Note 5 2 3 11" xfId="27071"/>
    <cellStyle name="Note 5 2 3 12" xfId="27575"/>
    <cellStyle name="Note 5 2 3 13" xfId="26787"/>
    <cellStyle name="Note 5 2 3 14" xfId="26659"/>
    <cellStyle name="Note 5 2 3 15" xfId="27632"/>
    <cellStyle name="Note 5 2 3 16" xfId="35226"/>
    <cellStyle name="Note 5 2 3 2" xfId="14838"/>
    <cellStyle name="Note 5 2 3 3" xfId="14432"/>
    <cellStyle name="Note 5 2 3 4" xfId="15012"/>
    <cellStyle name="Note 5 2 3 5" xfId="14391"/>
    <cellStyle name="Note 5 2 3 6" xfId="14968"/>
    <cellStyle name="Note 5 2 3 7" xfId="14256"/>
    <cellStyle name="Note 5 2 3 8" xfId="14646"/>
    <cellStyle name="Note 5 2 3 9" xfId="15368"/>
    <cellStyle name="Note 5 2 4" xfId="12448"/>
    <cellStyle name="Note 5 2 4 10" xfId="15268"/>
    <cellStyle name="Note 5 2 4 11" xfId="27098"/>
    <cellStyle name="Note 5 2 4 12" xfId="27326"/>
    <cellStyle name="Note 5 2 4 13" xfId="26247"/>
    <cellStyle name="Note 5 2 4 14" xfId="26997"/>
    <cellStyle name="Note 5 2 4 15" xfId="26876"/>
    <cellStyle name="Note 5 2 4 16" xfId="35412"/>
    <cellStyle name="Note 5 2 4 2" xfId="14856"/>
    <cellStyle name="Note 5 2 4 3" xfId="13542"/>
    <cellStyle name="Note 5 2 4 4" xfId="14181"/>
    <cellStyle name="Note 5 2 4 5" xfId="14737"/>
    <cellStyle name="Note 5 2 4 6" xfId="13396"/>
    <cellStyle name="Note 5 2 4 7" xfId="15584"/>
    <cellStyle name="Note 5 2 4 8" xfId="15007"/>
    <cellStyle name="Note 5 2 4 9" xfId="14483"/>
    <cellStyle name="Note 5 2 5" xfId="12449"/>
    <cellStyle name="Note 5 2 5 10" xfId="14763"/>
    <cellStyle name="Note 5 2 5 11" xfId="27060"/>
    <cellStyle name="Note 5 2 5 12" xfId="26905"/>
    <cellStyle name="Note 5 2 5 13" xfId="27373"/>
    <cellStyle name="Note 5 2 5 14" xfId="26931"/>
    <cellStyle name="Note 5 2 5 15" xfId="26222"/>
    <cellStyle name="Note 5 2 5 16" xfId="35215"/>
    <cellStyle name="Note 5 2 5 2" xfId="13604"/>
    <cellStyle name="Note 5 2 5 3" xfId="15420"/>
    <cellStyle name="Note 5 2 5 4" xfId="13829"/>
    <cellStyle name="Note 5 2 5 5" xfId="14010"/>
    <cellStyle name="Note 5 2 5 6" xfId="15552"/>
    <cellStyle name="Note 5 2 5 7" xfId="15518"/>
    <cellStyle name="Note 5 2 5 8" xfId="14365"/>
    <cellStyle name="Note 5 2 5 9" xfId="14123"/>
    <cellStyle name="Note 5 2 6" xfId="14942"/>
    <cellStyle name="Note 5 2 7" xfId="13484"/>
    <cellStyle name="Note 5 2 8" xfId="15111"/>
    <cellStyle name="Note 5 2 9" xfId="15432"/>
    <cellStyle name="Note 6" xfId="12450"/>
    <cellStyle name="Notes" xfId="244"/>
    <cellStyle name="Notes 2" xfId="12451"/>
    <cellStyle name="Output" xfId="13356" builtinId="21" customBuiltin="1"/>
    <cellStyle name="Output 2" xfId="246"/>
    <cellStyle name="Output 2 2" xfId="12452"/>
    <cellStyle name="Output 2 2 10" xfId="19907"/>
    <cellStyle name="Output 2 2 11" xfId="26061"/>
    <cellStyle name="Output 2 2 12" xfId="27271"/>
    <cellStyle name="Output 2 2 13" xfId="26096"/>
    <cellStyle name="Output 2 2 14" xfId="25894"/>
    <cellStyle name="Output 2 2 15" xfId="27603"/>
    <cellStyle name="Output 2 2 16" xfId="27301"/>
    <cellStyle name="Output 2 2 17" xfId="34911"/>
    <cellStyle name="Output 2 2 18" xfId="34969"/>
    <cellStyle name="Output 2 2 19" xfId="37452"/>
    <cellStyle name="Output 2 2 2" xfId="12453"/>
    <cellStyle name="Output 2 2 2 10" xfId="27787"/>
    <cellStyle name="Output 2 2 2 11" xfId="26570"/>
    <cellStyle name="Output 2 2 2 12" xfId="28783"/>
    <cellStyle name="Output 2 2 2 13" xfId="27395"/>
    <cellStyle name="Output 2 2 2 14" xfId="26108"/>
    <cellStyle name="Output 2 2 2 15" xfId="34912"/>
    <cellStyle name="Output 2 2 2 16" xfId="34928"/>
    <cellStyle name="Output 2 2 2 17" xfId="35480"/>
    <cellStyle name="Output 2 2 2 18" xfId="37510"/>
    <cellStyle name="Output 2 2 2 2" xfId="12454"/>
    <cellStyle name="Output 2 2 2 2 10" xfId="13962"/>
    <cellStyle name="Output 2 2 2 2 11" xfId="19880"/>
    <cellStyle name="Output 2 2 2 2 12" xfId="21862"/>
    <cellStyle name="Output 2 2 2 2 13" xfId="15745"/>
    <cellStyle name="Output 2 2 2 2 14" xfId="26103"/>
    <cellStyle name="Output 2 2 2 2 15" xfId="27251"/>
    <cellStyle name="Output 2 2 2 2 16" xfId="27314"/>
    <cellStyle name="Output 2 2 2 2 17" xfId="25898"/>
    <cellStyle name="Output 2 2 2 2 18" xfId="26230"/>
    <cellStyle name="Output 2 2 2 2 19" xfId="30835"/>
    <cellStyle name="Output 2 2 2 2 2" xfId="12455"/>
    <cellStyle name="Output 2 2 2 2 2 10" xfId="26323"/>
    <cellStyle name="Output 2 2 2 2 2 11" xfId="27725"/>
    <cellStyle name="Output 2 2 2 2 2 12" xfId="27238"/>
    <cellStyle name="Output 2 2 2 2 2 13" xfId="26690"/>
    <cellStyle name="Output 2 2 2 2 2 14" xfId="27218"/>
    <cellStyle name="Output 2 2 2 2 2 15" xfId="27278"/>
    <cellStyle name="Output 2 2 2 2 2 16" xfId="35019"/>
    <cellStyle name="Output 2 2 2 2 2 17" xfId="35450"/>
    <cellStyle name="Output 2 2 2 2 2 2" xfId="14914"/>
    <cellStyle name="Output 2 2 2 2 2 3" xfId="13732"/>
    <cellStyle name="Output 2 2 2 2 2 4" xfId="15538"/>
    <cellStyle name="Output 2 2 2 2 2 5" xfId="15243"/>
    <cellStyle name="Output 2 2 2 2 2 6" xfId="14177"/>
    <cellStyle name="Output 2 2 2 2 2 7" xfId="14741"/>
    <cellStyle name="Output 2 2 2 2 2 8" xfId="15608"/>
    <cellStyle name="Output 2 2 2 2 2 9" xfId="13578"/>
    <cellStyle name="Output 2 2 2 2 20" xfId="34962"/>
    <cellStyle name="Output 2 2 2 2 21" xfId="35358"/>
    <cellStyle name="Output 2 2 2 2 3" xfId="12456"/>
    <cellStyle name="Output 2 2 2 2 3 10" xfId="26403"/>
    <cellStyle name="Output 2 2 2 2 3 11" xfId="27113"/>
    <cellStyle name="Output 2 2 2 2 3 12" xfId="26913"/>
    <cellStyle name="Output 2 2 2 2 3 13" xfId="26775"/>
    <cellStyle name="Output 2 2 2 2 3 14" xfId="27286"/>
    <cellStyle name="Output 2 2 2 2 3 15" xfId="31828"/>
    <cellStyle name="Output 2 2 2 2 3 16" xfId="35094"/>
    <cellStyle name="Output 2 2 2 2 3 17" xfId="35268"/>
    <cellStyle name="Output 2 2 2 2 3 2" xfId="14868"/>
    <cellStyle name="Output 2 2 2 2 3 3" xfId="13773"/>
    <cellStyle name="Output 2 2 2 2 3 4" xfId="15530"/>
    <cellStyle name="Output 2 2 2 2 3 5" xfId="14137"/>
    <cellStyle name="Output 2 2 2 2 3 6" xfId="15544"/>
    <cellStyle name="Output 2 2 2 2 3 7" xfId="13804"/>
    <cellStyle name="Output 2 2 2 2 3 8" xfId="14575"/>
    <cellStyle name="Output 2 2 2 2 3 9" xfId="15820"/>
    <cellStyle name="Output 2 2 2 2 4" xfId="12457"/>
    <cellStyle name="Output 2 2 2 2 4 10" xfId="26419"/>
    <cellStyle name="Output 2 2 2 2 4 11" xfId="27100"/>
    <cellStyle name="Output 2 2 2 2 4 12" xfId="26127"/>
    <cellStyle name="Output 2 2 2 2 4 13" xfId="27492"/>
    <cellStyle name="Output 2 2 2 2 4 14" xfId="26843"/>
    <cellStyle name="Output 2 2 2 2 4 15" xfId="29803"/>
    <cellStyle name="Output 2 2 2 2 4 16" xfId="35109"/>
    <cellStyle name="Output 2 2 2 2 4 17" xfId="35255"/>
    <cellStyle name="Output 2 2 2 2 4 2" xfId="13607"/>
    <cellStyle name="Output 2 2 2 2 4 3" xfId="13538"/>
    <cellStyle name="Output 2 2 2 2 4 4" xfId="14619"/>
    <cellStyle name="Output 2 2 2 2 4 5" xfId="14557"/>
    <cellStyle name="Output 2 2 2 2 4 6" xfId="14496"/>
    <cellStyle name="Output 2 2 2 2 4 7" xfId="14527"/>
    <cellStyle name="Output 2 2 2 2 4 8" xfId="14218"/>
    <cellStyle name="Output 2 2 2 2 4 9" xfId="19877"/>
    <cellStyle name="Output 2 2 2 2 5" xfId="12458"/>
    <cellStyle name="Output 2 2 2 2 5 10" xfId="26434"/>
    <cellStyle name="Output 2 2 2 2 5 11" xfId="27686"/>
    <cellStyle name="Output 2 2 2 2 5 12" xfId="26060"/>
    <cellStyle name="Output 2 2 2 2 5 13" xfId="27348"/>
    <cellStyle name="Output 2 2 2 2 5 14" xfId="26140"/>
    <cellStyle name="Output 2 2 2 2 5 15" xfId="26961"/>
    <cellStyle name="Output 2 2 2 2 5 16" xfId="35118"/>
    <cellStyle name="Output 2 2 2 2 5 17" xfId="35410"/>
    <cellStyle name="Output 2 2 2 2 5 2" xfId="15666"/>
    <cellStyle name="Output 2 2 2 2 5 3" xfId="13549"/>
    <cellStyle name="Output 2 2 2 2 5 4" xfId="14180"/>
    <cellStyle name="Output 2 2 2 2 5 5" xfId="14738"/>
    <cellStyle name="Output 2 2 2 2 5 6" xfId="14321"/>
    <cellStyle name="Output 2 2 2 2 5 7" xfId="15154"/>
    <cellStyle name="Output 2 2 2 2 5 8" xfId="13670"/>
    <cellStyle name="Output 2 2 2 2 5 9" xfId="22904"/>
    <cellStyle name="Output 2 2 2 2 6" xfId="15785"/>
    <cellStyle name="Output 2 2 2 2 7" xfId="14358"/>
    <cellStyle name="Output 2 2 2 2 8" xfId="15081"/>
    <cellStyle name="Output 2 2 2 2 9" xfId="14334"/>
    <cellStyle name="Output 2 2 2 3" xfId="12459"/>
    <cellStyle name="Output 2 2 2 3 10" xfId="26289"/>
    <cellStyle name="Output 2 2 2 3 11" xfId="27187"/>
    <cellStyle name="Output 2 2 2 3 12" xfId="26921"/>
    <cellStyle name="Output 2 2 2 3 13" xfId="26742"/>
    <cellStyle name="Output 2 2 2 3 14" xfId="27473"/>
    <cellStyle name="Output 2 2 2 3 15" xfId="26993"/>
    <cellStyle name="Output 2 2 2 3 16" xfId="34986"/>
    <cellStyle name="Output 2 2 2 3 17" xfId="35341"/>
    <cellStyle name="Output 2 2 2 3 2" xfId="14930"/>
    <cellStyle name="Output 2 2 2 3 3" xfId="14027"/>
    <cellStyle name="Output 2 2 2 3 4" xfId="14303"/>
    <cellStyle name="Output 2 2 2 3 5" xfId="15347"/>
    <cellStyle name="Output 2 2 2 3 6" xfId="15579"/>
    <cellStyle name="Output 2 2 2 3 7" xfId="15641"/>
    <cellStyle name="Output 2 2 2 3 8" xfId="15091"/>
    <cellStyle name="Output 2 2 2 3 9" xfId="13902"/>
    <cellStyle name="Output 2 2 2 4" xfId="15792"/>
    <cellStyle name="Output 2 2 2 5" xfId="16843"/>
    <cellStyle name="Output 2 2 2 6" xfId="13391"/>
    <cellStyle name="Output 2 2 2 7" xfId="15239"/>
    <cellStyle name="Output 2 2 2 8" xfId="13894"/>
    <cellStyle name="Output 2 2 2 9" xfId="26062"/>
    <cellStyle name="Output 2 2 20" xfId="37509"/>
    <cellStyle name="Output 2 2 21" xfId="37559"/>
    <cellStyle name="Output 2 2 3" xfId="12460"/>
    <cellStyle name="Output 2 2 3 10" xfId="15539"/>
    <cellStyle name="Output 2 2 3 11" xfId="14705"/>
    <cellStyle name="Output 2 2 3 12" xfId="21861"/>
    <cellStyle name="Output 2 2 3 13" xfId="15569"/>
    <cellStyle name="Output 2 2 3 14" xfId="14227"/>
    <cellStyle name="Output 2 2 3 15" xfId="26102"/>
    <cellStyle name="Output 2 2 3 16" xfId="27252"/>
    <cellStyle name="Output 2 2 3 17" xfId="27292"/>
    <cellStyle name="Output 2 2 3 18" xfId="25925"/>
    <cellStyle name="Output 2 2 3 19" xfId="27026"/>
    <cellStyle name="Output 2 2 3 2" xfId="12461"/>
    <cellStyle name="Output 2 2 3 2 10" xfId="20930"/>
    <cellStyle name="Output 2 2 3 2 11" xfId="26322"/>
    <cellStyle name="Output 2 2 3 2 12" xfId="27165"/>
    <cellStyle name="Output 2 2 3 2 13" xfId="27414"/>
    <cellStyle name="Output 2 2 3 2 14" xfId="26612"/>
    <cellStyle name="Output 2 2 3 2 15" xfId="27001"/>
    <cellStyle name="Output 2 2 3 2 16" xfId="26989"/>
    <cellStyle name="Output 2 2 3 2 17" xfId="35018"/>
    <cellStyle name="Output 2 2 3 2 18" xfId="35319"/>
    <cellStyle name="Output 2 2 3 2 2" xfId="14915"/>
    <cellStyle name="Output 2 2 3 2 3" xfId="13731"/>
    <cellStyle name="Output 2 2 3 2 4" xfId="15027"/>
    <cellStyle name="Output 2 2 3 2 5" xfId="14001"/>
    <cellStyle name="Output 2 2 3 2 6" xfId="14157"/>
    <cellStyle name="Output 2 2 3 2 7" xfId="13799"/>
    <cellStyle name="Output 2 2 3 2 8" xfId="14956"/>
    <cellStyle name="Output 2 2 3 2 9" xfId="15029"/>
    <cellStyle name="Output 2 2 3 20" xfId="26677"/>
    <cellStyle name="Output 2 2 3 21" xfId="34961"/>
    <cellStyle name="Output 2 2 3 22" xfId="35469"/>
    <cellStyle name="Output 2 2 3 3" xfId="12462"/>
    <cellStyle name="Output 2 2 3 3 10" xfId="15736"/>
    <cellStyle name="Output 2 2 3 3 11" xfId="26402"/>
    <cellStyle name="Output 2 2 3 3 12" xfId="27698"/>
    <cellStyle name="Output 2 2 3 3 13" xfId="27648"/>
    <cellStyle name="Output 2 2 3 3 14" xfId="27368"/>
    <cellStyle name="Output 2 2 3 3 15" xfId="26715"/>
    <cellStyle name="Output 2 2 3 3 16" xfId="26021"/>
    <cellStyle name="Output 2 2 3 3 17" xfId="35093"/>
    <cellStyle name="Output 2 2 3 3 18" xfId="35422"/>
    <cellStyle name="Output 2 2 3 3 2" xfId="15675"/>
    <cellStyle name="Output 2 2 3 3 3" xfId="15412"/>
    <cellStyle name="Output 2 2 3 3 4" xfId="15024"/>
    <cellStyle name="Output 2 2 3 3 5" xfId="15172"/>
    <cellStyle name="Output 2 2 3 3 6" xfId="14642"/>
    <cellStyle name="Output 2 2 3 3 7" xfId="15094"/>
    <cellStyle name="Output 2 2 3 3 8" xfId="14762"/>
    <cellStyle name="Output 2 2 3 3 9" xfId="15041"/>
    <cellStyle name="Output 2 2 3 4" xfId="12463"/>
    <cellStyle name="Output 2 2 3 4 10" xfId="13951"/>
    <cellStyle name="Output 2 2 3 4 11" xfId="26418"/>
    <cellStyle name="Output 2 2 3 4 12" xfId="27691"/>
    <cellStyle name="Output 2 2 3 4 13" xfId="26640"/>
    <cellStyle name="Output 2 2 3 4 14" xfId="26778"/>
    <cellStyle name="Output 2 2 3 4 15" xfId="27228"/>
    <cellStyle name="Output 2 2 3 4 16" xfId="26864"/>
    <cellStyle name="Output 2 2 3 4 17" xfId="35108"/>
    <cellStyle name="Output 2 2 3 4 18" xfId="35256"/>
    <cellStyle name="Output 2 2 3 4 2" xfId="14858"/>
    <cellStyle name="Output 2 2 3 4 3" xfId="13779"/>
    <cellStyle name="Output 2 2 3 4 4" xfId="15023"/>
    <cellStyle name="Output 2 2 3 4 5" xfId="14004"/>
    <cellStyle name="Output 2 2 3 4 6" xfId="15821"/>
    <cellStyle name="Output 2 2 3 4 7" xfId="14742"/>
    <cellStyle name="Output 2 2 3 4 8" xfId="13439"/>
    <cellStyle name="Output 2 2 3 4 9" xfId="15127"/>
    <cellStyle name="Output 2 2 3 5" xfId="12464"/>
    <cellStyle name="Output 2 2 3 5 10" xfId="14080"/>
    <cellStyle name="Output 2 2 3 5 11" xfId="26422"/>
    <cellStyle name="Output 2 2 3 5 12" xfId="27689"/>
    <cellStyle name="Output 2 2 3 5 13" xfId="27207"/>
    <cellStyle name="Output 2 2 3 5 14" xfId="27792"/>
    <cellStyle name="Output 2 2 3 5 15" xfId="29819"/>
    <cellStyle name="Output 2 2 3 5 16" xfId="26683"/>
    <cellStyle name="Output 2 2 3 5 17" xfId="35111"/>
    <cellStyle name="Output 2 2 3 5 18" xfId="35413"/>
    <cellStyle name="Output 2 2 3 5 2" xfId="15671"/>
    <cellStyle name="Output 2 2 3 5 3" xfId="13541"/>
    <cellStyle name="Output 2 2 3 5 4" xfId="14618"/>
    <cellStyle name="Output 2 2 3 5 5" xfId="15493"/>
    <cellStyle name="Output 2 2 3 5 6" xfId="17851"/>
    <cellStyle name="Output 2 2 3 5 7" xfId="14768"/>
    <cellStyle name="Output 2 2 3 5 8" xfId="13403"/>
    <cellStyle name="Output 2 2 3 5 9" xfId="14493"/>
    <cellStyle name="Output 2 2 3 6" xfId="13838"/>
    <cellStyle name="Output 2 2 3 7" xfId="13991"/>
    <cellStyle name="Output 2 2 3 8" xfId="13458"/>
    <cellStyle name="Output 2 2 3 9" xfId="15361"/>
    <cellStyle name="Output 2 2 4" xfId="12465"/>
    <cellStyle name="Output 2 2 4 10" xfId="14252"/>
    <cellStyle name="Output 2 2 4 11" xfId="19879"/>
    <cellStyle name="Output 2 2 4 12" xfId="26529"/>
    <cellStyle name="Output 2 2 4 13" xfId="27035"/>
    <cellStyle name="Output 2 2 4 14" xfId="27531"/>
    <cellStyle name="Output 2 2 4 15" xfId="26046"/>
    <cellStyle name="Output 2 2 4 16" xfId="27796"/>
    <cellStyle name="Output 2 2 4 17" xfId="26928"/>
    <cellStyle name="Output 2 2 4 18" xfId="26676"/>
    <cellStyle name="Output 2 2 4 19" xfId="35194"/>
    <cellStyle name="Output 2 2 4 2" xfId="13975"/>
    <cellStyle name="Output 2 2 4 20" xfId="35198"/>
    <cellStyle name="Output 2 2 4 3" xfId="15635"/>
    <cellStyle name="Output 2 2 4 4" xfId="14453"/>
    <cellStyle name="Output 2 2 4 5" xfId="15747"/>
    <cellStyle name="Output 2 2 4 6" xfId="13641"/>
    <cellStyle name="Output 2 2 4 7" xfId="14651"/>
    <cellStyle name="Output 2 2 4 8" xfId="15238"/>
    <cellStyle name="Output 2 2 4 9" xfId="13646"/>
    <cellStyle name="Output 2 2 5" xfId="13982"/>
    <cellStyle name="Output 2 2 6" xfId="14361"/>
    <cellStyle name="Output 2 2 7" xfId="13485"/>
    <cellStyle name="Output 2 2 8" xfId="14249"/>
    <cellStyle name="Output 2 2 9" xfId="14449"/>
    <cellStyle name="Output 2 3" xfId="12466"/>
    <cellStyle name="Output 2 3 10" xfId="27270"/>
    <cellStyle name="Output 2 3 11" xfId="26801"/>
    <cellStyle name="Output 2 3 12" xfId="25914"/>
    <cellStyle name="Output 2 3 13" xfId="26137"/>
    <cellStyle name="Output 2 3 14" xfId="26608"/>
    <cellStyle name="Output 2 3 15" xfId="34913"/>
    <cellStyle name="Output 2 3 16" xfId="34929"/>
    <cellStyle name="Output 2 3 17" xfId="35373"/>
    <cellStyle name="Output 2 3 18" xfId="37511"/>
    <cellStyle name="Output 2 3 2" xfId="12467"/>
    <cellStyle name="Output 2 3 2 10" xfId="18921"/>
    <cellStyle name="Output 2 3 2 11" xfId="18883"/>
    <cellStyle name="Output 2 3 2 12" xfId="14668"/>
    <cellStyle name="Output 2 3 2 13" xfId="14258"/>
    <cellStyle name="Output 2 3 2 14" xfId="26104"/>
    <cellStyle name="Output 2 3 2 15" xfId="25905"/>
    <cellStyle name="Output 2 3 2 16" xfId="26066"/>
    <cellStyle name="Output 2 3 2 17" xfId="27032"/>
    <cellStyle name="Output 2 3 2 18" xfId="30851"/>
    <cellStyle name="Output 2 3 2 19" xfId="30842"/>
    <cellStyle name="Output 2 3 2 2" xfId="12468"/>
    <cellStyle name="Output 2 3 2 2 10" xfId="26324"/>
    <cellStyle name="Output 2 3 2 2 11" xfId="27164"/>
    <cellStyle name="Output 2 3 2 2 12" xfId="26712"/>
    <cellStyle name="Output 2 3 2 2 13" xfId="27339"/>
    <cellStyle name="Output 2 3 2 2 14" xfId="26848"/>
    <cellStyle name="Output 2 3 2 2 15" xfId="26678"/>
    <cellStyle name="Output 2 3 2 2 16" xfId="35020"/>
    <cellStyle name="Output 2 3 2 2 17" xfId="35318"/>
    <cellStyle name="Output 2 3 2 2 2" xfId="15699"/>
    <cellStyle name="Output 2 3 2 2 3" xfId="14035"/>
    <cellStyle name="Output 2 3 2 2 4" xfId="14787"/>
    <cellStyle name="Output 2 3 2 2 5" xfId="13809"/>
    <cellStyle name="Output 2 3 2 2 6" xfId="14502"/>
    <cellStyle name="Output 2 3 2 2 7" xfId="15379"/>
    <cellStyle name="Output 2 3 2 2 8" xfId="15316"/>
    <cellStyle name="Output 2 3 2 2 9" xfId="13476"/>
    <cellStyle name="Output 2 3 2 20" xfId="34963"/>
    <cellStyle name="Output 2 3 2 21" xfId="35357"/>
    <cellStyle name="Output 2 3 2 3" xfId="12469"/>
    <cellStyle name="Output 2 3 2 3 10" xfId="26404"/>
    <cellStyle name="Output 2 3 2 3 11" xfId="27112"/>
    <cellStyle name="Output 2 3 2 3 12" xfId="26641"/>
    <cellStyle name="Output 2 3 2 3 13" xfId="27490"/>
    <cellStyle name="Output 2 3 2 3 14" xfId="30840"/>
    <cellStyle name="Output 2 3 2 3 15" xfId="26797"/>
    <cellStyle name="Output 2 3 2 3 16" xfId="35095"/>
    <cellStyle name="Output 2 3 2 3 17" xfId="35421"/>
    <cellStyle name="Output 2 3 2 3 2" xfId="14867"/>
    <cellStyle name="Output 2 3 2 3 3" xfId="13774"/>
    <cellStyle name="Output 2 3 2 3 4" xfId="15278"/>
    <cellStyle name="Output 2 3 2 3 5" xfId="15096"/>
    <cellStyle name="Output 2 3 2 3 6" xfId="18904"/>
    <cellStyle name="Output 2 3 2 3 7" xfId="19912"/>
    <cellStyle name="Output 2 3 2 3 8" xfId="20949"/>
    <cellStyle name="Output 2 3 2 3 9" xfId="14221"/>
    <cellStyle name="Output 2 3 2 4" xfId="12470"/>
    <cellStyle name="Output 2 3 2 4 10" xfId="26420"/>
    <cellStyle name="Output 2 3 2 4 11" xfId="27690"/>
    <cellStyle name="Output 2 3 2 4 12" xfId="27577"/>
    <cellStyle name="Output 2 3 2 4 13" xfId="29826"/>
    <cellStyle name="Output 2 3 2 4 14" xfId="26820"/>
    <cellStyle name="Output 2 3 2 4 15" xfId="26587"/>
    <cellStyle name="Output 2 3 2 4 16" xfId="35110"/>
    <cellStyle name="Output 2 3 2 4 17" xfId="35414"/>
    <cellStyle name="Output 2 3 2 4 2" xfId="13606"/>
    <cellStyle name="Output 2 3 2 4 3" xfId="14057"/>
    <cellStyle name="Output 2 3 2 4 4" xfId="15107"/>
    <cellStyle name="Output 2 3 2 4 5" xfId="15438"/>
    <cellStyle name="Output 2 3 2 4 6" xfId="14322"/>
    <cellStyle name="Output 2 3 2 4 7" xfId="15844"/>
    <cellStyle name="Output 2 3 2 4 8" xfId="14767"/>
    <cellStyle name="Output 2 3 2 4 9" xfId="15614"/>
    <cellStyle name="Output 2 3 2 5" xfId="12471"/>
    <cellStyle name="Output 2 3 2 5 10" xfId="26433"/>
    <cellStyle name="Output 2 3 2 5 11" xfId="27094"/>
    <cellStyle name="Output 2 3 2 5 12" xfId="27646"/>
    <cellStyle name="Output 2 3 2 5 13" xfId="27340"/>
    <cellStyle name="Output 2 3 2 5 14" xfId="29812"/>
    <cellStyle name="Output 2 3 2 5 15" xfId="27559"/>
    <cellStyle name="Output 2 3 2 5 16" xfId="35117"/>
    <cellStyle name="Output 2 3 2 5 17" xfId="34898"/>
    <cellStyle name="Output 2 3 2 5 2" xfId="14851"/>
    <cellStyle name="Output 2 3 2 5 3" xfId="15208"/>
    <cellStyle name="Output 2 3 2 5 4" xfId="15824"/>
    <cellStyle name="Output 2 3 2 5 5" xfId="14089"/>
    <cellStyle name="Output 2 3 2 5 6" xfId="13427"/>
    <cellStyle name="Output 2 3 2 5 7" xfId="15797"/>
    <cellStyle name="Output 2 3 2 5 8" xfId="15092"/>
    <cellStyle name="Output 2 3 2 5 9" xfId="13893"/>
    <cellStyle name="Output 2 3 2 6" xfId="15050"/>
    <cellStyle name="Output 2 3 2 7" xfId="15734"/>
    <cellStyle name="Output 2 3 2 8" xfId="14972"/>
    <cellStyle name="Output 2 3 2 9" xfId="14409"/>
    <cellStyle name="Output 2 3 3" xfId="12472"/>
    <cellStyle name="Output 2 3 3 10" xfId="26290"/>
    <cellStyle name="Output 2 3 3 11" xfId="27737"/>
    <cellStyle name="Output 2 3 3 12" xfId="27028"/>
    <cellStyle name="Output 2 3 3 13" xfId="26750"/>
    <cellStyle name="Output 2 3 3 14" xfId="26850"/>
    <cellStyle name="Output 2 3 3 15" xfId="26130"/>
    <cellStyle name="Output 2 3 3 16" xfId="34987"/>
    <cellStyle name="Output 2 3 3 17" xfId="35462"/>
    <cellStyle name="Output 2 3 3 2" xfId="15709"/>
    <cellStyle name="Output 2 3 3 3" xfId="13709"/>
    <cellStyle name="Output 2 3 3 4" xfId="15542"/>
    <cellStyle name="Output 2 3 3 5" xfId="15242"/>
    <cellStyle name="Output 2 3 3 6" xfId="13824"/>
    <cellStyle name="Output 2 3 3 7" xfId="13420"/>
    <cellStyle name="Output 2 3 3 8" xfId="15605"/>
    <cellStyle name="Output 2 3 3 9" xfId="14229"/>
    <cellStyle name="Output 2 3 4" xfId="15059"/>
    <cellStyle name="Output 2 3 5" xfId="15831"/>
    <cellStyle name="Output 2 3 6" xfId="15359"/>
    <cellStyle name="Output 2 3 7" xfId="18848"/>
    <cellStyle name="Output 2 3 8" xfId="13667"/>
    <cellStyle name="Output 2 3 9" xfId="26063"/>
    <cellStyle name="Output 2 4" xfId="12473"/>
    <cellStyle name="Output 2 4 10" xfId="13698"/>
    <cellStyle name="Output 2 4 11" xfId="15473"/>
    <cellStyle name="Output 2 4 12" xfId="15615"/>
    <cellStyle name="Output 2 4 13" xfId="20939"/>
    <cellStyle name="Output 2 4 14" xfId="21893"/>
    <cellStyle name="Output 2 4 15" xfId="26081"/>
    <cellStyle name="Output 2 4 16" xfId="26050"/>
    <cellStyle name="Output 2 4 17" xfId="27332"/>
    <cellStyle name="Output 2 4 18" xfId="25979"/>
    <cellStyle name="Output 2 4 19" xfId="25932"/>
    <cellStyle name="Output 2 4 2" xfId="12474"/>
    <cellStyle name="Output 2 4 2 10" xfId="15382"/>
    <cellStyle name="Output 2 4 2 11" xfId="26303"/>
    <cellStyle name="Output 2 4 2 12" xfId="27732"/>
    <cellStyle name="Output 2 4 2 13" xfId="26650"/>
    <cellStyle name="Output 2 4 2 14" xfId="26536"/>
    <cellStyle name="Output 2 4 2 15" xfId="27817"/>
    <cellStyle name="Output 2 4 2 16" xfId="27848"/>
    <cellStyle name="Output 2 4 2 17" xfId="34999"/>
    <cellStyle name="Output 2 4 2 18" xfId="35457"/>
    <cellStyle name="Output 2 4 2 2" xfId="14923"/>
    <cellStyle name="Output 2 4 2 3" xfId="13719"/>
    <cellStyle name="Output 2 4 2 4" xfId="14195"/>
    <cellStyle name="Output 2 4 2 5" xfId="13514"/>
    <cellStyle name="Output 2 4 2 6" xfId="15557"/>
    <cellStyle name="Output 2 4 2 7" xfId="13422"/>
    <cellStyle name="Output 2 4 2 8" xfId="15735"/>
    <cellStyle name="Output 2 4 2 9" xfId="19913"/>
    <cellStyle name="Output 2 4 20" xfId="26956"/>
    <cellStyle name="Output 2 4 21" xfId="34942"/>
    <cellStyle name="Output 2 4 22" xfId="35366"/>
    <cellStyle name="Output 2 4 23" xfId="37512"/>
    <cellStyle name="Output 2 4 3" xfId="12475"/>
    <cellStyle name="Output 2 4 3 10" xfId="14377"/>
    <cellStyle name="Output 2 4 3 11" xfId="26383"/>
    <cellStyle name="Output 2 4 3 12" xfId="27125"/>
    <cellStyle name="Output 2 4 3 13" xfId="27235"/>
    <cellStyle name="Output 2 4 3 14" xfId="26546"/>
    <cellStyle name="Output 2 4 3 15" xfId="26998"/>
    <cellStyle name="Output 2 4 3 16" xfId="26220"/>
    <cellStyle name="Output 2 4 3 17" xfId="35074"/>
    <cellStyle name="Output 2 4 3 18" xfId="35280"/>
    <cellStyle name="Output 2 4 3 2" xfId="14878"/>
    <cellStyle name="Output 2 4 3 3" xfId="13767"/>
    <cellStyle name="Output 2 4 3 4" xfId="14622"/>
    <cellStyle name="Output 2 4 3 5" xfId="15491"/>
    <cellStyle name="Output 2 4 3 6" xfId="15610"/>
    <cellStyle name="Output 2 4 3 7" xfId="13654"/>
    <cellStyle name="Output 2 4 3 8" xfId="14755"/>
    <cellStyle name="Output 2 4 3 9" xfId="13640"/>
    <cellStyle name="Output 2 4 4" xfId="12476"/>
    <cellStyle name="Output 2 4 4 10" xfId="21894"/>
    <cellStyle name="Output 2 4 4 11" xfId="26360"/>
    <cellStyle name="Output 2 4 4 12" xfId="25902"/>
    <cellStyle name="Output 2 4 4 13" xfId="26067"/>
    <cellStyle name="Output 2 4 4 14" xfId="27469"/>
    <cellStyle name="Output 2 4 4 15" xfId="27202"/>
    <cellStyle name="Output 2 4 4 16" xfId="27633"/>
    <cellStyle name="Output 2 4 4 17" xfId="35052"/>
    <cellStyle name="Output 2 4 4 18" xfId="34837"/>
    <cellStyle name="Output 2 4 4 2" xfId="14892"/>
    <cellStyle name="Output 2 4 4 3" xfId="14043"/>
    <cellStyle name="Output 2 4 4 4" xfId="13931"/>
    <cellStyle name="Output 2 4 4 5" xfId="13811"/>
    <cellStyle name="Output 2 4 4 6" xfId="15274"/>
    <cellStyle name="Output 2 4 4 7" xfId="13994"/>
    <cellStyle name="Output 2 4 4 8" xfId="15257"/>
    <cellStyle name="Output 2 4 4 9" xfId="15399"/>
    <cellStyle name="Output 2 4 5" xfId="12477"/>
    <cellStyle name="Output 2 4 5 10" xfId="14708"/>
    <cellStyle name="Output 2 4 5 11" xfId="26347"/>
    <cellStyle name="Output 2 4 5 12" xfId="27715"/>
    <cellStyle name="Output 2 4 5 13" xfId="26212"/>
    <cellStyle name="Output 2 4 5 14" xfId="26944"/>
    <cellStyle name="Output 2 4 5 15" xfId="26822"/>
    <cellStyle name="Output 2 4 5 16" xfId="27316"/>
    <cellStyle name="Output 2 4 5 17" xfId="35041"/>
    <cellStyle name="Output 2 4 5 18" xfId="35439"/>
    <cellStyle name="Output 2 4 5 2" xfId="15691"/>
    <cellStyle name="Output 2 4 5 3" xfId="13877"/>
    <cellStyle name="Output 2 4 5 4" xfId="14962"/>
    <cellStyle name="Output 2 4 5 5" xfId="15402"/>
    <cellStyle name="Output 2 4 5 6" xfId="15187"/>
    <cellStyle name="Output 2 4 5 7" xfId="13660"/>
    <cellStyle name="Output 2 4 5 8" xfId="13786"/>
    <cellStyle name="Output 2 4 5 9" xfId="14285"/>
    <cellStyle name="Output 2 4 6" xfId="13848"/>
    <cellStyle name="Output 2 4 7" xfId="13680"/>
    <cellStyle name="Output 2 4 8" xfId="14920"/>
    <cellStyle name="Output 2 4 9" xfId="15353"/>
    <cellStyle name="Output 2 5" xfId="12478"/>
    <cellStyle name="Output 2 5 10" xfId="21899"/>
    <cellStyle name="Output 2 5 11" xfId="20948"/>
    <cellStyle name="Output 2 5 12" xfId="26530"/>
    <cellStyle name="Output 2 5 13" xfId="27658"/>
    <cellStyle name="Output 2 5 14" xfId="26585"/>
    <cellStyle name="Output 2 5 15" xfId="27448"/>
    <cellStyle name="Output 2 5 16" xfId="27357"/>
    <cellStyle name="Output 2 5 17" xfId="27328"/>
    <cellStyle name="Output 2 5 18" xfId="26867"/>
    <cellStyle name="Output 2 5 19" xfId="35195"/>
    <cellStyle name="Output 2 5 2" xfId="13976"/>
    <cellStyle name="Output 2 5 20" xfId="35381"/>
    <cellStyle name="Output 2 5 3" xfId="14801"/>
    <cellStyle name="Output 2 5 4" xfId="14454"/>
    <cellStyle name="Output 2 5 5" xfId="14991"/>
    <cellStyle name="Output 2 5 6" xfId="14400"/>
    <cellStyle name="Output 2 5 7" xfId="13388"/>
    <cellStyle name="Output 2 5 8" xfId="17853"/>
    <cellStyle name="Output 2 5 9" xfId="15512"/>
    <cellStyle name="Output 2 6" xfId="12479"/>
    <cellStyle name="Output 2 6 10" xfId="24861"/>
    <cellStyle name="Output 2 6 11" xfId="25860"/>
    <cellStyle name="Output 2 6 12" xfId="28766"/>
    <cellStyle name="Output 2 6 13" xfId="29783"/>
    <cellStyle name="Output 2 6 14" xfId="30816"/>
    <cellStyle name="Output 2 6 15" xfId="31811"/>
    <cellStyle name="Output 2 6 16" xfId="32815"/>
    <cellStyle name="Output 2 6 17" xfId="33818"/>
    <cellStyle name="Output 2 6 18" xfId="34817"/>
    <cellStyle name="Output 2 6 19" xfId="36378"/>
    <cellStyle name="Output 2 6 2" xfId="16850"/>
    <cellStyle name="Output 2 6 20" xfId="37377"/>
    <cellStyle name="Output 2 6 3" xfId="17830"/>
    <cellStyle name="Output 2 6 4" xfId="18855"/>
    <cellStyle name="Output 2 6 5" xfId="19889"/>
    <cellStyle name="Output 2 6 6" xfId="20914"/>
    <cellStyle name="Output 2 6 7" xfId="21874"/>
    <cellStyle name="Output 2 6 8" xfId="22886"/>
    <cellStyle name="Output 2 6 9" xfId="23889"/>
    <cellStyle name="Output 2 7" xfId="37451"/>
    <cellStyle name="Output 2 8" xfId="37558"/>
    <cellStyle name="Output 3" xfId="245"/>
    <cellStyle name="Output 3 10" xfId="37453"/>
    <cellStyle name="Output 3 11" xfId="37513"/>
    <cellStyle name="Output 3 12" xfId="37560"/>
    <cellStyle name="Output 3 2" xfId="12481"/>
    <cellStyle name="Output 3 2 10" xfId="26240"/>
    <cellStyle name="Output 3 2 11" xfId="26569"/>
    <cellStyle name="Output 3 2 12" xfId="27459"/>
    <cellStyle name="Output 3 2 13" xfId="27424"/>
    <cellStyle name="Output 3 2 14" xfId="29769"/>
    <cellStyle name="Output 3 2 15" xfId="34914"/>
    <cellStyle name="Output 3 2 16" xfId="34930"/>
    <cellStyle name="Output 3 2 17" xfId="34968"/>
    <cellStyle name="Output 3 2 18" xfId="37514"/>
    <cellStyle name="Output 3 2 2" xfId="12482"/>
    <cellStyle name="Output 3 2 2 10" xfId="15826"/>
    <cellStyle name="Output 3 2 2 11" xfId="18916"/>
    <cellStyle name="Output 3 2 2 12" xfId="21863"/>
    <cellStyle name="Output 3 2 2 13" xfId="14368"/>
    <cellStyle name="Output 3 2 2 14" xfId="26105"/>
    <cellStyle name="Output 3 2 2 15" xfId="27772"/>
    <cellStyle name="Output 3 2 2 16" xfId="27765"/>
    <cellStyle name="Output 3 2 2 17" xfId="25945"/>
    <cellStyle name="Output 3 2 2 18" xfId="25985"/>
    <cellStyle name="Output 3 2 2 19" xfId="29813"/>
    <cellStyle name="Output 3 2 2 2" xfId="12483"/>
    <cellStyle name="Output 3 2 2 2 10" xfId="26325"/>
    <cellStyle name="Output 3 2 2 2 11" xfId="27163"/>
    <cellStyle name="Output 3 2 2 2 12" xfId="27583"/>
    <cellStyle name="Output 3 2 2 2 13" xfId="27479"/>
    <cellStyle name="Output 3 2 2 2 14" xfId="27565"/>
    <cellStyle name="Output 3 2 2 2 15" xfId="27374"/>
    <cellStyle name="Output 3 2 2 2 16" xfId="35021"/>
    <cellStyle name="Output 3 2 2 2 17" xfId="35449"/>
    <cellStyle name="Output 3 2 2 2 2" xfId="14913"/>
    <cellStyle name="Output 3 2 2 2 3" xfId="13733"/>
    <cellStyle name="Output 3 2 2 2 4" xfId="15284"/>
    <cellStyle name="Output 3 2 2 2 5" xfId="14729"/>
    <cellStyle name="Output 3 2 2 2 6" xfId="13594"/>
    <cellStyle name="Output 3 2 2 2 7" xfId="13862"/>
    <cellStyle name="Output 3 2 2 2 8" xfId="14107"/>
    <cellStyle name="Output 3 2 2 2 9" xfId="15310"/>
    <cellStyle name="Output 3 2 2 20" xfId="34964"/>
    <cellStyle name="Output 3 2 2 21" xfId="35468"/>
    <cellStyle name="Output 3 2 2 3" xfId="12484"/>
    <cellStyle name="Output 3 2 2 3 10" xfId="26405"/>
    <cellStyle name="Output 3 2 2 3 11" xfId="27697"/>
    <cellStyle name="Output 3 2 2 3 12" xfId="26708"/>
    <cellStyle name="Output 3 2 2 3 13" xfId="27759"/>
    <cellStyle name="Output 3 2 2 3 14" xfId="27543"/>
    <cellStyle name="Output 3 2 2 3 15" xfId="26667"/>
    <cellStyle name="Output 3 2 2 3 16" xfId="35096"/>
    <cellStyle name="Output 3 2 2 3 17" xfId="35267"/>
    <cellStyle name="Output 3 2 2 3 2" xfId="14866"/>
    <cellStyle name="Output 3 2 2 3 3" xfId="15638"/>
    <cellStyle name="Output 3 2 2 3 4" xfId="15639"/>
    <cellStyle name="Output 3 2 2 3 5" xfId="15426"/>
    <cellStyle name="Output 3 2 2 3 6" xfId="14247"/>
    <cellStyle name="Output 3 2 2 3 7" xfId="14112"/>
    <cellStyle name="Output 3 2 2 3 8" xfId="15782"/>
    <cellStyle name="Output 3 2 2 3 9" xfId="13642"/>
    <cellStyle name="Output 3 2 2 4" xfId="12485"/>
    <cellStyle name="Output 3 2 2 4 10" xfId="26349"/>
    <cellStyle name="Output 3 2 2 4 11" xfId="27145"/>
    <cellStyle name="Output 3 2 2 4 12" xfId="28759"/>
    <cellStyle name="Output 3 2 2 4 13" xfId="26960"/>
    <cellStyle name="Output 3 2 2 4 14" xfId="26566"/>
    <cellStyle name="Output 3 2 2 4 15" xfId="26571"/>
    <cellStyle name="Output 3 2 2 4 16" xfId="35043"/>
    <cellStyle name="Output 3 2 2 4 17" xfId="35300"/>
    <cellStyle name="Output 3 2 2 4 2" xfId="14899"/>
    <cellStyle name="Output 3 2 2 4 3" xfId="15852"/>
    <cellStyle name="Output 3 2 2 4 4" xfId="14316"/>
    <cellStyle name="Output 3 2 2 4 5" xfId="14333"/>
    <cellStyle name="Output 3 2 2 4 6" xfId="13842"/>
    <cellStyle name="Output 3 2 2 4 7" xfId="15352"/>
    <cellStyle name="Output 3 2 2 4 8" xfId="14182"/>
    <cellStyle name="Output 3 2 2 4 9" xfId="14985"/>
    <cellStyle name="Output 3 2 2 5" xfId="12486"/>
    <cellStyle name="Output 3 2 2 5 10" xfId="26367"/>
    <cellStyle name="Output 3 2 2 5 11" xfId="27138"/>
    <cellStyle name="Output 3 2 2 5 12" xfId="26014"/>
    <cellStyle name="Output 3 2 2 5 13" xfId="26736"/>
    <cellStyle name="Output 3 2 2 5 14" xfId="26884"/>
    <cellStyle name="Output 3 2 2 5 15" xfId="27554"/>
    <cellStyle name="Output 3 2 2 5 16" xfId="35059"/>
    <cellStyle name="Output 3 2 2 5 17" xfId="34895"/>
    <cellStyle name="Output 3 2 2 5 2" xfId="14887"/>
    <cellStyle name="Output 3 2 2 5 3" xfId="15199"/>
    <cellStyle name="Output 3 2 2 5 4" xfId="14785"/>
    <cellStyle name="Output 3 2 2 5 5" xfId="13508"/>
    <cellStyle name="Output 3 2 2 5 6" xfId="14154"/>
    <cellStyle name="Output 3 2 2 5 7" xfId="13454"/>
    <cellStyle name="Output 3 2 2 5 8" xfId="17861"/>
    <cellStyle name="Output 3 2 2 5 9" xfId="13692"/>
    <cellStyle name="Output 3 2 2 6" xfId="13837"/>
    <cellStyle name="Output 3 2 2 7" xfId="13992"/>
    <cellStyle name="Output 3 2 2 8" xfId="13650"/>
    <cellStyle name="Output 3 2 2 9" xfId="14339"/>
    <cellStyle name="Output 3 2 3" xfId="12487"/>
    <cellStyle name="Output 3 2 3 10" xfId="26291"/>
    <cellStyle name="Output 3 2 3 11" xfId="27186"/>
    <cellStyle name="Output 3 2 3 12" xfId="26652"/>
    <cellStyle name="Output 3 2 3 13" xfId="27475"/>
    <cellStyle name="Output 3 2 3 14" xfId="27229"/>
    <cellStyle name="Output 3 2 3 15" xfId="27570"/>
    <cellStyle name="Output 3 2 3 16" xfId="34988"/>
    <cellStyle name="Output 3 2 3 17" xfId="35340"/>
    <cellStyle name="Output 3 2 3 2" xfId="14929"/>
    <cellStyle name="Output 3 2 3 3" xfId="13710"/>
    <cellStyle name="Output 3 2 3 4" xfId="14634"/>
    <cellStyle name="Output 3 2 3 5" xfId="13573"/>
    <cellStyle name="Output 3 2 3 6" xfId="15753"/>
    <cellStyle name="Output 3 2 3 7" xfId="13966"/>
    <cellStyle name="Output 3 2 3 8" xfId="14999"/>
    <cellStyle name="Output 3 2 3 9" xfId="15100"/>
    <cellStyle name="Output 3 2 4" xfId="15791"/>
    <cellStyle name="Output 3 2 5" xfId="13627"/>
    <cellStyle name="Output 3 2 6" xfId="14324"/>
    <cellStyle name="Output 3 2 7" xfId="13694"/>
    <cellStyle name="Output 3 2 8" xfId="15834"/>
    <cellStyle name="Output 3 2 9" xfId="26064"/>
    <cellStyle name="Output 3 3" xfId="12488"/>
    <cellStyle name="Output 3 3 10" xfId="14780"/>
    <cellStyle name="Output 3 3 11" xfId="14479"/>
    <cellStyle name="Output 3 3 12" xfId="15336"/>
    <cellStyle name="Output 3 3 13" xfId="14487"/>
    <cellStyle name="Output 3 3 14" xfId="26285"/>
    <cellStyle name="Output 3 3 15" xfId="27190"/>
    <cellStyle name="Output 3 3 16" xfId="27586"/>
    <cellStyle name="Output 3 3 17" xfId="26533"/>
    <cellStyle name="Output 3 3 18" xfId="26904"/>
    <cellStyle name="Output 3 3 19" xfId="27281"/>
    <cellStyle name="Output 3 3 2" xfId="12489"/>
    <cellStyle name="Output 3 3 2 10" xfId="26338"/>
    <cellStyle name="Output 3 3 2 11" xfId="27152"/>
    <cellStyle name="Output 3 3 2 12" xfId="26711"/>
    <cellStyle name="Output 3 3 2 13" xfId="27363"/>
    <cellStyle name="Output 3 3 2 14" xfId="27031"/>
    <cellStyle name="Output 3 3 2 15" xfId="26716"/>
    <cellStyle name="Output 3 3 2 16" xfId="35033"/>
    <cellStyle name="Output 3 3 2 17" xfId="35307"/>
    <cellStyle name="Output 3 3 2 2" xfId="15694"/>
    <cellStyle name="Output 3 3 2 3" xfId="13742"/>
    <cellStyle name="Output 3 3 2 4" xfId="15537"/>
    <cellStyle name="Output 3 3 2 5" xfId="14545"/>
    <cellStyle name="Output 3 3 2 6" xfId="14201"/>
    <cellStyle name="Output 3 3 2 7" xfId="14458"/>
    <cellStyle name="Output 3 3 2 8" xfId="15456"/>
    <cellStyle name="Output 3 3 2 9" xfId="15121"/>
    <cellStyle name="Output 3 3 20" xfId="34981"/>
    <cellStyle name="Output 3 3 21" xfId="35344"/>
    <cellStyle name="Output 3 3 22" xfId="37515"/>
    <cellStyle name="Output 3 3 3" xfId="12490"/>
    <cellStyle name="Output 3 3 3 10" xfId="26477"/>
    <cellStyle name="Output 3 3 3 11" xfId="27670"/>
    <cellStyle name="Output 3 3 3 12" xfId="26635"/>
    <cellStyle name="Output 3 3 3 13" xfId="26789"/>
    <cellStyle name="Output 3 3 3 14" xfId="26932"/>
    <cellStyle name="Output 3 3 3 15" xfId="26799"/>
    <cellStyle name="Output 3 3 3 16" xfId="35160"/>
    <cellStyle name="Output 3 3 3 17" xfId="35219"/>
    <cellStyle name="Output 3 3 3 2" xfId="14832"/>
    <cellStyle name="Output 3 3 3 3" xfId="14435"/>
    <cellStyle name="Output 3 3 3 4" xfId="15010"/>
    <cellStyle name="Output 3 3 3 5" xfId="14009"/>
    <cellStyle name="Output 3 3 3 6" xfId="15115"/>
    <cellStyle name="Output 3 3 3 7" xfId="14686"/>
    <cellStyle name="Output 3 3 3 8" xfId="14173"/>
    <cellStyle name="Output 3 3 3 9" xfId="14084"/>
    <cellStyle name="Output 3 3 4" xfId="12491"/>
    <cellStyle name="Output 3 3 4 10" xfId="26462"/>
    <cellStyle name="Output 3 3 4 11" xfId="27074"/>
    <cellStyle name="Output 3 3 4 12" xfId="27751"/>
    <cellStyle name="Output 3 3 4 13" xfId="29773"/>
    <cellStyle name="Output 3 3 4 14" xfId="26933"/>
    <cellStyle name="Output 3 3 4 15" xfId="25971"/>
    <cellStyle name="Output 3 3 4 16" xfId="35145"/>
    <cellStyle name="Output 3 3 4 17" xfId="35229"/>
    <cellStyle name="Output 3 3 4 2" xfId="15658"/>
    <cellStyle name="Output 3 3 4 3" xfId="15211"/>
    <cellStyle name="Output 3 3 4 4" xfId="15105"/>
    <cellStyle name="Output 3 3 4 5" xfId="15220"/>
    <cellStyle name="Output 3 3 4 6" xfId="13979"/>
    <cellStyle name="Output 3 3 4 7" xfId="15477"/>
    <cellStyle name="Output 3 3 4 8" xfId="15152"/>
    <cellStyle name="Output 3 3 4 9" xfId="14372"/>
    <cellStyle name="Output 3 3 5" xfId="12492"/>
    <cellStyle name="Output 3 3 5 10" xfId="26491"/>
    <cellStyle name="Output 3 3 5 11" xfId="27054"/>
    <cellStyle name="Output 3 3 5 12" xfId="27009"/>
    <cellStyle name="Output 3 3 5 13" xfId="26691"/>
    <cellStyle name="Output 3 3 5 14" xfId="26205"/>
    <cellStyle name="Output 3 3 5 15" xfId="27628"/>
    <cellStyle name="Output 3 3 5 16" xfId="35174"/>
    <cellStyle name="Output 3 3 5 17" xfId="35388"/>
    <cellStyle name="Output 3 3 5 2" xfId="14828"/>
    <cellStyle name="Output 3 3 5 3" xfId="14442"/>
    <cellStyle name="Output 3 3 5 4" xfId="15757"/>
    <cellStyle name="Output 3 3 5 5" xfId="14011"/>
    <cellStyle name="Output 3 3 5 6" xfId="15560"/>
    <cellStyle name="Output 3 3 5 7" xfId="14013"/>
    <cellStyle name="Output 3 3 5 8" xfId="14111"/>
    <cellStyle name="Output 3 3 5 9" xfId="14022"/>
    <cellStyle name="Output 3 3 6" xfId="15711"/>
    <cellStyle name="Output 3 3 7" xfId="13704"/>
    <cellStyle name="Output 3 3 8" xfId="14197"/>
    <cellStyle name="Output 3 3 9" xfId="13438"/>
    <cellStyle name="Output 3 4" xfId="12493"/>
    <cellStyle name="Output 3 4 10" xfId="13450"/>
    <cellStyle name="Output 3 4 11" xfId="14637"/>
    <cellStyle name="Output 3 4 12" xfId="21853"/>
    <cellStyle name="Output 3 4 13" xfId="14996"/>
    <cellStyle name="Output 3 4 14" xfId="26082"/>
    <cellStyle name="Output 3 4 15" xfId="25919"/>
    <cellStyle name="Output 3 4 16" xfId="27160"/>
    <cellStyle name="Output 3 4 17" xfId="27785"/>
    <cellStyle name="Output 3 4 18" xfId="27828"/>
    <cellStyle name="Output 3 4 19" xfId="27656"/>
    <cellStyle name="Output 3 4 2" xfId="12494"/>
    <cellStyle name="Output 3 4 2 10" xfId="26304"/>
    <cellStyle name="Output 3 4 2 11" xfId="27177"/>
    <cellStyle name="Output 3 4 2 12" xfId="27027"/>
    <cellStyle name="Output 3 4 2 13" xfId="26107"/>
    <cellStyle name="Output 3 4 2 14" xfId="27405"/>
    <cellStyle name="Output 3 4 2 15" xfId="27798"/>
    <cellStyle name="Output 3 4 2 16" xfId="35000"/>
    <cellStyle name="Output 3 4 2 17" xfId="35331"/>
    <cellStyle name="Output 3 4 2 2" xfId="13964"/>
    <cellStyle name="Output 3 4 2 3" xfId="14031"/>
    <cellStyle name="Output 3 4 2 4" xfId="14302"/>
    <cellStyle name="Output 3 4 2 5" xfId="15848"/>
    <cellStyle name="Output 3 4 2 6" xfId="15525"/>
    <cellStyle name="Output 3 4 2 7" xfId="14945"/>
    <cellStyle name="Output 3 4 2 8" xfId="14367"/>
    <cellStyle name="Output 3 4 2 9" xfId="15113"/>
    <cellStyle name="Output 3 4 20" xfId="34943"/>
    <cellStyle name="Output 3 4 21" xfId="35476"/>
    <cellStyle name="Output 3 4 22" xfId="37516"/>
    <cellStyle name="Output 3 4 3" xfId="12495"/>
    <cellStyle name="Output 3 4 3 10" xfId="26384"/>
    <cellStyle name="Output 3 4 3 11" xfId="27704"/>
    <cellStyle name="Output 3 4 3 12" xfId="26519"/>
    <cellStyle name="Output 3 4 3 13" xfId="26109"/>
    <cellStyle name="Output 3 4 3 14" xfId="26601"/>
    <cellStyle name="Output 3 4 3 15" xfId="26899"/>
    <cellStyle name="Output 3 4 3 16" xfId="35075"/>
    <cellStyle name="Output 3 4 3 17" xfId="35428"/>
    <cellStyle name="Output 3 4 3 2" xfId="15678"/>
    <cellStyle name="Output 3 4 3 3" xfId="14049"/>
    <cellStyle name="Output 3 4 3 4" xfId="15109"/>
    <cellStyle name="Output 3 4 3 5" xfId="13662"/>
    <cellStyle name="Output 3 4 3 6" xfId="13908"/>
    <cellStyle name="Output 3 4 3 7" xfId="14266"/>
    <cellStyle name="Output 3 4 3 8" xfId="18843"/>
    <cellStyle name="Output 3 4 3 9" xfId="14456"/>
    <cellStyle name="Output 3 4 4" xfId="12496"/>
    <cellStyle name="Output 3 4 4 10" xfId="26344"/>
    <cellStyle name="Output 3 4 4 11" xfId="27148"/>
    <cellStyle name="Output 3 4 4 12" xfId="25896"/>
    <cellStyle name="Output 3 4 4 13" xfId="28760"/>
    <cellStyle name="Output 3 4 4 14" xfId="27288"/>
    <cellStyle name="Output 3 4 4 15" xfId="27396"/>
    <cellStyle name="Output 3 4 4 16" xfId="35038"/>
    <cellStyle name="Output 3 4 4 17" xfId="35440"/>
    <cellStyle name="Output 3 4 4 2" xfId="15692"/>
    <cellStyle name="Output 3 4 4 3" xfId="15803"/>
    <cellStyle name="Output 3 4 4 4" xfId="15731"/>
    <cellStyle name="Output 3 4 4 5" xfId="14413"/>
    <cellStyle name="Output 3 4 4 6" xfId="15545"/>
    <cellStyle name="Output 3 4 4 7" xfId="14082"/>
    <cellStyle name="Output 3 4 4 8" xfId="14160"/>
    <cellStyle name="Output 3 4 4 9" xfId="13630"/>
    <cellStyle name="Output 3 4 5" xfId="12497"/>
    <cellStyle name="Output 3 4 5 10" xfId="26455"/>
    <cellStyle name="Output 3 4 5 11" xfId="27079"/>
    <cellStyle name="Output 3 4 5 12" xfId="26909"/>
    <cellStyle name="Output 3 4 5 13" xfId="26745"/>
    <cellStyle name="Output 3 4 5 14" xfId="27427"/>
    <cellStyle name="Output 3 4 5 15" xfId="27474"/>
    <cellStyle name="Output 3 4 5 16" xfId="35138"/>
    <cellStyle name="Output 3 4 5 17" xfId="35234"/>
    <cellStyle name="Output 3 4 5 2" xfId="15660"/>
    <cellStyle name="Output 3 4 5 3" xfId="14065"/>
    <cellStyle name="Output 3 4 5 4" xfId="16844"/>
    <cellStyle name="Output 3 4 5 5" xfId="15440"/>
    <cellStyle name="Output 3 4 5 6" xfId="15048"/>
    <cellStyle name="Output 3 4 5 7" xfId="14939"/>
    <cellStyle name="Output 3 4 5 8" xfId="15854"/>
    <cellStyle name="Output 3 4 5 9" xfId="13950"/>
    <cellStyle name="Output 3 4 6" xfId="13847"/>
    <cellStyle name="Output 3 4 7" xfId="13987"/>
    <cellStyle name="Output 3 4 8" xfId="13832"/>
    <cellStyle name="Output 3 4 9" xfId="13534"/>
    <cellStyle name="Output 3 5" xfId="12498"/>
    <cellStyle name="Output 3 5 10" xfId="26288"/>
    <cellStyle name="Output 3 5 11" xfId="27738"/>
    <cellStyle name="Output 3 5 12" xfId="25926"/>
    <cellStyle name="Output 3 5 13" xfId="27849"/>
    <cellStyle name="Output 3 5 14" xfId="26851"/>
    <cellStyle name="Output 3 5 15" xfId="26593"/>
    <cellStyle name="Output 3 5 16" xfId="34985"/>
    <cellStyle name="Output 3 5 17" xfId="35463"/>
    <cellStyle name="Output 3 5 2" xfId="14931"/>
    <cellStyle name="Output 3 5 3" xfId="14026"/>
    <cellStyle name="Output 3 5 4" xfId="14790"/>
    <cellStyle name="Output 3 5 5" xfId="13436"/>
    <cellStyle name="Output 3 5 6" xfId="15455"/>
    <cellStyle name="Output 3 5 7" xfId="13570"/>
    <cellStyle name="Output 3 5 8" xfId="14298"/>
    <cellStyle name="Output 3 5 9" xfId="15256"/>
    <cellStyle name="Output 3 6" xfId="12499"/>
    <cellStyle name="Output 3 6 10" xfId="24869"/>
    <cellStyle name="Output 3 6 11" xfId="25868"/>
    <cellStyle name="Output 3 6 12" xfId="28774"/>
    <cellStyle name="Output 3 6 13" xfId="29791"/>
    <cellStyle name="Output 3 6 14" xfId="30824"/>
    <cellStyle name="Output 3 6 15" xfId="31819"/>
    <cellStyle name="Output 3 6 16" xfId="32823"/>
    <cellStyle name="Output 3 6 17" xfId="33826"/>
    <cellStyle name="Output 3 6 18" xfId="34825"/>
    <cellStyle name="Output 3 6 19" xfId="36386"/>
    <cellStyle name="Output 3 6 2" xfId="16858"/>
    <cellStyle name="Output 3 6 20" xfId="37385"/>
    <cellStyle name="Output 3 6 3" xfId="17838"/>
    <cellStyle name="Output 3 6 4" xfId="18863"/>
    <cellStyle name="Output 3 6 5" xfId="19897"/>
    <cellStyle name="Output 3 6 6" xfId="20922"/>
    <cellStyle name="Output 3 6 7" xfId="21882"/>
    <cellStyle name="Output 3 6 8" xfId="22894"/>
    <cellStyle name="Output 3 6 9" xfId="23897"/>
    <cellStyle name="Output 3 7" xfId="12480"/>
    <cellStyle name="Output 3 8" xfId="34885"/>
    <cellStyle name="Output 3 9" xfId="37399"/>
    <cellStyle name="Output 4" xfId="12500"/>
    <cellStyle name="Output 5" xfId="12501"/>
    <cellStyle name="Percent" xfId="3" builtinId="5"/>
    <cellStyle name="Percent 10" xfId="12502"/>
    <cellStyle name="Percent 10 2" xfId="12503"/>
    <cellStyle name="Percent 10 2 2" xfId="12504"/>
    <cellStyle name="Percent 10 3" xfId="12505"/>
    <cellStyle name="Percent 10 4" xfId="12506"/>
    <cellStyle name="Percent 10 5" xfId="34915"/>
    <cellStyle name="Percent 11" xfId="12507"/>
    <cellStyle name="Percent 11 2" xfId="12508"/>
    <cellStyle name="Percent 11 2 2" xfId="12509"/>
    <cellStyle name="Percent 11 2 3" xfId="12510"/>
    <cellStyle name="Percent 11 3" xfId="12511"/>
    <cellStyle name="Percent 11 3 2" xfId="12512"/>
    <cellStyle name="Percent 11 3 3" xfId="12513"/>
    <cellStyle name="Percent 11 4" xfId="12514"/>
    <cellStyle name="Percent 11 5" xfId="12515"/>
    <cellStyle name="Percent 12" xfId="12516"/>
    <cellStyle name="Percent 13" xfId="12517"/>
    <cellStyle name="Percent 14" xfId="12518"/>
    <cellStyle name="Percent 14 2" xfId="12519"/>
    <cellStyle name="Percent 14 2 2" xfId="12520"/>
    <cellStyle name="Percent 15" xfId="12521"/>
    <cellStyle name="Percent 16 2" xfId="12522"/>
    <cellStyle name="Percent 16 2 2" xfId="12523"/>
    <cellStyle name="Percent 2" xfId="24"/>
    <cellStyle name="Percent 2 2" xfId="25"/>
    <cellStyle name="Percent 2 2 2" xfId="248"/>
    <cellStyle name="Percent 2 2 3" xfId="12524"/>
    <cellStyle name="Percent 2 2 3 2" xfId="12525"/>
    <cellStyle name="Percent 2 2 4" xfId="12526"/>
    <cellStyle name="Percent 2 3" xfId="350"/>
    <cellStyle name="Percent 2 3 2" xfId="12527"/>
    <cellStyle name="Percent 2 3 3" xfId="12528"/>
    <cellStyle name="Percent 2 3 4" xfId="37439"/>
    <cellStyle name="Percent 2 4" xfId="12529"/>
    <cellStyle name="Percent 2 4 2" xfId="12530"/>
    <cellStyle name="Percent 2 4 3" xfId="12531"/>
    <cellStyle name="Percent 2 5" xfId="12532"/>
    <cellStyle name="Percent 2 6" xfId="26"/>
    <cellStyle name="Percent 2 7" xfId="12533"/>
    <cellStyle name="Percent 3" xfId="27"/>
    <cellStyle name="Percent 3 10" xfId="12534"/>
    <cellStyle name="Percent 3 11" xfId="12535"/>
    <cellStyle name="Percent 3 2" xfId="28"/>
    <cellStyle name="Percent 3 2 2" xfId="12536"/>
    <cellStyle name="Percent 3 2 2 2" xfId="12537"/>
    <cellStyle name="Percent 3 2 2 2 2" xfId="12538"/>
    <cellStyle name="Percent 3 2 2 2 2 2" xfId="12539"/>
    <cellStyle name="Percent 3 2 2 2 2 2 2" xfId="12540"/>
    <cellStyle name="Percent 3 2 2 2 2 2 2 2" xfId="12541"/>
    <cellStyle name="Percent 3 2 2 2 2 2 2 3" xfId="12542"/>
    <cellStyle name="Percent 3 2 2 2 2 2 3" xfId="12543"/>
    <cellStyle name="Percent 3 2 2 2 2 2 3 2" xfId="12544"/>
    <cellStyle name="Percent 3 2 2 2 2 2 3 3" xfId="12545"/>
    <cellStyle name="Percent 3 2 2 2 2 2 4" xfId="12546"/>
    <cellStyle name="Percent 3 2 2 2 2 2 5" xfId="12547"/>
    <cellStyle name="Percent 3 2 2 2 2 3" xfId="12548"/>
    <cellStyle name="Percent 3 2 2 2 2 3 2" xfId="12549"/>
    <cellStyle name="Percent 3 2 2 2 2 3 3" xfId="12550"/>
    <cellStyle name="Percent 3 2 2 2 2 4" xfId="12551"/>
    <cellStyle name="Percent 3 2 2 2 2 4 2" xfId="12552"/>
    <cellStyle name="Percent 3 2 2 2 2 4 3" xfId="12553"/>
    <cellStyle name="Percent 3 2 2 2 2 5" xfId="12554"/>
    <cellStyle name="Percent 3 2 2 2 2 6" xfId="12555"/>
    <cellStyle name="Percent 3 2 2 2 3" xfId="12556"/>
    <cellStyle name="Percent 3 2 2 2 3 2" xfId="12557"/>
    <cellStyle name="Percent 3 2 2 2 3 2 2" xfId="12558"/>
    <cellStyle name="Percent 3 2 2 2 3 2 3" xfId="12559"/>
    <cellStyle name="Percent 3 2 2 2 3 3" xfId="12560"/>
    <cellStyle name="Percent 3 2 2 2 3 3 2" xfId="12561"/>
    <cellStyle name="Percent 3 2 2 2 3 3 3" xfId="12562"/>
    <cellStyle name="Percent 3 2 2 2 3 4" xfId="12563"/>
    <cellStyle name="Percent 3 2 2 2 3 5" xfId="12564"/>
    <cellStyle name="Percent 3 2 2 2 4" xfId="12565"/>
    <cellStyle name="Percent 3 2 2 2 4 2" xfId="12566"/>
    <cellStyle name="Percent 3 2 2 2 4 3" xfId="12567"/>
    <cellStyle name="Percent 3 2 2 2 5" xfId="12568"/>
    <cellStyle name="Percent 3 2 2 2 5 2" xfId="12569"/>
    <cellStyle name="Percent 3 2 2 2 5 3" xfId="12570"/>
    <cellStyle name="Percent 3 2 2 2 6" xfId="12571"/>
    <cellStyle name="Percent 3 2 2 2 7" xfId="12572"/>
    <cellStyle name="Percent 3 2 2 3" xfId="12573"/>
    <cellStyle name="Percent 3 2 2 3 2" xfId="12574"/>
    <cellStyle name="Percent 3 2 2 3 2 2" xfId="12575"/>
    <cellStyle name="Percent 3 2 2 3 2 2 2" xfId="12576"/>
    <cellStyle name="Percent 3 2 2 3 2 2 3" xfId="12577"/>
    <cellStyle name="Percent 3 2 2 3 2 3" xfId="12578"/>
    <cellStyle name="Percent 3 2 2 3 2 3 2" xfId="12579"/>
    <cellStyle name="Percent 3 2 2 3 2 3 3" xfId="12580"/>
    <cellStyle name="Percent 3 2 2 3 2 4" xfId="12581"/>
    <cellStyle name="Percent 3 2 2 3 2 5" xfId="12582"/>
    <cellStyle name="Percent 3 2 2 3 3" xfId="12583"/>
    <cellStyle name="Percent 3 2 2 3 3 2" xfId="12584"/>
    <cellStyle name="Percent 3 2 2 3 3 3" xfId="12585"/>
    <cellStyle name="Percent 3 2 2 3 4" xfId="12586"/>
    <cellStyle name="Percent 3 2 2 3 4 2" xfId="12587"/>
    <cellStyle name="Percent 3 2 2 3 4 3" xfId="12588"/>
    <cellStyle name="Percent 3 2 2 3 5" xfId="12589"/>
    <cellStyle name="Percent 3 2 2 3 6" xfId="12590"/>
    <cellStyle name="Percent 3 2 2 4" xfId="12591"/>
    <cellStyle name="Percent 3 2 2 4 2" xfId="12592"/>
    <cellStyle name="Percent 3 2 2 4 2 2" xfId="12593"/>
    <cellStyle name="Percent 3 2 2 4 2 3" xfId="12594"/>
    <cellStyle name="Percent 3 2 2 4 3" xfId="12595"/>
    <cellStyle name="Percent 3 2 2 4 3 2" xfId="12596"/>
    <cellStyle name="Percent 3 2 2 4 3 3" xfId="12597"/>
    <cellStyle name="Percent 3 2 2 4 4" xfId="12598"/>
    <cellStyle name="Percent 3 2 2 4 5" xfId="12599"/>
    <cellStyle name="Percent 3 2 2 5" xfId="12600"/>
    <cellStyle name="Percent 3 2 2 5 2" xfId="12601"/>
    <cellStyle name="Percent 3 2 2 5 3" xfId="12602"/>
    <cellStyle name="Percent 3 2 2 6" xfId="12603"/>
    <cellStyle name="Percent 3 2 2 6 2" xfId="12604"/>
    <cellStyle name="Percent 3 2 2 6 3" xfId="12605"/>
    <cellStyle name="Percent 3 2 2 7" xfId="12606"/>
    <cellStyle name="Percent 3 2 2 8" xfId="12607"/>
    <cellStyle name="Percent 3 2 3" xfId="12608"/>
    <cellStyle name="Percent 3 2 3 2" xfId="12609"/>
    <cellStyle name="Percent 3 2 3 2 2" xfId="12610"/>
    <cellStyle name="Percent 3 2 3 2 2 2" xfId="12611"/>
    <cellStyle name="Percent 3 2 3 2 2 2 2" xfId="12612"/>
    <cellStyle name="Percent 3 2 3 2 2 2 3" xfId="12613"/>
    <cellStyle name="Percent 3 2 3 2 2 3" xfId="12614"/>
    <cellStyle name="Percent 3 2 3 2 2 3 2" xfId="12615"/>
    <cellStyle name="Percent 3 2 3 2 2 3 3" xfId="12616"/>
    <cellStyle name="Percent 3 2 3 2 2 4" xfId="12617"/>
    <cellStyle name="Percent 3 2 3 2 2 5" xfId="12618"/>
    <cellStyle name="Percent 3 2 3 2 3" xfId="12619"/>
    <cellStyle name="Percent 3 2 3 2 3 2" xfId="12620"/>
    <cellStyle name="Percent 3 2 3 2 3 3" xfId="12621"/>
    <cellStyle name="Percent 3 2 3 2 4" xfId="12622"/>
    <cellStyle name="Percent 3 2 3 2 4 2" xfId="12623"/>
    <cellStyle name="Percent 3 2 3 2 4 3" xfId="12624"/>
    <cellStyle name="Percent 3 2 3 2 5" xfId="12625"/>
    <cellStyle name="Percent 3 2 3 2 6" xfId="12626"/>
    <cellStyle name="Percent 3 2 3 3" xfId="12627"/>
    <cellStyle name="Percent 3 2 3 3 2" xfId="12628"/>
    <cellStyle name="Percent 3 2 3 3 2 2" xfId="12629"/>
    <cellStyle name="Percent 3 2 3 3 2 3" xfId="12630"/>
    <cellStyle name="Percent 3 2 3 3 3" xfId="12631"/>
    <cellStyle name="Percent 3 2 3 3 3 2" xfId="12632"/>
    <cellStyle name="Percent 3 2 3 3 3 3" xfId="12633"/>
    <cellStyle name="Percent 3 2 3 3 4" xfId="12634"/>
    <cellStyle name="Percent 3 2 3 3 5" xfId="12635"/>
    <cellStyle name="Percent 3 2 3 4" xfId="12636"/>
    <cellStyle name="Percent 3 2 3 4 2" xfId="12637"/>
    <cellStyle name="Percent 3 2 3 4 3" xfId="12638"/>
    <cellStyle name="Percent 3 2 3 5" xfId="12639"/>
    <cellStyle name="Percent 3 2 3 5 2" xfId="12640"/>
    <cellStyle name="Percent 3 2 3 5 3" xfId="12641"/>
    <cellStyle name="Percent 3 2 3 6" xfId="12642"/>
    <cellStyle name="Percent 3 2 3 7" xfId="12643"/>
    <cellStyle name="Percent 3 2 4" xfId="12644"/>
    <cellStyle name="Percent 3 2 4 2" xfId="12645"/>
    <cellStyle name="Percent 3 2 4 2 2" xfId="12646"/>
    <cellStyle name="Percent 3 2 4 2 2 2" xfId="12647"/>
    <cellStyle name="Percent 3 2 4 2 2 3" xfId="12648"/>
    <cellStyle name="Percent 3 2 4 2 3" xfId="12649"/>
    <cellStyle name="Percent 3 2 4 2 3 2" xfId="12650"/>
    <cellStyle name="Percent 3 2 4 2 3 3" xfId="12651"/>
    <cellStyle name="Percent 3 2 4 2 4" xfId="12652"/>
    <cellStyle name="Percent 3 2 4 2 5" xfId="12653"/>
    <cellStyle name="Percent 3 2 4 3" xfId="12654"/>
    <cellStyle name="Percent 3 2 4 3 2" xfId="12655"/>
    <cellStyle name="Percent 3 2 4 3 3" xfId="12656"/>
    <cellStyle name="Percent 3 2 4 4" xfId="12657"/>
    <cellStyle name="Percent 3 2 4 4 2" xfId="12658"/>
    <cellStyle name="Percent 3 2 4 4 3" xfId="12659"/>
    <cellStyle name="Percent 3 2 4 5" xfId="12660"/>
    <cellStyle name="Percent 3 2 4 6" xfId="12661"/>
    <cellStyle name="Percent 3 2 5" xfId="12662"/>
    <cellStyle name="Percent 3 2 5 2" xfId="12663"/>
    <cellStyle name="Percent 3 2 5 2 2" xfId="12664"/>
    <cellStyle name="Percent 3 2 5 2 3" xfId="12665"/>
    <cellStyle name="Percent 3 2 5 3" xfId="12666"/>
    <cellStyle name="Percent 3 2 5 3 2" xfId="12667"/>
    <cellStyle name="Percent 3 2 5 3 3" xfId="12668"/>
    <cellStyle name="Percent 3 2 5 4" xfId="12669"/>
    <cellStyle name="Percent 3 2 5 5" xfId="12670"/>
    <cellStyle name="Percent 3 2 6" xfId="12671"/>
    <cellStyle name="Percent 3 2 6 2" xfId="12672"/>
    <cellStyle name="Percent 3 2 6 3" xfId="12673"/>
    <cellStyle name="Percent 3 2 7" xfId="12674"/>
    <cellStyle name="Percent 3 2 7 2" xfId="12675"/>
    <cellStyle name="Percent 3 2 7 3" xfId="12676"/>
    <cellStyle name="Percent 3 2 8" xfId="12677"/>
    <cellStyle name="Percent 3 2 9" xfId="12678"/>
    <cellStyle name="Percent 3 3" xfId="12679"/>
    <cellStyle name="Percent 3 3 2" xfId="12680"/>
    <cellStyle name="Percent 3 3 2 2" xfId="12681"/>
    <cellStyle name="Percent 3 3 2 2 2" xfId="12682"/>
    <cellStyle name="Percent 3 3 2 2 2 2" xfId="12683"/>
    <cellStyle name="Percent 3 3 2 2 2 2 2" xfId="12684"/>
    <cellStyle name="Percent 3 3 2 2 2 2 3" xfId="12685"/>
    <cellStyle name="Percent 3 3 2 2 2 3" xfId="12686"/>
    <cellStyle name="Percent 3 3 2 2 2 3 2" xfId="12687"/>
    <cellStyle name="Percent 3 3 2 2 2 3 3" xfId="12688"/>
    <cellStyle name="Percent 3 3 2 2 2 4" xfId="12689"/>
    <cellStyle name="Percent 3 3 2 2 2 5" xfId="12690"/>
    <cellStyle name="Percent 3 3 2 2 3" xfId="12691"/>
    <cellStyle name="Percent 3 3 2 2 3 2" xfId="12692"/>
    <cellStyle name="Percent 3 3 2 2 3 3" xfId="12693"/>
    <cellStyle name="Percent 3 3 2 2 4" xfId="12694"/>
    <cellStyle name="Percent 3 3 2 2 4 2" xfId="12695"/>
    <cellStyle name="Percent 3 3 2 2 4 3" xfId="12696"/>
    <cellStyle name="Percent 3 3 2 2 5" xfId="12697"/>
    <cellStyle name="Percent 3 3 2 2 6" xfId="12698"/>
    <cellStyle name="Percent 3 3 2 3" xfId="12699"/>
    <cellStyle name="Percent 3 3 2 3 2" xfId="12700"/>
    <cellStyle name="Percent 3 3 2 3 2 2" xfId="12701"/>
    <cellStyle name="Percent 3 3 2 3 2 3" xfId="12702"/>
    <cellStyle name="Percent 3 3 2 3 3" xfId="12703"/>
    <cellStyle name="Percent 3 3 2 3 3 2" xfId="12704"/>
    <cellStyle name="Percent 3 3 2 3 3 3" xfId="12705"/>
    <cellStyle name="Percent 3 3 2 3 4" xfId="12706"/>
    <cellStyle name="Percent 3 3 2 3 5" xfId="12707"/>
    <cellStyle name="Percent 3 3 2 4" xfId="12708"/>
    <cellStyle name="Percent 3 3 2 4 2" xfId="12709"/>
    <cellStyle name="Percent 3 3 2 4 3" xfId="12710"/>
    <cellStyle name="Percent 3 3 2 5" xfId="12711"/>
    <cellStyle name="Percent 3 3 2 5 2" xfId="12712"/>
    <cellStyle name="Percent 3 3 2 5 3" xfId="12713"/>
    <cellStyle name="Percent 3 3 2 6" xfId="12714"/>
    <cellStyle name="Percent 3 3 2 7" xfId="12715"/>
    <cellStyle name="Percent 3 3 3" xfId="12716"/>
    <cellStyle name="Percent 3 3 3 2" xfId="12717"/>
    <cellStyle name="Percent 3 3 3 2 2" xfId="12718"/>
    <cellStyle name="Percent 3 3 3 2 2 2" xfId="12719"/>
    <cellStyle name="Percent 3 3 3 2 2 3" xfId="12720"/>
    <cellStyle name="Percent 3 3 3 2 3" xfId="12721"/>
    <cellStyle name="Percent 3 3 3 2 3 2" xfId="12722"/>
    <cellStyle name="Percent 3 3 3 2 3 3" xfId="12723"/>
    <cellStyle name="Percent 3 3 3 2 4" xfId="12724"/>
    <cellStyle name="Percent 3 3 3 2 5" xfId="12725"/>
    <cellStyle name="Percent 3 3 3 3" xfId="12726"/>
    <cellStyle name="Percent 3 3 3 3 2" xfId="12727"/>
    <cellStyle name="Percent 3 3 3 3 3" xfId="12728"/>
    <cellStyle name="Percent 3 3 3 4" xfId="12729"/>
    <cellStyle name="Percent 3 3 3 4 2" xfId="12730"/>
    <cellStyle name="Percent 3 3 3 4 3" xfId="12731"/>
    <cellStyle name="Percent 3 3 3 5" xfId="12732"/>
    <cellStyle name="Percent 3 3 3 6" xfId="12733"/>
    <cellStyle name="Percent 3 3 4" xfId="12734"/>
    <cellStyle name="Percent 3 3 4 2" xfId="12735"/>
    <cellStyle name="Percent 3 3 4 2 2" xfId="12736"/>
    <cellStyle name="Percent 3 3 4 2 3" xfId="12737"/>
    <cellStyle name="Percent 3 3 4 3" xfId="12738"/>
    <cellStyle name="Percent 3 3 4 3 2" xfId="12739"/>
    <cellStyle name="Percent 3 3 4 3 3" xfId="12740"/>
    <cellStyle name="Percent 3 3 4 4" xfId="12741"/>
    <cellStyle name="Percent 3 3 4 5" xfId="12742"/>
    <cellStyle name="Percent 3 3 5" xfId="12743"/>
    <cellStyle name="Percent 3 3 5 2" xfId="12744"/>
    <cellStyle name="Percent 3 3 5 3" xfId="12745"/>
    <cellStyle name="Percent 3 3 6" xfId="12746"/>
    <cellStyle name="Percent 3 3 6 2" xfId="12747"/>
    <cellStyle name="Percent 3 3 6 3" xfId="12748"/>
    <cellStyle name="Percent 3 3 7" xfId="12749"/>
    <cellStyle name="Percent 3 3 8" xfId="12750"/>
    <cellStyle name="Percent 3 4" xfId="12751"/>
    <cellStyle name="Percent 3 4 2" xfId="12752"/>
    <cellStyle name="Percent 3 4 2 2" xfId="12753"/>
    <cellStyle name="Percent 3 4 2 2 2" xfId="12754"/>
    <cellStyle name="Percent 3 4 2 2 2 2" xfId="12755"/>
    <cellStyle name="Percent 3 4 2 2 2 2 2" xfId="12756"/>
    <cellStyle name="Percent 3 4 2 2 2 2 3" xfId="12757"/>
    <cellStyle name="Percent 3 4 2 2 2 3" xfId="12758"/>
    <cellStyle name="Percent 3 4 2 2 2 3 2" xfId="12759"/>
    <cellStyle name="Percent 3 4 2 2 2 3 3" xfId="12760"/>
    <cellStyle name="Percent 3 4 2 2 2 4" xfId="12761"/>
    <cellStyle name="Percent 3 4 2 2 2 5" xfId="12762"/>
    <cellStyle name="Percent 3 4 2 2 3" xfId="12763"/>
    <cellStyle name="Percent 3 4 2 2 3 2" xfId="12764"/>
    <cellStyle name="Percent 3 4 2 2 3 3" xfId="12765"/>
    <cellStyle name="Percent 3 4 2 2 4" xfId="12766"/>
    <cellStyle name="Percent 3 4 2 2 4 2" xfId="12767"/>
    <cellStyle name="Percent 3 4 2 2 4 3" xfId="12768"/>
    <cellStyle name="Percent 3 4 2 2 5" xfId="12769"/>
    <cellStyle name="Percent 3 4 2 2 6" xfId="12770"/>
    <cellStyle name="Percent 3 4 2 3" xfId="12771"/>
    <cellStyle name="Percent 3 4 2 3 2" xfId="12772"/>
    <cellStyle name="Percent 3 4 2 3 2 2" xfId="12773"/>
    <cellStyle name="Percent 3 4 2 3 2 3" xfId="12774"/>
    <cellStyle name="Percent 3 4 2 3 3" xfId="12775"/>
    <cellStyle name="Percent 3 4 2 3 3 2" xfId="12776"/>
    <cellStyle name="Percent 3 4 2 3 3 3" xfId="12777"/>
    <cellStyle name="Percent 3 4 2 3 4" xfId="12778"/>
    <cellStyle name="Percent 3 4 2 3 5" xfId="12779"/>
    <cellStyle name="Percent 3 4 2 4" xfId="12780"/>
    <cellStyle name="Percent 3 4 2 4 2" xfId="12781"/>
    <cellStyle name="Percent 3 4 2 4 3" xfId="12782"/>
    <cellStyle name="Percent 3 4 2 5" xfId="12783"/>
    <cellStyle name="Percent 3 4 2 5 2" xfId="12784"/>
    <cellStyle name="Percent 3 4 2 5 3" xfId="12785"/>
    <cellStyle name="Percent 3 4 2 6" xfId="12786"/>
    <cellStyle name="Percent 3 4 2 7" xfId="12787"/>
    <cellStyle name="Percent 3 4 3" xfId="12788"/>
    <cellStyle name="Percent 3 4 3 2" xfId="12789"/>
    <cellStyle name="Percent 3 4 3 2 2" xfId="12790"/>
    <cellStyle name="Percent 3 4 3 2 2 2" xfId="12791"/>
    <cellStyle name="Percent 3 4 3 2 2 3" xfId="12792"/>
    <cellStyle name="Percent 3 4 3 2 3" xfId="12793"/>
    <cellStyle name="Percent 3 4 3 2 3 2" xfId="12794"/>
    <cellStyle name="Percent 3 4 3 2 3 3" xfId="12795"/>
    <cellStyle name="Percent 3 4 3 2 4" xfId="12796"/>
    <cellStyle name="Percent 3 4 3 2 5" xfId="12797"/>
    <cellStyle name="Percent 3 4 3 3" xfId="12798"/>
    <cellStyle name="Percent 3 4 3 3 2" xfId="12799"/>
    <cellStyle name="Percent 3 4 3 3 3" xfId="12800"/>
    <cellStyle name="Percent 3 4 3 4" xfId="12801"/>
    <cellStyle name="Percent 3 4 3 4 2" xfId="12802"/>
    <cellStyle name="Percent 3 4 3 4 3" xfId="12803"/>
    <cellStyle name="Percent 3 4 3 5" xfId="12804"/>
    <cellStyle name="Percent 3 4 3 6" xfId="12805"/>
    <cellStyle name="Percent 3 4 4" xfId="12806"/>
    <cellStyle name="Percent 3 4 4 2" xfId="12807"/>
    <cellStyle name="Percent 3 4 4 2 2" xfId="12808"/>
    <cellStyle name="Percent 3 4 4 2 3" xfId="12809"/>
    <cellStyle name="Percent 3 4 4 3" xfId="12810"/>
    <cellStyle name="Percent 3 4 4 3 2" xfId="12811"/>
    <cellStyle name="Percent 3 4 4 3 3" xfId="12812"/>
    <cellStyle name="Percent 3 4 4 4" xfId="12813"/>
    <cellStyle name="Percent 3 4 4 5" xfId="12814"/>
    <cellStyle name="Percent 3 4 5" xfId="12815"/>
    <cellStyle name="Percent 3 4 5 2" xfId="12816"/>
    <cellStyle name="Percent 3 4 5 3" xfId="12817"/>
    <cellStyle name="Percent 3 4 6" xfId="12818"/>
    <cellStyle name="Percent 3 4 6 2" xfId="12819"/>
    <cellStyle name="Percent 3 4 6 3" xfId="12820"/>
    <cellStyle name="Percent 3 4 7" xfId="12821"/>
    <cellStyle name="Percent 3 4 8" xfId="12822"/>
    <cellStyle name="Percent 3 5" xfId="12823"/>
    <cellStyle name="Percent 3 5 2" xfId="12824"/>
    <cellStyle name="Percent 3 5 3" xfId="34916"/>
    <cellStyle name="Percent 3 6" xfId="12825"/>
    <cellStyle name="Percent 3 6 2" xfId="12826"/>
    <cellStyle name="Percent 3 6 2 2" xfId="12827"/>
    <cellStyle name="Percent 3 6 2 2 2" xfId="12828"/>
    <cellStyle name="Percent 3 6 2 2 3" xfId="12829"/>
    <cellStyle name="Percent 3 6 2 3" xfId="12830"/>
    <cellStyle name="Percent 3 6 2 3 2" xfId="12831"/>
    <cellStyle name="Percent 3 6 2 3 3" xfId="12832"/>
    <cellStyle name="Percent 3 6 2 4" xfId="12833"/>
    <cellStyle name="Percent 3 6 2 5" xfId="12834"/>
    <cellStyle name="Percent 3 6 3" xfId="12835"/>
    <cellStyle name="Percent 3 6 3 2" xfId="12836"/>
    <cellStyle name="Percent 3 6 3 3" xfId="12837"/>
    <cellStyle name="Percent 3 6 4" xfId="12838"/>
    <cellStyle name="Percent 3 6 4 2" xfId="12839"/>
    <cellStyle name="Percent 3 6 4 3" xfId="12840"/>
    <cellStyle name="Percent 3 6 5" xfId="12841"/>
    <cellStyle name="Percent 3 6 6" xfId="12842"/>
    <cellStyle name="Percent 3 7" xfId="12843"/>
    <cellStyle name="Percent 3 7 2" xfId="12844"/>
    <cellStyle name="Percent 3 7 2 2" xfId="12845"/>
    <cellStyle name="Percent 3 7 2 3" xfId="12846"/>
    <cellStyle name="Percent 3 7 3" xfId="12847"/>
    <cellStyle name="Percent 3 7 3 2" xfId="12848"/>
    <cellStyle name="Percent 3 7 3 3" xfId="12849"/>
    <cellStyle name="Percent 3 7 4" xfId="12850"/>
    <cellStyle name="Percent 3 7 5" xfId="12851"/>
    <cellStyle name="Percent 3 8" xfId="12852"/>
    <cellStyle name="Percent 3 8 2" xfId="12853"/>
    <cellStyle name="Percent 3 8 3" xfId="12854"/>
    <cellStyle name="Percent 3 9" xfId="12855"/>
    <cellStyle name="Percent 3 9 2" xfId="12856"/>
    <cellStyle name="Percent 3 9 3" xfId="12857"/>
    <cellStyle name="Percent 4" xfId="29"/>
    <cellStyle name="Percent 4 2" xfId="352"/>
    <cellStyle name="Percent 4 2 2" xfId="12858"/>
    <cellStyle name="Percent 4 2 3" xfId="12859"/>
    <cellStyle name="Percent 4 2 4" xfId="37456"/>
    <cellStyle name="Percent 4 2 5" xfId="37438"/>
    <cellStyle name="Percent 4 3" xfId="351"/>
    <cellStyle name="Percent 4 3 2" xfId="12860"/>
    <cellStyle name="Percent 4 4" xfId="12861"/>
    <cellStyle name="Percent 4 4 2" xfId="12862"/>
    <cellStyle name="Percent 4 4 2 2" xfId="12863"/>
    <cellStyle name="Percent 4 4 2 3" xfId="34917"/>
    <cellStyle name="Percent 4 4 3" xfId="12864"/>
    <cellStyle name="Percent 4 5" xfId="12865"/>
    <cellStyle name="Percent 4 6" xfId="12866"/>
    <cellStyle name="Percent 5" xfId="250"/>
    <cellStyle name="Percent 5 10" xfId="37437"/>
    <cellStyle name="Percent 5 2" xfId="12867"/>
    <cellStyle name="Percent 5 2 2" xfId="12868"/>
    <cellStyle name="Percent 5 2 2 2" xfId="12869"/>
    <cellStyle name="Percent 5 2 2 2 2" xfId="12870"/>
    <cellStyle name="Percent 5 2 2 2 2 2" xfId="12871"/>
    <cellStyle name="Percent 5 2 2 2 2 2 2" xfId="12872"/>
    <cellStyle name="Percent 5 2 2 2 2 2 3" xfId="12873"/>
    <cellStyle name="Percent 5 2 2 2 2 3" xfId="12874"/>
    <cellStyle name="Percent 5 2 2 2 2 3 2" xfId="12875"/>
    <cellStyle name="Percent 5 2 2 2 2 3 3" xfId="12876"/>
    <cellStyle name="Percent 5 2 2 2 2 4" xfId="12877"/>
    <cellStyle name="Percent 5 2 2 2 2 5" xfId="12878"/>
    <cellStyle name="Percent 5 2 2 2 3" xfId="12879"/>
    <cellStyle name="Percent 5 2 2 2 3 2" xfId="12880"/>
    <cellStyle name="Percent 5 2 2 2 3 3" xfId="12881"/>
    <cellStyle name="Percent 5 2 2 2 4" xfId="12882"/>
    <cellStyle name="Percent 5 2 2 2 4 2" xfId="12883"/>
    <cellStyle name="Percent 5 2 2 2 4 3" xfId="12884"/>
    <cellStyle name="Percent 5 2 2 2 5" xfId="12885"/>
    <cellStyle name="Percent 5 2 2 2 6" xfId="12886"/>
    <cellStyle name="Percent 5 2 2 3" xfId="12887"/>
    <cellStyle name="Percent 5 2 2 3 2" xfId="12888"/>
    <cellStyle name="Percent 5 2 2 3 2 2" xfId="12889"/>
    <cellStyle name="Percent 5 2 2 3 2 3" xfId="12890"/>
    <cellStyle name="Percent 5 2 2 3 3" xfId="12891"/>
    <cellStyle name="Percent 5 2 2 3 3 2" xfId="12892"/>
    <cellStyle name="Percent 5 2 2 3 3 3" xfId="12893"/>
    <cellStyle name="Percent 5 2 2 3 4" xfId="12894"/>
    <cellStyle name="Percent 5 2 2 3 5" xfId="12895"/>
    <cellStyle name="Percent 5 2 2 4" xfId="12896"/>
    <cellStyle name="Percent 5 2 2 4 2" xfId="12897"/>
    <cellStyle name="Percent 5 2 2 4 3" xfId="12898"/>
    <cellStyle name="Percent 5 2 2 5" xfId="12899"/>
    <cellStyle name="Percent 5 2 2 5 2" xfId="12900"/>
    <cellStyle name="Percent 5 2 2 5 3" xfId="12901"/>
    <cellStyle name="Percent 5 2 2 6" xfId="12902"/>
    <cellStyle name="Percent 5 2 2 7" xfId="12903"/>
    <cellStyle name="Percent 5 2 3" xfId="12904"/>
    <cellStyle name="Percent 5 2 3 2" xfId="12905"/>
    <cellStyle name="Percent 5 2 3 2 2" xfId="12906"/>
    <cellStyle name="Percent 5 2 3 2 2 2" xfId="12907"/>
    <cellStyle name="Percent 5 2 3 2 2 3" xfId="12908"/>
    <cellStyle name="Percent 5 2 3 2 3" xfId="12909"/>
    <cellStyle name="Percent 5 2 3 2 3 2" xfId="12910"/>
    <cellStyle name="Percent 5 2 3 2 3 3" xfId="12911"/>
    <cellStyle name="Percent 5 2 3 2 4" xfId="12912"/>
    <cellStyle name="Percent 5 2 3 2 5" xfId="12913"/>
    <cellStyle name="Percent 5 2 3 3" xfId="12914"/>
    <cellStyle name="Percent 5 2 3 3 2" xfId="12915"/>
    <cellStyle name="Percent 5 2 3 3 3" xfId="12916"/>
    <cellStyle name="Percent 5 2 3 4" xfId="12917"/>
    <cellStyle name="Percent 5 2 3 4 2" xfId="12918"/>
    <cellStyle name="Percent 5 2 3 4 3" xfId="12919"/>
    <cellStyle name="Percent 5 2 3 5" xfId="12920"/>
    <cellStyle name="Percent 5 2 3 6" xfId="12921"/>
    <cellStyle name="Percent 5 2 4" xfId="12922"/>
    <cellStyle name="Percent 5 2 4 2" xfId="12923"/>
    <cellStyle name="Percent 5 2 4 2 2" xfId="12924"/>
    <cellStyle name="Percent 5 2 4 2 3" xfId="12925"/>
    <cellStyle name="Percent 5 2 4 3" xfId="12926"/>
    <cellStyle name="Percent 5 2 4 3 2" xfId="12927"/>
    <cellStyle name="Percent 5 2 4 3 3" xfId="12928"/>
    <cellStyle name="Percent 5 2 4 4" xfId="12929"/>
    <cellStyle name="Percent 5 2 4 5" xfId="12930"/>
    <cellStyle name="Percent 5 2 5" xfId="12931"/>
    <cellStyle name="Percent 5 2 5 2" xfId="12932"/>
    <cellStyle name="Percent 5 2 5 3" xfId="12933"/>
    <cellStyle name="Percent 5 2 6" xfId="12934"/>
    <cellStyle name="Percent 5 2 6 2" xfId="12935"/>
    <cellStyle name="Percent 5 2 6 3" xfId="12936"/>
    <cellStyle name="Percent 5 2 7" xfId="12937"/>
    <cellStyle name="Percent 5 2 8" xfId="12938"/>
    <cellStyle name="Percent 5 3" xfId="12939"/>
    <cellStyle name="Percent 5 3 2" xfId="12940"/>
    <cellStyle name="Percent 5 3 2 2" xfId="12941"/>
    <cellStyle name="Percent 5 3 2 2 2" xfId="12942"/>
    <cellStyle name="Percent 5 3 2 2 2 2" xfId="12943"/>
    <cellStyle name="Percent 5 3 2 2 2 3" xfId="12944"/>
    <cellStyle name="Percent 5 3 2 2 3" xfId="12945"/>
    <cellStyle name="Percent 5 3 2 2 3 2" xfId="12946"/>
    <cellStyle name="Percent 5 3 2 2 3 3" xfId="12947"/>
    <cellStyle name="Percent 5 3 2 2 4" xfId="12948"/>
    <cellStyle name="Percent 5 3 2 2 5" xfId="12949"/>
    <cellStyle name="Percent 5 3 2 3" xfId="12950"/>
    <cellStyle name="Percent 5 3 2 3 2" xfId="12951"/>
    <cellStyle name="Percent 5 3 2 3 3" xfId="12952"/>
    <cellStyle name="Percent 5 3 2 4" xfId="12953"/>
    <cellStyle name="Percent 5 3 2 4 2" xfId="12954"/>
    <cellStyle name="Percent 5 3 2 4 3" xfId="12955"/>
    <cellStyle name="Percent 5 3 2 5" xfId="12956"/>
    <cellStyle name="Percent 5 3 2 6" xfId="12957"/>
    <cellStyle name="Percent 5 3 3" xfId="12958"/>
    <cellStyle name="Percent 5 3 3 2" xfId="12959"/>
    <cellStyle name="Percent 5 3 3 2 2" xfId="12960"/>
    <cellStyle name="Percent 5 3 3 2 3" xfId="12961"/>
    <cellStyle name="Percent 5 3 3 3" xfId="12962"/>
    <cellStyle name="Percent 5 3 3 3 2" xfId="12963"/>
    <cellStyle name="Percent 5 3 3 3 3" xfId="12964"/>
    <cellStyle name="Percent 5 3 3 4" xfId="12965"/>
    <cellStyle name="Percent 5 3 3 5" xfId="12966"/>
    <cellStyle name="Percent 5 3 4" xfId="12967"/>
    <cellStyle name="Percent 5 3 4 2" xfId="12968"/>
    <cellStyle name="Percent 5 3 4 3" xfId="12969"/>
    <cellStyle name="Percent 5 3 5" xfId="12970"/>
    <cellStyle name="Percent 5 3 5 2" xfId="12971"/>
    <cellStyle name="Percent 5 3 5 3" xfId="12972"/>
    <cellStyle name="Percent 5 3 6" xfId="12973"/>
    <cellStyle name="Percent 5 3 7" xfId="12974"/>
    <cellStyle name="Percent 5 4" xfId="12975"/>
    <cellStyle name="Percent 5 4 2" xfId="12976"/>
    <cellStyle name="Percent 5 4 2 2" xfId="12977"/>
    <cellStyle name="Percent 5 4 2 2 2" xfId="12978"/>
    <cellStyle name="Percent 5 4 2 2 3" xfId="12979"/>
    <cellStyle name="Percent 5 4 2 3" xfId="12980"/>
    <cellStyle name="Percent 5 4 2 3 2" xfId="12981"/>
    <cellStyle name="Percent 5 4 2 3 3" xfId="12982"/>
    <cellStyle name="Percent 5 4 2 4" xfId="12983"/>
    <cellStyle name="Percent 5 4 2 5" xfId="12984"/>
    <cellStyle name="Percent 5 4 3" xfId="12985"/>
    <cellStyle name="Percent 5 4 3 2" xfId="12986"/>
    <cellStyle name="Percent 5 4 3 3" xfId="12987"/>
    <cellStyle name="Percent 5 4 4" xfId="12988"/>
    <cellStyle name="Percent 5 4 4 2" xfId="12989"/>
    <cellStyle name="Percent 5 4 4 3" xfId="12990"/>
    <cellStyle name="Percent 5 4 5" xfId="12991"/>
    <cellStyle name="Percent 5 4 6" xfId="12992"/>
    <cellStyle name="Percent 5 5" xfId="12993"/>
    <cellStyle name="Percent 5 5 2" xfId="12994"/>
    <cellStyle name="Percent 5 5 2 2" xfId="12995"/>
    <cellStyle name="Percent 5 5 2 3" xfId="12996"/>
    <cellStyle name="Percent 5 5 3" xfId="12997"/>
    <cellStyle name="Percent 5 5 3 2" xfId="12998"/>
    <cellStyle name="Percent 5 5 3 3" xfId="12999"/>
    <cellStyle name="Percent 5 5 4" xfId="13000"/>
    <cellStyle name="Percent 5 5 5" xfId="13001"/>
    <cellStyle name="Percent 5 6" xfId="13002"/>
    <cellStyle name="Percent 5 6 2" xfId="13003"/>
    <cellStyle name="Percent 5 6 3" xfId="13004"/>
    <cellStyle name="Percent 5 7" xfId="13005"/>
    <cellStyle name="Percent 5 7 2" xfId="13006"/>
    <cellStyle name="Percent 5 7 3" xfId="13007"/>
    <cellStyle name="Percent 5 8" xfId="13008"/>
    <cellStyle name="Percent 5 9" xfId="13009"/>
    <cellStyle name="Percent 6" xfId="251"/>
    <cellStyle name="Percent 6 2" xfId="13010"/>
    <cellStyle name="Percent 6 2 2" xfId="13011"/>
    <cellStyle name="Percent 6 2 2 2" xfId="13012"/>
    <cellStyle name="Percent 6 2 2 2 2" xfId="13013"/>
    <cellStyle name="Percent 6 2 2 2 2 2" xfId="13014"/>
    <cellStyle name="Percent 6 2 2 2 2 3" xfId="13015"/>
    <cellStyle name="Percent 6 2 2 2 3" xfId="13016"/>
    <cellStyle name="Percent 6 2 2 2 3 2" xfId="13017"/>
    <cellStyle name="Percent 6 2 2 2 3 3" xfId="13018"/>
    <cellStyle name="Percent 6 2 2 2 4" xfId="13019"/>
    <cellStyle name="Percent 6 2 2 2 5" xfId="13020"/>
    <cellStyle name="Percent 6 2 2 3" xfId="13021"/>
    <cellStyle name="Percent 6 2 2 3 2" xfId="13022"/>
    <cellStyle name="Percent 6 2 2 3 3" xfId="13023"/>
    <cellStyle name="Percent 6 2 2 4" xfId="13024"/>
    <cellStyle name="Percent 6 2 2 4 2" xfId="13025"/>
    <cellStyle name="Percent 6 2 2 4 3" xfId="13026"/>
    <cellStyle name="Percent 6 2 2 5" xfId="13027"/>
    <cellStyle name="Percent 6 2 2 6" xfId="13028"/>
    <cellStyle name="Percent 6 2 3" xfId="13029"/>
    <cellStyle name="Percent 6 2 3 2" xfId="13030"/>
    <cellStyle name="Percent 6 2 3 2 2" xfId="13031"/>
    <cellStyle name="Percent 6 2 3 2 3" xfId="13032"/>
    <cellStyle name="Percent 6 2 3 3" xfId="13033"/>
    <cellStyle name="Percent 6 2 3 3 2" xfId="13034"/>
    <cellStyle name="Percent 6 2 3 3 3" xfId="13035"/>
    <cellStyle name="Percent 6 2 3 4" xfId="13036"/>
    <cellStyle name="Percent 6 2 3 5" xfId="13037"/>
    <cellStyle name="Percent 6 2 4" xfId="13038"/>
    <cellStyle name="Percent 6 2 4 2" xfId="13039"/>
    <cellStyle name="Percent 6 2 4 3" xfId="13040"/>
    <cellStyle name="Percent 6 2 5" xfId="13041"/>
    <cellStyle name="Percent 6 2 5 2" xfId="13042"/>
    <cellStyle name="Percent 6 2 5 3" xfId="13043"/>
    <cellStyle name="Percent 6 2 6" xfId="13044"/>
    <cellStyle name="Percent 6 2 7" xfId="13045"/>
    <cellStyle name="Percent 6 3" xfId="13046"/>
    <cellStyle name="Percent 6 3 2" xfId="13047"/>
    <cellStyle name="Percent 6 3 2 2" xfId="13048"/>
    <cellStyle name="Percent 6 3 2 2 2" xfId="13049"/>
    <cellStyle name="Percent 6 3 2 2 3" xfId="13050"/>
    <cellStyle name="Percent 6 3 2 3" xfId="13051"/>
    <cellStyle name="Percent 6 3 2 3 2" xfId="13052"/>
    <cellStyle name="Percent 6 3 2 3 3" xfId="13053"/>
    <cellStyle name="Percent 6 3 2 4" xfId="13054"/>
    <cellStyle name="Percent 6 3 2 5" xfId="13055"/>
    <cellStyle name="Percent 6 3 3" xfId="13056"/>
    <cellStyle name="Percent 6 3 3 2" xfId="13057"/>
    <cellStyle name="Percent 6 3 3 3" xfId="13058"/>
    <cellStyle name="Percent 6 3 4" xfId="13059"/>
    <cellStyle name="Percent 6 3 4 2" xfId="13060"/>
    <cellStyle name="Percent 6 3 4 3" xfId="13061"/>
    <cellStyle name="Percent 6 3 5" xfId="13062"/>
    <cellStyle name="Percent 6 3 6" xfId="13063"/>
    <cellStyle name="Percent 6 4" xfId="13064"/>
    <cellStyle name="Percent 6 4 2" xfId="13065"/>
    <cellStyle name="Percent 6 4 2 2" xfId="13066"/>
    <cellStyle name="Percent 6 4 2 3" xfId="13067"/>
    <cellStyle name="Percent 6 4 3" xfId="13068"/>
    <cellStyle name="Percent 6 4 3 2" xfId="13069"/>
    <cellStyle name="Percent 6 4 3 3" xfId="13070"/>
    <cellStyle name="Percent 6 4 4" xfId="13071"/>
    <cellStyle name="Percent 6 4 5" xfId="13072"/>
    <cellStyle name="Percent 6 5" xfId="13073"/>
    <cellStyle name="Percent 6 5 2" xfId="13074"/>
    <cellStyle name="Percent 6 5 3" xfId="13075"/>
    <cellStyle name="Percent 6 6" xfId="13076"/>
    <cellStyle name="Percent 6 6 2" xfId="13077"/>
    <cellStyle name="Percent 6 6 3" xfId="13078"/>
    <cellStyle name="Percent 6 7" xfId="13079"/>
    <cellStyle name="Percent 6 8" xfId="13080"/>
    <cellStyle name="Percent 7" xfId="247"/>
    <cellStyle name="Percent 7 2" xfId="272"/>
    <cellStyle name="Percent 7 2 2" xfId="13081"/>
    <cellStyle name="Percent 7 2 2 2" xfId="13082"/>
    <cellStyle name="Percent 7 2 2 2 2" xfId="13083"/>
    <cellStyle name="Percent 7 2 2 2 2 2" xfId="13084"/>
    <cellStyle name="Percent 7 2 2 2 2 3" xfId="13085"/>
    <cellStyle name="Percent 7 2 2 2 3" xfId="13086"/>
    <cellStyle name="Percent 7 2 2 2 3 2" xfId="13087"/>
    <cellStyle name="Percent 7 2 2 2 3 3" xfId="13088"/>
    <cellStyle name="Percent 7 2 2 2 4" xfId="13089"/>
    <cellStyle name="Percent 7 2 2 2 5" xfId="13090"/>
    <cellStyle name="Percent 7 2 2 3" xfId="13091"/>
    <cellStyle name="Percent 7 2 2 3 2" xfId="13092"/>
    <cellStyle name="Percent 7 2 2 3 3" xfId="13093"/>
    <cellStyle name="Percent 7 2 2 4" xfId="13094"/>
    <cellStyle name="Percent 7 2 2 4 2" xfId="13095"/>
    <cellStyle name="Percent 7 2 2 4 3" xfId="13096"/>
    <cellStyle name="Percent 7 2 2 5" xfId="13097"/>
    <cellStyle name="Percent 7 2 2 6" xfId="13098"/>
    <cellStyle name="Percent 7 2 3" xfId="13099"/>
    <cellStyle name="Percent 7 2 3 2" xfId="13100"/>
    <cellStyle name="Percent 7 2 3 2 2" xfId="13101"/>
    <cellStyle name="Percent 7 2 3 2 3" xfId="13102"/>
    <cellStyle name="Percent 7 2 3 3" xfId="13103"/>
    <cellStyle name="Percent 7 2 3 3 2" xfId="13104"/>
    <cellStyle name="Percent 7 2 3 3 3" xfId="13105"/>
    <cellStyle name="Percent 7 2 3 4" xfId="13106"/>
    <cellStyle name="Percent 7 2 3 5" xfId="13107"/>
    <cellStyle name="Percent 7 2 4" xfId="13108"/>
    <cellStyle name="Percent 7 2 4 2" xfId="13109"/>
    <cellStyle name="Percent 7 2 4 3" xfId="13110"/>
    <cellStyle name="Percent 7 2 5" xfId="13111"/>
    <cellStyle name="Percent 7 2 5 2" xfId="13112"/>
    <cellStyle name="Percent 7 2 5 3" xfId="13113"/>
    <cellStyle name="Percent 7 2 6" xfId="13114"/>
    <cellStyle name="Percent 7 2 7" xfId="13115"/>
    <cellStyle name="Percent 7 3" xfId="353"/>
    <cellStyle name="Percent 7 3 2" xfId="13116"/>
    <cellStyle name="Percent 7 3 2 2" xfId="13117"/>
    <cellStyle name="Percent 7 3 2 2 2" xfId="13118"/>
    <cellStyle name="Percent 7 3 2 2 3" xfId="13119"/>
    <cellStyle name="Percent 7 3 2 3" xfId="13120"/>
    <cellStyle name="Percent 7 3 2 3 2" xfId="13121"/>
    <cellStyle name="Percent 7 3 2 3 3" xfId="13122"/>
    <cellStyle name="Percent 7 3 2 4" xfId="13123"/>
    <cellStyle name="Percent 7 3 2 5" xfId="13124"/>
    <cellStyle name="Percent 7 3 3" xfId="13125"/>
    <cellStyle name="Percent 7 3 3 2" xfId="13126"/>
    <cellStyle name="Percent 7 3 3 3" xfId="13127"/>
    <cellStyle name="Percent 7 3 4" xfId="13128"/>
    <cellStyle name="Percent 7 3 4 2" xfId="13129"/>
    <cellStyle name="Percent 7 3 4 3" xfId="13130"/>
    <cellStyle name="Percent 7 3 5" xfId="13131"/>
    <cellStyle name="Percent 7 3 6" xfId="13132"/>
    <cellStyle name="Percent 7 4" xfId="13133"/>
    <cellStyle name="Percent 7 4 2" xfId="13134"/>
    <cellStyle name="Percent 7 4 2 2" xfId="13135"/>
    <cellStyle name="Percent 7 4 2 3" xfId="13136"/>
    <cellStyle name="Percent 7 4 3" xfId="13137"/>
    <cellStyle name="Percent 7 4 3 2" xfId="13138"/>
    <cellStyle name="Percent 7 4 3 3" xfId="13139"/>
    <cellStyle name="Percent 7 4 4" xfId="13140"/>
    <cellStyle name="Percent 7 4 5" xfId="13141"/>
    <cellStyle name="Percent 7 5" xfId="13142"/>
    <cellStyle name="Percent 7 5 2" xfId="13143"/>
    <cellStyle name="Percent 7 5 3" xfId="13144"/>
    <cellStyle name="Percent 7 6" xfId="13145"/>
    <cellStyle name="Percent 7 6 2" xfId="13146"/>
    <cellStyle name="Percent 7 6 3" xfId="13147"/>
    <cellStyle name="Percent 7 7" xfId="13148"/>
    <cellStyle name="Percent 7 8" xfId="13149"/>
    <cellStyle name="Percent 8" xfId="354"/>
    <cellStyle name="Percent 8 2" xfId="13150"/>
    <cellStyle name="Percent 8 2 2" xfId="13151"/>
    <cellStyle name="Percent 8 2 2 2" xfId="13152"/>
    <cellStyle name="Percent 8 2 2 2 2" xfId="13153"/>
    <cellStyle name="Percent 8 2 2 2 3" xfId="13154"/>
    <cellStyle name="Percent 8 2 2 3" xfId="13155"/>
    <cellStyle name="Percent 8 2 2 3 2" xfId="13156"/>
    <cellStyle name="Percent 8 2 2 3 3" xfId="13157"/>
    <cellStyle name="Percent 8 2 2 4" xfId="13158"/>
    <cellStyle name="Percent 8 2 2 5" xfId="13159"/>
    <cellStyle name="Percent 8 2 3" xfId="13160"/>
    <cellStyle name="Percent 8 2 3 2" xfId="13161"/>
    <cellStyle name="Percent 8 2 3 3" xfId="13162"/>
    <cellStyle name="Percent 8 2 4" xfId="13163"/>
    <cellStyle name="Percent 8 2 4 2" xfId="13164"/>
    <cellStyle name="Percent 8 2 4 3" xfId="13165"/>
    <cellStyle name="Percent 8 2 5" xfId="13166"/>
    <cellStyle name="Percent 8 2 6" xfId="13167"/>
    <cellStyle name="Percent 8 3" xfId="13168"/>
    <cellStyle name="Percent 8 3 2" xfId="13169"/>
    <cellStyle name="Percent 8 3 2 2" xfId="13170"/>
    <cellStyle name="Percent 8 3 2 3" xfId="13171"/>
    <cellStyle name="Percent 8 3 3" xfId="13172"/>
    <cellStyle name="Percent 8 3 3 2" xfId="13173"/>
    <cellStyle name="Percent 8 3 3 3" xfId="13174"/>
    <cellStyle name="Percent 8 3 4" xfId="13175"/>
    <cellStyle name="Percent 8 3 5" xfId="13176"/>
    <cellStyle name="Percent 8 4" xfId="13177"/>
    <cellStyle name="Percent 8 4 2" xfId="13178"/>
    <cellStyle name="Percent 8 4 3" xfId="13179"/>
    <cellStyle name="Percent 8 5" xfId="13180"/>
    <cellStyle name="Percent 8 5 2" xfId="13181"/>
    <cellStyle name="Percent 8 5 3" xfId="13182"/>
    <cellStyle name="Percent 8 6" xfId="13183"/>
    <cellStyle name="Percent 8 7" xfId="13184"/>
    <cellStyle name="Percent 9" xfId="13185"/>
    <cellStyle name="Percent 9 2" xfId="13186"/>
    <cellStyle name="Percent 9 3" xfId="13187"/>
    <cellStyle name="Percent 9 4" xfId="13188"/>
    <cellStyle name="Percent(1)" xfId="252"/>
    <cellStyle name="Percent(1) 2" xfId="13189"/>
    <cellStyle name="Percent(2)" xfId="253"/>
    <cellStyle name="Percent(2) 2" xfId="13190"/>
    <cellStyle name="Posting_Period" xfId="13191"/>
    <cellStyle name="PRM" xfId="254"/>
    <cellStyle name="PRM 2" xfId="255"/>
    <cellStyle name="PRM 3" xfId="256"/>
    <cellStyle name="PRM 4" xfId="13192"/>
    <cellStyle name="PRM_2011-11" xfId="257"/>
    <cellStyle name="PS_Comma" xfId="30"/>
    <cellStyle name="PSChar" xfId="31"/>
    <cellStyle name="PSChar 2" xfId="13193"/>
    <cellStyle name="PSDate" xfId="32"/>
    <cellStyle name="PSDec" xfId="33"/>
    <cellStyle name="PSHeading" xfId="34"/>
    <cellStyle name="PSHeading 2" xfId="13194"/>
    <cellStyle name="PSHeading 2 2" xfId="13195"/>
    <cellStyle name="PSHeading 2 3" xfId="15847"/>
    <cellStyle name="PSHeading 3" xfId="13196"/>
    <cellStyle name="PSInt" xfId="35"/>
    <cellStyle name="PSSpacer" xfId="36"/>
    <cellStyle name="Reset  - Style4" xfId="13197"/>
    <cellStyle name="Reset  - Style7" xfId="13198"/>
    <cellStyle name="STYL0 - Style1" xfId="355"/>
    <cellStyle name="STYL1 - Style2" xfId="356"/>
    <cellStyle name="STYL2 - Style3" xfId="357"/>
    <cellStyle name="STYL3 - Style4" xfId="358"/>
    <cellStyle name="STYL4 - Style5" xfId="359"/>
    <cellStyle name="STYL5 - Style6" xfId="360"/>
    <cellStyle name="STYL6 - Style7" xfId="361"/>
    <cellStyle name="STYL7 - Style8" xfId="362"/>
    <cellStyle name="Style 1" xfId="258"/>
    <cellStyle name="Style 1 2" xfId="259"/>
    <cellStyle name="Style 1 2 2" xfId="13199"/>
    <cellStyle name="Style 1 3" xfId="13200"/>
    <cellStyle name="Style 1 4" xfId="13201"/>
    <cellStyle name="Style 1 5" xfId="13202"/>
    <cellStyle name="Style 1_Recycle Center Commodities MRF" xfId="13203"/>
    <cellStyle name="STYLE1" xfId="260"/>
    <cellStyle name="STYLE1 2" xfId="13204"/>
    <cellStyle name="STYLE1 3" xfId="13205"/>
    <cellStyle name="sub heading" xfId="363"/>
    <cellStyle name="Table  - Style5" xfId="13206"/>
    <cellStyle name="Table  - Style5 10" xfId="14666"/>
    <cellStyle name="Table  - Style5 11" xfId="14286"/>
    <cellStyle name="Table  - Style5 12" xfId="14417"/>
    <cellStyle name="Table  - Style5 13" xfId="13591"/>
    <cellStyle name="Table  - Style5 14" xfId="14283"/>
    <cellStyle name="Table  - Style5 15" xfId="26277"/>
    <cellStyle name="Table  - Style5 16" xfId="27194"/>
    <cellStyle name="Table  - Style5 17" xfId="25998"/>
    <cellStyle name="Table  - Style5 18" xfId="26923"/>
    <cellStyle name="Table  - Style5 19" xfId="26194"/>
    <cellStyle name="Table  - Style5 2" xfId="13207"/>
    <cellStyle name="Table  - Style5 2 10" xfId="15139"/>
    <cellStyle name="Table  - Style5 2 11" xfId="26330"/>
    <cellStyle name="Table  - Style5 2 12" xfId="27721"/>
    <cellStyle name="Table  - Style5 2 13" xfId="27323"/>
    <cellStyle name="Table  - Style5 2 14" xfId="27455"/>
    <cellStyle name="Table  - Style5 2 15" xfId="26942"/>
    <cellStyle name="Table  - Style5 2 16" xfId="30832"/>
    <cellStyle name="Table  - Style5 2 17" xfId="27557"/>
    <cellStyle name="Table  - Style5 2 18" xfId="35025"/>
    <cellStyle name="Table  - Style5 2 19" xfId="35312"/>
    <cellStyle name="Table  - Style5 2 2" xfId="14908"/>
    <cellStyle name="Table  - Style5 2 3" xfId="15068"/>
    <cellStyle name="Table  - Style5 2 4" xfId="14966"/>
    <cellStyle name="Table  - Style5 2 5" xfId="15400"/>
    <cellStyle name="Table  - Style5 2 6" xfId="18890"/>
    <cellStyle name="Table  - Style5 2 7" xfId="13700"/>
    <cellStyle name="Table  - Style5 2 8" xfId="20936"/>
    <cellStyle name="Table  - Style5 2 9" xfId="15812"/>
    <cellStyle name="Table  - Style5 20" xfId="25878"/>
    <cellStyle name="Table  - Style5 21" xfId="26987"/>
    <cellStyle name="Table  - Style5 22" xfId="34973"/>
    <cellStyle name="Table  - Style5 23" xfId="35350"/>
    <cellStyle name="Table  - Style5 24" xfId="37518"/>
    <cellStyle name="Table  - Style5 3" xfId="13208"/>
    <cellStyle name="Table  - Style5 3 10" xfId="15301"/>
    <cellStyle name="Table  - Style5 3 11" xfId="26468"/>
    <cellStyle name="Table  - Style5 3 12" xfId="27673"/>
    <cellStyle name="Table  - Style5 3 13" xfId="26173"/>
    <cellStyle name="Table  - Style5 3 14" xfId="26907"/>
    <cellStyle name="Table  - Style5 3 15" xfId="27640"/>
    <cellStyle name="Table  - Style5 3 16" xfId="26620"/>
    <cellStyle name="Table  - Style5 3 17" xfId="27392"/>
    <cellStyle name="Table  - Style5 3 18" xfId="35151"/>
    <cellStyle name="Table  - Style5 3 19" xfId="35225"/>
    <cellStyle name="Table  - Style5 3 2" xfId="14837"/>
    <cellStyle name="Table  - Style5 3 3" xfId="14809"/>
    <cellStyle name="Table  - Style5 3 4" xfId="15427"/>
    <cellStyle name="Table  - Style5 3 5" xfId="14995"/>
    <cellStyle name="Table  - Style5 3 6" xfId="15609"/>
    <cellStyle name="Table  - Style5 3 7" xfId="13864"/>
    <cellStyle name="Table  - Style5 3 8" xfId="14223"/>
    <cellStyle name="Table  - Style5 3 9" xfId="14395"/>
    <cellStyle name="Table  - Style5 4" xfId="13209"/>
    <cellStyle name="Table  - Style5 4 10" xfId="14281"/>
    <cellStyle name="Table  - Style5 4 11" xfId="26450"/>
    <cellStyle name="Table  - Style5 4 12" xfId="27082"/>
    <cellStyle name="Table  - Style5 4 13" xfId="26166"/>
    <cellStyle name="Table  - Style5 4 14" xfId="26910"/>
    <cellStyle name="Table  - Style5 4 15" xfId="27494"/>
    <cellStyle name="Table  - Style5 4 16" xfId="27596"/>
    <cellStyle name="Table  - Style5 4 17" xfId="27356"/>
    <cellStyle name="Table  - Style5 4 18" xfId="35133"/>
    <cellStyle name="Table  - Style5 4 19" xfId="35237"/>
    <cellStyle name="Table  - Style5 4 2" xfId="15662"/>
    <cellStyle name="Table  - Style5 4 3" xfId="15414"/>
    <cellStyle name="Table  - Style5 4 4" xfId="15763"/>
    <cellStyle name="Table  - Style5 4 5" xfId="14386"/>
    <cellStyle name="Table  - Style5 4 6" xfId="14881"/>
    <cellStyle name="Table  - Style5 4 7" xfId="14341"/>
    <cellStyle name="Table  - Style5 4 8" xfId="14623"/>
    <cellStyle name="Table  - Style5 4 9" xfId="14594"/>
    <cellStyle name="Table  - Style5 5" xfId="13210"/>
    <cellStyle name="Table  - Style5 5 10" xfId="14587"/>
    <cellStyle name="Table  - Style5 5 11" xfId="26483"/>
    <cellStyle name="Table  - Style5 5 12" xfId="27059"/>
    <cellStyle name="Table  - Style5 5 13" xfId="26120"/>
    <cellStyle name="Table  - Style5 5 14" xfId="27642"/>
    <cellStyle name="Table  - Style5 5 15" xfId="26589"/>
    <cellStyle name="Table  - Style5 5 16" xfId="26669"/>
    <cellStyle name="Table  - Style5 5 17" xfId="26689"/>
    <cellStyle name="Table  - Style5 5 18" xfId="35166"/>
    <cellStyle name="Table  - Style5 5 19" xfId="35391"/>
    <cellStyle name="Table  - Style5 5 2" xfId="13603"/>
    <cellStyle name="Table  - Style5 5 3" xfId="14071"/>
    <cellStyle name="Table  - Style5 5 4" xfId="15103"/>
    <cellStyle name="Table  - Style5 5 5" xfId="13820"/>
    <cellStyle name="Table  - Style5 5 6" xfId="14673"/>
    <cellStyle name="Table  - Style5 5 7" xfId="18877"/>
    <cellStyle name="Table  - Style5 5 8" xfId="14583"/>
    <cellStyle name="Table  - Style5 5 9" xfId="15543"/>
    <cellStyle name="Table  - Style5 6" xfId="14938"/>
    <cellStyle name="Table  - Style5 7" xfId="14023"/>
    <cellStyle name="Table  - Style5 8" xfId="15629"/>
    <cellStyle name="Table  - Style5 9" xfId="13940"/>
    <cellStyle name="Table  - Style6" xfId="13211"/>
    <cellStyle name="Table  - Style6 10" xfId="15634"/>
    <cellStyle name="Table  - Style6 11" xfId="14536"/>
    <cellStyle name="Table  - Style6 12" xfId="13423"/>
    <cellStyle name="Table  - Style6 13" xfId="15337"/>
    <cellStyle name="Table  - Style6 14" xfId="15565"/>
    <cellStyle name="Table  - Style6 15" xfId="26278"/>
    <cellStyle name="Table  - Style6 16" xfId="27743"/>
    <cellStyle name="Table  - Style6 17" xfId="26249"/>
    <cellStyle name="Table  - Style6 18" xfId="26654"/>
    <cellStyle name="Table  - Style6 19" xfId="26044"/>
    <cellStyle name="Table  - Style6 2" xfId="13212"/>
    <cellStyle name="Table  - Style6 2 10" xfId="18873"/>
    <cellStyle name="Table  - Style6 2 11" xfId="26331"/>
    <cellStyle name="Table  - Style6 2 12" xfId="27157"/>
    <cellStyle name="Table  - Style6 2 13" xfId="25933"/>
    <cellStyle name="Table  - Style6 2 14" xfId="26916"/>
    <cellStyle name="Table  - Style6 2 15" xfId="28786"/>
    <cellStyle name="Table  - Style6 2 16" xfId="27839"/>
    <cellStyle name="Table  - Style6 2 17" xfId="26970"/>
    <cellStyle name="Table  - Style6 2 18" xfId="35026"/>
    <cellStyle name="Table  - Style6 2 19" xfId="35311"/>
    <cellStyle name="Table  - Style6 2 2" xfId="15695"/>
    <cellStyle name="Table  - Style6 2 3" xfId="15801"/>
    <cellStyle name="Table  - Style6 2 4" xfId="14965"/>
    <cellStyle name="Table  - Style6 2 5" xfId="13937"/>
    <cellStyle name="Table  - Style6 2 6" xfId="14294"/>
    <cellStyle name="Table  - Style6 2 7" xfId="15548"/>
    <cellStyle name="Table  - Style6 2 8" xfId="15531"/>
    <cellStyle name="Table  - Style6 2 9" xfId="14305"/>
    <cellStyle name="Table  - Style6 20" xfId="29777"/>
    <cellStyle name="Table  - Style6 21" xfId="27790"/>
    <cellStyle name="Table  - Style6 22" xfId="34974"/>
    <cellStyle name="Table  - Style6 23" xfId="35349"/>
    <cellStyle name="Table  - Style6 24" xfId="37519"/>
    <cellStyle name="Table  - Style6 3" xfId="13213"/>
    <cellStyle name="Table  - Style6 3 10" xfId="14240"/>
    <cellStyle name="Table  - Style6 3 11" xfId="26469"/>
    <cellStyle name="Table  - Style6 3 12" xfId="27069"/>
    <cellStyle name="Table  - Style6 3 13" xfId="26174"/>
    <cellStyle name="Table  - Style6 3 14" xfId="26636"/>
    <cellStyle name="Table  - Style6 3 15" xfId="27423"/>
    <cellStyle name="Table  - Style6 3 16" xfId="27538"/>
    <cellStyle name="Table  - Style6 3 17" xfId="27560"/>
    <cellStyle name="Table  - Style6 3 18" xfId="35152"/>
    <cellStyle name="Table  - Style6 3 19" xfId="35224"/>
    <cellStyle name="Table  - Style6 3 2" xfId="14836"/>
    <cellStyle name="Table  - Style6 3 3" xfId="13878"/>
    <cellStyle name="Table  - Style6 3 4" xfId="15727"/>
    <cellStyle name="Table  - Style6 3 5" xfId="13684"/>
    <cellStyle name="Table  - Style6 3 6" xfId="14495"/>
    <cellStyle name="Table  - Style6 3 7" xfId="14376"/>
    <cellStyle name="Table  - Style6 3 8" xfId="15143"/>
    <cellStyle name="Table  - Style6 3 9" xfId="18849"/>
    <cellStyle name="Table  - Style6 4" xfId="13214"/>
    <cellStyle name="Table  - Style6 4 10" xfId="13686"/>
    <cellStyle name="Table  - Style6 4 11" xfId="26425"/>
    <cellStyle name="Table  - Style6 4 12" xfId="27097"/>
    <cellStyle name="Table  - Style6 4 13" xfId="25976"/>
    <cellStyle name="Table  - Style6 4 14" xfId="27206"/>
    <cellStyle name="Table  - Style6 4 15" xfId="27472"/>
    <cellStyle name="Table  - Style6 4 16" xfId="26721"/>
    <cellStyle name="Table  - Style6 4 17" xfId="27634"/>
    <cellStyle name="Table  - Style6 4 18" xfId="35113"/>
    <cellStyle name="Table  - Style6 4 19" xfId="35253"/>
    <cellStyle name="Table  - Style6 4 2" xfId="15670"/>
    <cellStyle name="Table  - Style6 4 3" xfId="14058"/>
    <cellStyle name="Table  - Style6 4 4" xfId="13898"/>
    <cellStyle name="Table  - Style6 4 5" xfId="14472"/>
    <cellStyle name="Table  - Style6 4 6" xfId="15079"/>
    <cellStyle name="Table  - Style6 4 7" xfId="14562"/>
    <cellStyle name="Table  - Style6 4 8" xfId="14655"/>
    <cellStyle name="Table  - Style6 4 9" xfId="15855"/>
    <cellStyle name="Table  - Style6 5" xfId="13215"/>
    <cellStyle name="Table  - Style6 5 10" xfId="15643"/>
    <cellStyle name="Table  - Style6 5 11" xfId="26484"/>
    <cellStyle name="Table  - Style6 5 12" xfId="27667"/>
    <cellStyle name="Table  - Style6 5 13" xfId="26181"/>
    <cellStyle name="Table  - Style6 5 14" xfId="26634"/>
    <cellStyle name="Table  - Style6 5 15" xfId="26791"/>
    <cellStyle name="Table  - Style6 5 16" xfId="27419"/>
    <cellStyle name="Table  - Style6 5 17" xfId="26210"/>
    <cellStyle name="Table  - Style6 5 18" xfId="35167"/>
    <cellStyle name="Table  - Style6 5 19" xfId="35214"/>
    <cellStyle name="Table  - Style6 5 2" xfId="13602"/>
    <cellStyle name="Table  - Style6 5 3" xfId="14438"/>
    <cellStyle name="Table  - Style6 5 4" xfId="15759"/>
    <cellStyle name="Table  - Style6 5 5" xfId="13535"/>
    <cellStyle name="Table  - Style6 5 6" xfId="15291"/>
    <cellStyle name="Table  - Style6 5 7" xfId="14530"/>
    <cellStyle name="Table  - Style6 5 8" xfId="13494"/>
    <cellStyle name="Table  - Style6 5 9" xfId="14371"/>
    <cellStyle name="Table  - Style6 6" xfId="14937"/>
    <cellStyle name="Table  - Style6 7" xfId="13697"/>
    <cellStyle name="Table  - Style6 8" xfId="14635"/>
    <cellStyle name="Table  - Style6 9" xfId="14541"/>
    <cellStyle name="Tax_Rate" xfId="13216"/>
    <cellStyle name="Title" xfId="13347" builtinId="15" customBuiltin="1"/>
    <cellStyle name="Title  - Style1" xfId="13217"/>
    <cellStyle name="Title  - Style6" xfId="13218"/>
    <cellStyle name="Title 10" xfId="13219"/>
    <cellStyle name="Title 11" xfId="13220"/>
    <cellStyle name="Title 12" xfId="13221"/>
    <cellStyle name="Title 13" xfId="13222"/>
    <cellStyle name="Title 14" xfId="13223"/>
    <cellStyle name="Title 15" xfId="13224"/>
    <cellStyle name="Title 16" xfId="13225"/>
    <cellStyle name="Title 17" xfId="13226"/>
    <cellStyle name="Title 18" xfId="13227"/>
    <cellStyle name="Title 19" xfId="13228"/>
    <cellStyle name="Title 2" xfId="262"/>
    <cellStyle name="Title 2 2" xfId="13229"/>
    <cellStyle name="Title 2 2 2" xfId="13230"/>
    <cellStyle name="Title 2 3" xfId="13231"/>
    <cellStyle name="Title 20" xfId="13232"/>
    <cellStyle name="Title 21" xfId="13233"/>
    <cellStyle name="Title 22" xfId="13234"/>
    <cellStyle name="Title 23" xfId="13235"/>
    <cellStyle name="Title 24" xfId="13236"/>
    <cellStyle name="Title 25" xfId="13237"/>
    <cellStyle name="Title 3" xfId="261"/>
    <cellStyle name="Title 3 2" xfId="13239"/>
    <cellStyle name="Title 3 3" xfId="13238"/>
    <cellStyle name="Title 4" xfId="13240"/>
    <cellStyle name="Title 5" xfId="13241"/>
    <cellStyle name="Title 6" xfId="13242"/>
    <cellStyle name="Title 7" xfId="13243"/>
    <cellStyle name="Title 8" xfId="13244"/>
    <cellStyle name="Title 9" xfId="13245"/>
    <cellStyle name="Total" xfId="13363" builtinId="25" customBuiltin="1"/>
    <cellStyle name="Total 2" xfId="264"/>
    <cellStyle name="Total 2 2" xfId="364"/>
    <cellStyle name="Total 2 2 2" xfId="13246"/>
    <cellStyle name="Total 2 2 2 10" xfId="14158"/>
    <cellStyle name="Total 2 2 2 11" xfId="13496"/>
    <cellStyle name="Total 2 2 2 12" xfId="13907"/>
    <cellStyle name="Total 2 2 2 13" xfId="13663"/>
    <cellStyle name="Total 2 2 2 14" xfId="15468"/>
    <cellStyle name="Total 2 2 2 15" xfId="26279"/>
    <cellStyle name="Total 2 2 2 16" xfId="27742"/>
    <cellStyle name="Total 2 2 2 17" xfId="27509"/>
    <cellStyle name="Total 2 2 2 18" xfId="26068"/>
    <cellStyle name="Total 2 2 2 19" xfId="26870"/>
    <cellStyle name="Total 2 2 2 2" xfId="13247"/>
    <cellStyle name="Total 2 2 2 2 10" xfId="15231"/>
    <cellStyle name="Total 2 2 2 2 11" xfId="26332"/>
    <cellStyle name="Total 2 2 2 2 12" xfId="27720"/>
    <cellStyle name="Total 2 2 2 2 13" xfId="27582"/>
    <cellStyle name="Total 2 2 2 2 14" xfId="27600"/>
    <cellStyle name="Total 2 2 2 2 15" xfId="27401"/>
    <cellStyle name="Total 2 2 2 2 16" xfId="26794"/>
    <cellStyle name="Total 2 2 2 2 17" xfId="35027"/>
    <cellStyle name="Total 2 2 2 2 18" xfId="35445"/>
    <cellStyle name="Total 2 2 2 2 2" xfId="14907"/>
    <cellStyle name="Total 2 2 2 2 3" xfId="13875"/>
    <cellStyle name="Total 2 2 2 2 4" xfId="14964"/>
    <cellStyle name="Total 2 2 2 2 5" xfId="14411"/>
    <cellStyle name="Total 2 2 2 2 6" xfId="13583"/>
    <cellStyle name="Total 2 2 2 2 7" xfId="14115"/>
    <cellStyle name="Total 2 2 2 2 8" xfId="18875"/>
    <cellStyle name="Total 2 2 2 2 9" xfId="14206"/>
    <cellStyle name="Total 2 2 2 20" xfId="27003"/>
    <cellStyle name="Total 2 2 2 21" xfId="26069"/>
    <cellStyle name="Total 2 2 2 22" xfId="34975"/>
    <cellStyle name="Total 2 2 2 23" xfId="35466"/>
    <cellStyle name="Total 2 2 2 24" xfId="37520"/>
    <cellStyle name="Total 2 2 2 3" xfId="13248"/>
    <cellStyle name="Total 2 2 2 3 10" xfId="15253"/>
    <cellStyle name="Total 2 2 2 3 11" xfId="26470"/>
    <cellStyle name="Total 2 2 2 3 12" xfId="27672"/>
    <cellStyle name="Total 2 2 2 3 13" xfId="27643"/>
    <cellStyle name="Total 2 2 2 3 14" xfId="29825"/>
    <cellStyle name="Total 2 2 2 3 15" xfId="30844"/>
    <cellStyle name="Total 2 2 2 3 16" xfId="26983"/>
    <cellStyle name="Total 2 2 2 3 17" xfId="35153"/>
    <cellStyle name="Total 2 2 2 3 18" xfId="35396"/>
    <cellStyle name="Total 2 2 2 3 2" xfId="15655"/>
    <cellStyle name="Total 2 2 2 3 3" xfId="15163"/>
    <cellStyle name="Total 2 2 2 3 4" xfId="14314"/>
    <cellStyle name="Total 2 2 2 3 5" xfId="13797"/>
    <cellStyle name="Total 2 2 2 3 6" xfId="18911"/>
    <cellStyle name="Total 2 2 2 3 7" xfId="15135"/>
    <cellStyle name="Total 2 2 2 3 8" xfId="15044"/>
    <cellStyle name="Total 2 2 2 3 9" xfId="15724"/>
    <cellStyle name="Total 2 2 2 4" xfId="13249"/>
    <cellStyle name="Total 2 2 2 4 10" xfId="15304"/>
    <cellStyle name="Total 2 2 2 4 11" xfId="26451"/>
    <cellStyle name="Total 2 2 2 4 12" xfId="27081"/>
    <cellStyle name="Total 2 2 2 4 13" xfId="27451"/>
    <cellStyle name="Total 2 2 2 4 14" xfId="26783"/>
    <cellStyle name="Total 2 2 2 4 15" xfId="27815"/>
    <cellStyle name="Total 2 2 2 4 16" xfId="27501"/>
    <cellStyle name="Total 2 2 2 4 17" xfId="35134"/>
    <cellStyle name="Total 2 2 2 4 18" xfId="35403"/>
    <cellStyle name="Total 2 2 2 4 2" xfId="14845"/>
    <cellStyle name="Total 2 2 2 4 3" xfId="13440"/>
    <cellStyle name="Total 2 2 2 4 4" xfId="15019"/>
    <cellStyle name="Total 2 2 2 4 5" xfId="15174"/>
    <cellStyle name="Total 2 2 2 4 6" xfId="14215"/>
    <cellStyle name="Total 2 2 2 4 7" xfId="14528"/>
    <cellStyle name="Total 2 2 2 4 8" xfId="14106"/>
    <cellStyle name="Total 2 2 2 4 9" xfId="15464"/>
    <cellStyle name="Total 2 2 2 5" xfId="13250"/>
    <cellStyle name="Total 2 2 2 5 10" xfId="15856"/>
    <cellStyle name="Total 2 2 2 5 11" xfId="26485"/>
    <cellStyle name="Total 2 2 2 5 12" xfId="27058"/>
    <cellStyle name="Total 2 2 2 5 13" xfId="27230"/>
    <cellStyle name="Total 2 2 2 5 14" xfId="27499"/>
    <cellStyle name="Total 2 2 2 5 15" xfId="27330"/>
    <cellStyle name="Total 2 2 2 5 16" xfId="27784"/>
    <cellStyle name="Total 2 2 2 5 17" xfId="35168"/>
    <cellStyle name="Total 2 2 2 5 18" xfId="35213"/>
    <cellStyle name="Total 2 2 2 5 2" xfId="15652"/>
    <cellStyle name="Total 2 2 2 5 3" xfId="14439"/>
    <cellStyle name="Total 2 2 2 5 4" xfId="15008"/>
    <cellStyle name="Total 2 2 2 5 5" xfId="13681"/>
    <cellStyle name="Total 2 2 2 5 6" xfId="15702"/>
    <cellStyle name="Total 2 2 2 5 7" xfId="13679"/>
    <cellStyle name="Total 2 2 2 5 8" xfId="14301"/>
    <cellStyle name="Total 2 2 2 5 9" xfId="15448"/>
    <cellStyle name="Total 2 2 2 6" xfId="15713"/>
    <cellStyle name="Total 2 2 2 7" xfId="13699"/>
    <cellStyle name="Total 2 2 2 8" xfId="15286"/>
    <cellStyle name="Total 2 2 2 9" xfId="14724"/>
    <cellStyle name="Total 2 2 3" xfId="13251"/>
    <cellStyle name="Total 2 2 3 10" xfId="13652"/>
    <cellStyle name="Total 2 2 3 11" xfId="18895"/>
    <cellStyle name="Total 2 2 3 12" xfId="13649"/>
    <cellStyle name="Total 2 2 3 13" xfId="15602"/>
    <cellStyle name="Total 2 2 3 14" xfId="15097"/>
    <cellStyle name="Total 2 2 3 15" xfId="26085"/>
    <cellStyle name="Total 2 2 3 16" xfId="27780"/>
    <cellStyle name="Total 2 2 3 17" xfId="25957"/>
    <cellStyle name="Total 2 2 3 18" xfId="27315"/>
    <cellStyle name="Total 2 2 3 19" xfId="26007"/>
    <cellStyle name="Total 2 2 3 2" xfId="13252"/>
    <cellStyle name="Total 2 2 3 2 10" xfId="13460"/>
    <cellStyle name="Total 2 2 3 2 11" xfId="26306"/>
    <cellStyle name="Total 2 2 3 2 12" xfId="27731"/>
    <cellStyle name="Total 2 2 3 2 13" xfId="26919"/>
    <cellStyle name="Total 2 2 3 2 14" xfId="26754"/>
    <cellStyle name="Total 2 2 3 2 15" xfId="26855"/>
    <cellStyle name="Total 2 2 3 2 16" xfId="26969"/>
    <cellStyle name="Total 2 2 3 2 17" xfId="35002"/>
    <cellStyle name="Total 2 2 3 2 18" xfId="35456"/>
    <cellStyle name="Total 2 2 3 2 2" xfId="13612"/>
    <cellStyle name="Total 2 2 3 2 3" xfId="13721"/>
    <cellStyle name="Total 2 2 3 2 4" xfId="15285"/>
    <cellStyle name="Total 2 2 3 2 5" xfId="14727"/>
    <cellStyle name="Total 2 2 3 2 6" xfId="14703"/>
    <cellStyle name="Total 2 2 3 2 7" xfId="15617"/>
    <cellStyle name="Total 2 2 3 2 8" xfId="14568"/>
    <cellStyle name="Total 2 2 3 2 9" xfId="14407"/>
    <cellStyle name="Total 2 2 3 20" xfId="27335"/>
    <cellStyle name="Total 2 2 3 21" xfId="26655"/>
    <cellStyle name="Total 2 2 3 22" xfId="34945"/>
    <cellStyle name="Total 2 2 3 23" xfId="35475"/>
    <cellStyle name="Total 2 2 3 24" xfId="37521"/>
    <cellStyle name="Total 2 2 3 3" xfId="13253"/>
    <cellStyle name="Total 2 2 3 3 10" xfId="14268"/>
    <cellStyle name="Total 2 2 3 3 11" xfId="26386"/>
    <cellStyle name="Total 2 2 3 3 12" xfId="27123"/>
    <cellStyle name="Total 2 2 3 3 13" xfId="27412"/>
    <cellStyle name="Total 2 2 3 3 14" xfId="26770"/>
    <cellStyle name="Total 2 2 3 3 15" xfId="26597"/>
    <cellStyle name="Total 2 2 3 3 16" xfId="27558"/>
    <cellStyle name="Total 2 2 3 3 17" xfId="35077"/>
    <cellStyle name="Total 2 2 3 3 18" xfId="35427"/>
    <cellStyle name="Total 2 2 3 3 2" xfId="14876"/>
    <cellStyle name="Total 2 2 3 3 3" xfId="14422"/>
    <cellStyle name="Total 2 2 3 3 4" xfId="15767"/>
    <cellStyle name="Total 2 2 3 3 5" xfId="14381"/>
    <cellStyle name="Total 2 2 3 3 6" xfId="13855"/>
    <cellStyle name="Total 2 2 3 3 7" xfId="15743"/>
    <cellStyle name="Total 2 2 3 3 8" xfId="15520"/>
    <cellStyle name="Total 2 2 3 3 9" xfId="14019"/>
    <cellStyle name="Total 2 2 3 4" xfId="13254"/>
    <cellStyle name="Total 2 2 3 4 10" xfId="15622"/>
    <cellStyle name="Total 2 2 3 4 11" xfId="26362"/>
    <cellStyle name="Total 2 2 3 4 12" xfId="26031"/>
    <cellStyle name="Total 2 2 3 4 13" xfId="26644"/>
    <cellStyle name="Total 2 2 3 4 14" xfId="26763"/>
    <cellStyle name="Total 2 2 3 4 15" xfId="27460"/>
    <cellStyle name="Total 2 2 3 4 16" xfId="27212"/>
    <cellStyle name="Total 2 2 3 4 17" xfId="35054"/>
    <cellStyle name="Total 2 2 3 4 18" xfId="34893"/>
    <cellStyle name="Total 2 2 3 4 2" xfId="14891"/>
    <cellStyle name="Total 2 2 3 4 3" xfId="13757"/>
    <cellStyle name="Total 2 2 3 4 4" xfId="15281"/>
    <cellStyle name="Total 2 2 3 4 5" xfId="15593"/>
    <cellStyle name="Total 2 2 3 4 6" xfId="14611"/>
    <cellStyle name="Total 2 2 3 4 7" xfId="14560"/>
    <cellStyle name="Total 2 2 3 4 8" xfId="13414"/>
    <cellStyle name="Total 2 2 3 4 9" xfId="14077"/>
    <cellStyle name="Total 2 2 3 5" xfId="13255"/>
    <cellStyle name="Total 2 2 3 5 10" xfId="15183"/>
    <cellStyle name="Total 2 2 3 5 11" xfId="26463"/>
    <cellStyle name="Total 2 2 3 5 12" xfId="27675"/>
    <cellStyle name="Total 2 2 3 5 13" xfId="27644"/>
    <cellStyle name="Total 2 2 3 5 14" xfId="26786"/>
    <cellStyle name="Total 2 2 3 5 15" xfId="26692"/>
    <cellStyle name="Total 2 2 3 5 16" xfId="27795"/>
    <cellStyle name="Total 2 2 3 5 17" xfId="35146"/>
    <cellStyle name="Total 2 2 3 5 18" xfId="35228"/>
    <cellStyle name="Total 2 2 3 5 2" xfId="14841"/>
    <cellStyle name="Total 2 2 3 5 3" xfId="14430"/>
    <cellStyle name="Total 2 2 3 5 4" xfId="15014"/>
    <cellStyle name="Total 2 2 3 5 5" xfId="15175"/>
    <cellStyle name="Total 2 2 3 5 6" xfId="14807"/>
    <cellStyle name="Total 2 2 3 5 7" xfId="15351"/>
    <cellStyle name="Total 2 2 3 5 8" xfId="18889"/>
    <cellStyle name="Total 2 2 3 5 9" xfId="13407"/>
    <cellStyle name="Total 2 2 3 6" xfId="13845"/>
    <cellStyle name="Total 2 2 3 7" xfId="15373"/>
    <cellStyle name="Total 2 2 3 8" xfId="14921"/>
    <cellStyle name="Total 2 2 3 9" xfId="15339"/>
    <cellStyle name="Total 2 2 4" xfId="13256"/>
    <cellStyle name="Total 2 2 4 10" xfId="24873"/>
    <cellStyle name="Total 2 2 4 11" xfId="25872"/>
    <cellStyle name="Total 2 2 4 12" xfId="28778"/>
    <cellStyle name="Total 2 2 4 13" xfId="29795"/>
    <cellStyle name="Total 2 2 4 14" xfId="30828"/>
    <cellStyle name="Total 2 2 4 15" xfId="31823"/>
    <cellStyle name="Total 2 2 4 16" xfId="32827"/>
    <cellStyle name="Total 2 2 4 17" xfId="33830"/>
    <cellStyle name="Total 2 2 4 18" xfId="34829"/>
    <cellStyle name="Total 2 2 4 19" xfId="36390"/>
    <cellStyle name="Total 2 2 4 2" xfId="16862"/>
    <cellStyle name="Total 2 2 4 20" xfId="37389"/>
    <cellStyle name="Total 2 2 4 3" xfId="17842"/>
    <cellStyle name="Total 2 2 4 4" xfId="18867"/>
    <cellStyle name="Total 2 2 4 5" xfId="19901"/>
    <cellStyle name="Total 2 2 4 6" xfId="20926"/>
    <cellStyle name="Total 2 2 4 7" xfId="21886"/>
    <cellStyle name="Total 2 2 4 8" xfId="22898"/>
    <cellStyle name="Total 2 2 4 9" xfId="23901"/>
    <cellStyle name="Total 2 2 5" xfId="13257"/>
    <cellStyle name="Total 2 2 5 10" xfId="24875"/>
    <cellStyle name="Total 2 2 5 11" xfId="25874"/>
    <cellStyle name="Total 2 2 5 12" xfId="28780"/>
    <cellStyle name="Total 2 2 5 13" xfId="29797"/>
    <cellStyle name="Total 2 2 5 14" xfId="30830"/>
    <cellStyle name="Total 2 2 5 15" xfId="31825"/>
    <cellStyle name="Total 2 2 5 16" xfId="32829"/>
    <cellStyle name="Total 2 2 5 17" xfId="33832"/>
    <cellStyle name="Total 2 2 5 18" xfId="34831"/>
    <cellStyle name="Total 2 2 5 19" xfId="36392"/>
    <cellStyle name="Total 2 2 5 2" xfId="16864"/>
    <cellStyle name="Total 2 2 5 20" xfId="37391"/>
    <cellStyle name="Total 2 2 5 3" xfId="17844"/>
    <cellStyle name="Total 2 2 5 4" xfId="18869"/>
    <cellStyle name="Total 2 2 5 5" xfId="19903"/>
    <cellStyle name="Total 2 2 5 6" xfId="20928"/>
    <cellStyle name="Total 2 2 5 7" xfId="21888"/>
    <cellStyle name="Total 2 2 5 8" xfId="22900"/>
    <cellStyle name="Total 2 2 5 9" xfId="23903"/>
    <cellStyle name="Total 2 2 6" xfId="37460"/>
    <cellStyle name="Total 2 3" xfId="13258"/>
    <cellStyle name="Total 2 3 10" xfId="15049"/>
    <cellStyle name="Total 2 3 11" xfId="15129"/>
    <cellStyle name="Total 2 3 12" xfId="15716"/>
    <cellStyle name="Total 2 3 13" xfId="15510"/>
    <cellStyle name="Total 2 3 14" xfId="14164"/>
    <cellStyle name="Total 2 3 15" xfId="16842"/>
    <cellStyle name="Total 2 3 16" xfId="27266"/>
    <cellStyle name="Total 2 3 17" xfId="26495"/>
    <cellStyle name="Total 2 3 18" xfId="27337"/>
    <cellStyle name="Total 2 3 19" xfId="27611"/>
    <cellStyle name="Total 2 3 2" xfId="13259"/>
    <cellStyle name="Total 2 3 2 10" xfId="15132"/>
    <cellStyle name="Total 2 3 2 11" xfId="14225"/>
    <cellStyle name="Total 2 3 2 12" xfId="21864"/>
    <cellStyle name="Total 2 3 2 13" xfId="19910"/>
    <cellStyle name="Total 2 3 2 14" xfId="21868"/>
    <cellStyle name="Total 2 3 2 15" xfId="27250"/>
    <cellStyle name="Total 2 3 2 16" xfId="25935"/>
    <cellStyle name="Total 2 3 2 17" xfId="27769"/>
    <cellStyle name="Total 2 3 2 18" xfId="26607"/>
    <cellStyle name="Total 2 3 2 19" xfId="27232"/>
    <cellStyle name="Total 2 3 2 2" xfId="13260"/>
    <cellStyle name="Total 2 3 2 2 10" xfId="14681"/>
    <cellStyle name="Total 2 3 2 2 11" xfId="27162"/>
    <cellStyle name="Total 2 3 2 2 12" xfId="25882"/>
    <cellStyle name="Total 2 3 2 2 13" xfId="26236"/>
    <cellStyle name="Total 2 3 2 2 14" xfId="26871"/>
    <cellStyle name="Total 2 3 2 2 15" xfId="27217"/>
    <cellStyle name="Total 2 3 2 2 16" xfId="27241"/>
    <cellStyle name="Total 2 3 2 2 17" xfId="35317"/>
    <cellStyle name="Total 2 3 2 2 2" xfId="15698"/>
    <cellStyle name="Total 2 3 2 2 3" xfId="13734"/>
    <cellStyle name="Total 2 3 2 2 4" xfId="15026"/>
    <cellStyle name="Total 2 3 2 2 5" xfId="14379"/>
    <cellStyle name="Total 2 3 2 2 6" xfId="14612"/>
    <cellStyle name="Total 2 3 2 2 7" xfId="14330"/>
    <cellStyle name="Total 2 3 2 2 8" xfId="15065"/>
    <cellStyle name="Total 2 3 2 2 9" xfId="13503"/>
    <cellStyle name="Total 2 3 2 20" xfId="26627"/>
    <cellStyle name="Total 2 3 2 21" xfId="35356"/>
    <cellStyle name="Total 2 3 2 3" xfId="13261"/>
    <cellStyle name="Total 2 3 2 3 10" xfId="13434"/>
    <cellStyle name="Total 2 3 2 3 11" xfId="27111"/>
    <cellStyle name="Total 2 3 2 3 12" xfId="26146"/>
    <cellStyle name="Total 2 3 2 3 13" xfId="27578"/>
    <cellStyle name="Total 2 3 2 3 14" xfId="27294"/>
    <cellStyle name="Total 2 3 2 3 15" xfId="27562"/>
    <cellStyle name="Total 2 3 2 3 16" xfId="27198"/>
    <cellStyle name="Total 2 3 2 3 17" xfId="35266"/>
    <cellStyle name="Total 2 3 2 3 2" xfId="15674"/>
    <cellStyle name="Total 2 3 2 3 3" xfId="15074"/>
    <cellStyle name="Total 2 3 2 3 4" xfId="14959"/>
    <cellStyle name="Total 2 3 2 3 5" xfId="15403"/>
    <cellStyle name="Total 2 3 2 3 6" xfId="15258"/>
    <cellStyle name="Total 2 3 2 3 7" xfId="14222"/>
    <cellStyle name="Total 2 3 2 3 8" xfId="16838"/>
    <cellStyle name="Total 2 3 2 3 9" xfId="14488"/>
    <cellStyle name="Total 2 3 2 4" xfId="13262"/>
    <cellStyle name="Total 2 3 2 4 10" xfId="20902"/>
    <cellStyle name="Total 2 3 2 4 11" xfId="26038"/>
    <cellStyle name="Total 2 3 2 4 12" xfId="26136"/>
    <cellStyle name="Total 2 3 2 4 13" xfId="27022"/>
    <cellStyle name="Total 2 3 2 4 14" xfId="26540"/>
    <cellStyle name="Total 2 3 2 4 15" xfId="26739"/>
    <cellStyle name="Total 2 3 2 4 16" xfId="26795"/>
    <cellStyle name="Total 2 3 2 4 17" xfId="35297"/>
    <cellStyle name="Total 2 3 2 4 2" xfId="15689"/>
    <cellStyle name="Total 2 3 2 4 3" xfId="13745"/>
    <cellStyle name="Total 2 3 2 4 4" xfId="14628"/>
    <cellStyle name="Total 2 3 2 4 5" xfId="15487"/>
    <cellStyle name="Total 2 3 2 4 6" xfId="15453"/>
    <cellStyle name="Total 2 3 2 4 7" xfId="13664"/>
    <cellStyle name="Total 2 3 2 4 8" xfId="13879"/>
    <cellStyle name="Total 2 3 2 4 9" xfId="15147"/>
    <cellStyle name="Total 2 3 2 5" xfId="13263"/>
    <cellStyle name="Total 2 3 2 5 10" xfId="15099"/>
    <cellStyle name="Total 2 3 2 5 11" xfId="27076"/>
    <cellStyle name="Total 2 3 2 5 12" xfId="26170"/>
    <cellStyle name="Total 2 3 2 5 13" xfId="26706"/>
    <cellStyle name="Total 2 3 2 5 14" xfId="26784"/>
    <cellStyle name="Total 2 3 2 5 15" xfId="27310"/>
    <cellStyle name="Total 2 3 2 5 16" xfId="26592"/>
    <cellStyle name="Total 2 3 2 5 17" xfId="35400"/>
    <cellStyle name="Total 2 3 2 5 2" xfId="14842"/>
    <cellStyle name="Total 2 3 2 5 3" xfId="14428"/>
    <cellStyle name="Total 2 3 2 5 4" xfId="15016"/>
    <cellStyle name="Total 2 3 2 5 5" xfId="14008"/>
    <cellStyle name="Total 2 3 2 5 6" xfId="15030"/>
    <cellStyle name="Total 2 3 2 5 7" xfId="15364"/>
    <cellStyle name="Total 2 3 2 5 8" xfId="15558"/>
    <cellStyle name="Total 2 3 2 5 9" xfId="18845"/>
    <cellStyle name="Total 2 3 2 6" xfId="13836"/>
    <cellStyle name="Total 2 3 2 7" xfId="14359"/>
    <cellStyle name="Total 2 3 2 8" xfId="13840"/>
    <cellStyle name="Total 2 3 2 9" xfId="14312"/>
    <cellStyle name="Total 2 3 20" xfId="27609"/>
    <cellStyle name="Total 2 3 21" xfId="26588"/>
    <cellStyle name="Total 2 3 22" xfId="35372"/>
    <cellStyle name="Total 2 3 23" xfId="37522"/>
    <cellStyle name="Total 2 3 3" xfId="13264"/>
    <cellStyle name="Total 2 3 3 10" xfId="15381"/>
    <cellStyle name="Total 2 3 3 11" xfId="27185"/>
    <cellStyle name="Total 2 3 3 12" xfId="25999"/>
    <cellStyle name="Total 2 3 3 13" xfId="26228"/>
    <cellStyle name="Total 2 3 3 14" xfId="26743"/>
    <cellStyle name="Total 2 3 3 15" xfId="26663"/>
    <cellStyle name="Total 2 3 3 16" xfId="26223"/>
    <cellStyle name="Total 2 3 3 17" xfId="35461"/>
    <cellStyle name="Total 2 3 3 2" xfId="15708"/>
    <cellStyle name="Total 2 3 3 3" xfId="15189"/>
    <cellStyle name="Total 2 3 3 4" xfId="14789"/>
    <cellStyle name="Total 2 3 3 5" xfId="13431"/>
    <cellStyle name="Total 2 3 3 6" xfId="13939"/>
    <cellStyle name="Total 2 3 3 7" xfId="14598"/>
    <cellStyle name="Total 2 3 3 8" xfId="14745"/>
    <cellStyle name="Total 2 3 3 9" xfId="15370"/>
    <cellStyle name="Total 2 3 4" xfId="13265"/>
    <cellStyle name="Total 2 3 4 10" xfId="14677"/>
    <cellStyle name="Total 2 3 4 11" xfId="27135"/>
    <cellStyle name="Total 2 3 4 12" xfId="26139"/>
    <cellStyle name="Total 2 3 4 13" xfId="27762"/>
    <cellStyle name="Total 2 3 4 14" xfId="26766"/>
    <cellStyle name="Total 2 3 4 15" xfId="27816"/>
    <cellStyle name="Total 2 3 4 16" xfId="26995"/>
    <cellStyle name="Total 2 3 4 17" xfId="35290"/>
    <cellStyle name="Total 2 3 4 2" xfId="14885"/>
    <cellStyle name="Total 2 3 4 3" xfId="14419"/>
    <cellStyle name="Total 2 3 4 4" xfId="15280"/>
    <cellStyle name="Total 2 3 4 5" xfId="14733"/>
    <cellStyle name="Total 2 3 4 6" xfId="14663"/>
    <cellStyle name="Total 2 3 4 7" xfId="15467"/>
    <cellStyle name="Total 2 3 4 8" xfId="15250"/>
    <cellStyle name="Total 2 3 4 9" xfId="14955"/>
    <cellStyle name="Total 2 3 5" xfId="13266"/>
    <cellStyle name="Total 2 3 5 10" xfId="14704"/>
    <cellStyle name="Total 2 3 5 11" xfId="27140"/>
    <cellStyle name="Total 2 3 5 12" xfId="25969"/>
    <cellStyle name="Total 2 3 5 13" xfId="27021"/>
    <cellStyle name="Total 2 3 5 14" xfId="27364"/>
    <cellStyle name="Total 2 3 5 15" xfId="27449"/>
    <cellStyle name="Total 2 3 5 16" xfId="26898"/>
    <cellStyle name="Total 2 3 5 17" xfId="35294"/>
    <cellStyle name="Total 2 3 5 2" xfId="15687"/>
    <cellStyle name="Total 2 3 5 3" xfId="13750"/>
    <cellStyle name="Total 2 3 5 4" xfId="15535"/>
    <cellStyle name="Total 2 3 5 5" xfId="15488"/>
    <cellStyle name="Total 2 3 5 6" xfId="15001"/>
    <cellStyle name="Total 2 3 5 7" xfId="14699"/>
    <cellStyle name="Total 2 3 5 8" xfId="14450"/>
    <cellStyle name="Total 2 3 5 9" xfId="13936"/>
    <cellStyle name="Total 2 3 6" xfId="13267"/>
    <cellStyle name="Total 2 3 6 10" xfId="15179"/>
    <cellStyle name="Total 2 3 6 11" xfId="27710"/>
    <cellStyle name="Total 2 3 6 12" xfId="28329"/>
    <cellStyle name="Total 2 3 6 13" xfId="27302"/>
    <cellStyle name="Total 2 3 6 14" xfId="26543"/>
    <cellStyle name="Total 2 3 6 15" xfId="27052"/>
    <cellStyle name="Total 2 3 6 16" xfId="27621"/>
    <cellStyle name="Total 2 3 6 17" xfId="35434"/>
    <cellStyle name="Total 2 3 6 2" xfId="15682"/>
    <cellStyle name="Total 2 3 6 3" xfId="13763"/>
    <cellStyle name="Total 2 3 6 4" xfId="15533"/>
    <cellStyle name="Total 2 3 6 5" xfId="15245"/>
    <cellStyle name="Total 2 3 6 6" xfId="16364"/>
    <cellStyle name="Total 2 3 6 7" xfId="14364"/>
    <cellStyle name="Total 2 3 6 8" xfId="14771"/>
    <cellStyle name="Total 2 3 6 9" xfId="13524"/>
    <cellStyle name="Total 2 3 7" xfId="13861"/>
    <cellStyle name="Total 2 3 8" xfId="15140"/>
    <cellStyle name="Total 2 3 9" xfId="14331"/>
    <cellStyle name="Total 2 4" xfId="13268"/>
    <cellStyle name="Total 2 4 10" xfId="14338"/>
    <cellStyle name="Total 2 4 11" xfId="15119"/>
    <cellStyle name="Total 2 4 12" xfId="14457"/>
    <cellStyle name="Total 2 4 13" xfId="13883"/>
    <cellStyle name="Total 2 4 14" xfId="19909"/>
    <cellStyle name="Total 2 4 15" xfId="14700"/>
    <cellStyle name="Total 2 4 16" xfId="27265"/>
    <cellStyle name="Total 2 4 17" xfId="26664"/>
    <cellStyle name="Total 2 4 18" xfId="27462"/>
    <cellStyle name="Total 2 4 19" xfId="26802"/>
    <cellStyle name="Total 2 4 2" xfId="13269"/>
    <cellStyle name="Total 2 4 2 10" xfId="14535"/>
    <cellStyle name="Total 2 4 2 11" xfId="13825"/>
    <cellStyle name="Total 2 4 2 12" xfId="14950"/>
    <cellStyle name="Total 2 4 2 13" xfId="20940"/>
    <cellStyle name="Total 2 4 2 14" xfId="13881"/>
    <cellStyle name="Total 2 4 2 15" xfId="27771"/>
    <cellStyle name="Total 2 4 2 16" xfId="27240"/>
    <cellStyle name="Total 2 4 2 17" xfId="26185"/>
    <cellStyle name="Total 2 4 2 18" xfId="27553"/>
    <cellStyle name="Total 2 4 2 19" xfId="27439"/>
    <cellStyle name="Total 2 4 2 2" xfId="13270"/>
    <cellStyle name="Total 2 4 2 2 10" xfId="15620"/>
    <cellStyle name="Total 2 4 2 2 11" xfId="26041"/>
    <cellStyle name="Total 2 4 2 2 12" xfId="26648"/>
    <cellStyle name="Total 2 4 2 2 13" xfId="26733"/>
    <cellStyle name="Total 2 4 2 2 14" xfId="26598"/>
    <cellStyle name="Total 2 4 2 2 15" xfId="27403"/>
    <cellStyle name="Total 2 4 2 2 16" xfId="35316"/>
    <cellStyle name="Total 2 4 2 2 2" xfId="14912"/>
    <cellStyle name="Total 2 4 2 2 3" xfId="14036"/>
    <cellStyle name="Total 2 4 2 2 4" xfId="14300"/>
    <cellStyle name="Total 2 4 2 2 5" xfId="15434"/>
    <cellStyle name="Total 2 4 2 2 6" xfId="15225"/>
    <cellStyle name="Total 2 4 2 2 7" xfId="15164"/>
    <cellStyle name="Total 2 4 2 2 8" xfId="13690"/>
    <cellStyle name="Total 2 4 2 2 9" xfId="14757"/>
    <cellStyle name="Total 2 4 2 20" xfId="35355"/>
    <cellStyle name="Total 2 4 2 3" xfId="13271"/>
    <cellStyle name="Total 2 4 2 3 10" xfId="15034"/>
    <cellStyle name="Total 2 4 2 3 11" xfId="27696"/>
    <cellStyle name="Total 2 4 2 3 12" xfId="27017"/>
    <cellStyle name="Total 2 4 2 3 13" xfId="27429"/>
    <cellStyle name="Total 2 4 2 3 14" xfId="26156"/>
    <cellStyle name="Total 2 4 2 3 15" xfId="27284"/>
    <cellStyle name="Total 2 4 2 3 16" xfId="35420"/>
    <cellStyle name="Total 2 4 2 3 2" xfId="14865"/>
    <cellStyle name="Total 2 4 2 3 3" xfId="15853"/>
    <cellStyle name="Total 2 4 2 3 4" xfId="14315"/>
    <cellStyle name="Total 2 4 2 3 5" xfId="13669"/>
    <cellStyle name="Total 2 4 2 3 6" xfId="13392"/>
    <cellStyle name="Total 2 4 2 3 7" xfId="15598"/>
    <cellStyle name="Total 2 4 2 3 8" xfId="14584"/>
    <cellStyle name="Total 2 4 2 3 9" xfId="21896"/>
    <cellStyle name="Total 2 4 2 4" xfId="13272"/>
    <cellStyle name="Total 2 4 2 4 10" xfId="15031"/>
    <cellStyle name="Total 2 4 2 4 11" xfId="26037"/>
    <cellStyle name="Total 2 4 2 4 12" xfId="26017"/>
    <cellStyle name="Total 2 4 2 4 13" xfId="27482"/>
    <cellStyle name="Total 2 4 2 4 14" xfId="28742"/>
    <cellStyle name="Total 2 4 2 4 15" xfId="27571"/>
    <cellStyle name="Total 2 4 2 4 16" xfId="35296"/>
    <cellStyle name="Total 2 4 2 4 2" xfId="14896"/>
    <cellStyle name="Total 2 4 2 4 3" xfId="13746"/>
    <cellStyle name="Total 2 4 2 4 4" xfId="15536"/>
    <cellStyle name="Total 2 4 2 4 5" xfId="14547"/>
    <cellStyle name="Total 2 4 2 4 6" xfId="15810"/>
    <cellStyle name="Total 2 4 2 4 7" xfId="17859"/>
    <cellStyle name="Total 2 4 2 4 8" xfId="14723"/>
    <cellStyle name="Total 2 4 2 4 9" xfId="14711"/>
    <cellStyle name="Total 2 4 2 5" xfId="13273"/>
    <cellStyle name="Total 2 4 2 5 10" xfId="13446"/>
    <cellStyle name="Total 2 4 2 5 11" xfId="27095"/>
    <cellStyle name="Total 2 4 2 5 12" xfId="26270"/>
    <cellStyle name="Total 2 4 2 5 13" xfId="27347"/>
    <cellStyle name="Total 2 4 2 5 14" xfId="27406"/>
    <cellStyle name="Total 2 4 2 5 15" xfId="27756"/>
    <cellStyle name="Total 2 4 2 5 16" xfId="34848"/>
    <cellStyle name="Total 2 4 2 5 2" xfId="14852"/>
    <cellStyle name="Total 2 4 2 5 3" xfId="13941"/>
    <cellStyle name="Total 2 4 2 5 4" xfId="15527"/>
    <cellStyle name="Total 2 4 2 5 5" xfId="15247"/>
    <cellStyle name="Total 2 4 2 5 6" xfId="15004"/>
    <cellStyle name="Total 2 4 2 5 7" xfId="14141"/>
    <cellStyle name="Total 2 4 2 5 8" xfId="15032"/>
    <cellStyle name="Total 2 4 2 5 9" xfId="14230"/>
    <cellStyle name="Total 2 4 2 6" xfId="15784"/>
    <cellStyle name="Total 2 4 2 7" xfId="15169"/>
    <cellStyle name="Total 2 4 2 8" xfId="13457"/>
    <cellStyle name="Total 2 4 2 9" xfId="13470"/>
    <cellStyle name="Total 2 4 20" xfId="31827"/>
    <cellStyle name="Total 2 4 21" xfId="35371"/>
    <cellStyle name="Total 2 4 22" xfId="37523"/>
    <cellStyle name="Total 2 4 3" xfId="13274"/>
    <cellStyle name="Total 2 4 3 10" xfId="14212"/>
    <cellStyle name="Total 2 4 3 11" xfId="27184"/>
    <cellStyle name="Total 2 4 3 12" xfId="26048"/>
    <cellStyle name="Total 2 4 3 13" xfId="26534"/>
    <cellStyle name="Total 2 4 3 14" xfId="26890"/>
    <cellStyle name="Total 2 4 3 15" xfId="26872"/>
    <cellStyle name="Total 2 4 3 16" xfId="35339"/>
    <cellStyle name="Total 2 4 3 2" xfId="14928"/>
    <cellStyle name="Total 2 4 3 3" xfId="13711"/>
    <cellStyle name="Total 2 4 3 4" xfId="14196"/>
    <cellStyle name="Total 2 4 3 5" xfId="13513"/>
    <cellStyle name="Total 2 4 3 6" xfId="14761"/>
    <cellStyle name="Total 2 4 3 7" xfId="15090"/>
    <cellStyle name="Total 2 4 3 8" xfId="15236"/>
    <cellStyle name="Total 2 4 3 9" xfId="15733"/>
    <cellStyle name="Total 2 4 4" xfId="13275"/>
    <cellStyle name="Total 2 4 4 10" xfId="14794"/>
    <cellStyle name="Total 2 4 4 11" xfId="27134"/>
    <cellStyle name="Total 2 4 4 12" xfId="26013"/>
    <cellStyle name="Total 2 4 4 13" xfId="26544"/>
    <cellStyle name="Total 2 4 4 14" xfId="27446"/>
    <cellStyle name="Total 2 4 4 15" xfId="26837"/>
    <cellStyle name="Total 2 4 4 16" xfId="35433"/>
    <cellStyle name="Total 2 4 4 2" xfId="14884"/>
    <cellStyle name="Total 2 4 4 3" xfId="15406"/>
    <cellStyle name="Total 2 4 4 4" xfId="14624"/>
    <cellStyle name="Total 2 4 4 5" xfId="15490"/>
    <cellStyle name="Total 2 4 4 6" xfId="14760"/>
    <cellStyle name="Total 2 4 4 7" xfId="13622"/>
    <cellStyle name="Total 2 4 4 8" xfId="14775"/>
    <cellStyle name="Total 2 4 4 9" xfId="13637"/>
    <cellStyle name="Total 2 4 5" xfId="13276"/>
    <cellStyle name="Total 2 4 5 10" xfId="13601"/>
    <cellStyle name="Total 2 4 5 11" xfId="27139"/>
    <cellStyle name="Total 2 4 5 12" xfId="26505"/>
    <cellStyle name="Total 2 4 5 13" xfId="25993"/>
    <cellStyle name="Total 2 4 5 14" xfId="27541"/>
    <cellStyle name="Total 2 4 5 15" xfId="25922"/>
    <cellStyle name="Total 2 4 5 16" xfId="34879"/>
    <cellStyle name="Total 2 4 5 2" xfId="14893"/>
    <cellStyle name="Total 2 4 5 3" xfId="13751"/>
    <cellStyle name="Total 2 4 5 4" xfId="14627"/>
    <cellStyle name="Total 2 4 5 5" xfId="14133"/>
    <cellStyle name="Total 2 4 5 6" xfId="14103"/>
    <cellStyle name="Total 2 4 5 7" xfId="15777"/>
    <cellStyle name="Total 2 4 5 8" xfId="13781"/>
    <cellStyle name="Total 2 4 5 9" xfId="15045"/>
    <cellStyle name="Total 2 4 6" xfId="13277"/>
    <cellStyle name="Total 2 4 6 10" xfId="14228"/>
    <cellStyle name="Total 2 4 6 11" xfId="25899"/>
    <cellStyle name="Total 2 4 6 12" xfId="27752"/>
    <cellStyle name="Total 2 4 6 13" xfId="27850"/>
    <cellStyle name="Total 2 4 6 14" xfId="26406"/>
    <cellStyle name="Total 2 4 6 15" xfId="27285"/>
    <cellStyle name="Total 2 4 6 16" xfId="35251"/>
    <cellStyle name="Total 2 4 6 2" xfId="15669"/>
    <cellStyle name="Total 2 4 6 3" xfId="14059"/>
    <cellStyle name="Total 2 4 6 4" xfId="15150"/>
    <cellStyle name="Total 2 4 6 5" xfId="15219"/>
    <cellStyle name="Total 2 4 6 6" xfId="15661"/>
    <cellStyle name="Total 2 4 6 7" xfId="14773"/>
    <cellStyle name="Total 2 4 6 8" xfId="13890"/>
    <cellStyle name="Total 2 4 6 9" xfId="15035"/>
    <cellStyle name="Total 2 4 7" xfId="13860"/>
    <cellStyle name="Total 2 4 8" xfId="13983"/>
    <cellStyle name="Total 2 4 9" xfId="13930"/>
    <cellStyle name="Total 2 5" xfId="13278"/>
    <cellStyle name="Total 2 5 10" xfId="18903"/>
    <cellStyle name="Total 2 5 11" xfId="19911"/>
    <cellStyle name="Total 2 5 12" xfId="20946"/>
    <cellStyle name="Total 2 5 13" xfId="14515"/>
    <cellStyle name="Total 2 5 14" xfId="22903"/>
    <cellStyle name="Total 2 5 15" xfId="26084"/>
    <cellStyle name="Total 2 5 16" xfId="26233"/>
    <cellStyle name="Total 2 5 17" xfId="27833"/>
    <cellStyle name="Total 2 5 18" xfId="27143"/>
    <cellStyle name="Total 2 5 19" xfId="26606"/>
    <cellStyle name="Total 2 5 2" xfId="13279"/>
    <cellStyle name="Total 2 5 2 10" xfId="15330"/>
    <cellStyle name="Total 2 5 2 11" xfId="26305"/>
    <cellStyle name="Total 2 5 2 12" xfId="27176"/>
    <cellStyle name="Total 2 5 2 13" xfId="26047"/>
    <cellStyle name="Total 2 5 2 14" xfId="25992"/>
    <cellStyle name="Total 2 5 2 15" xfId="26889"/>
    <cellStyle name="Total 2 5 2 16" xfId="27432"/>
    <cellStyle name="Total 2 5 2 17" xfId="35001"/>
    <cellStyle name="Total 2 5 2 18" xfId="35330"/>
    <cellStyle name="Total 2 5 2 2" xfId="13613"/>
    <cellStyle name="Total 2 5 2 3" xfId="13720"/>
    <cellStyle name="Total 2 5 2 4" xfId="14632"/>
    <cellStyle name="Total 2 5 2 5" xfId="13886"/>
    <cellStyle name="Total 2 5 2 6" xfId="15365"/>
    <cellStyle name="Total 2 5 2 7" xfId="14149"/>
    <cellStyle name="Total 2 5 2 8" xfId="15444"/>
    <cellStyle name="Total 2 5 2 9" xfId="15499"/>
    <cellStyle name="Total 2 5 20" xfId="30839"/>
    <cellStyle name="Total 2 5 21" xfId="26211"/>
    <cellStyle name="Total 2 5 22" xfId="34944"/>
    <cellStyle name="Total 2 5 23" xfId="34886"/>
    <cellStyle name="Total 2 5 24" xfId="37524"/>
    <cellStyle name="Total 2 5 3" xfId="13280"/>
    <cellStyle name="Total 2 5 3 10" xfId="14292"/>
    <cellStyle name="Total 2 5 3 11" xfId="26385"/>
    <cellStyle name="Total 2 5 3 12" xfId="27124"/>
    <cellStyle name="Total 2 5 3 13" xfId="27019"/>
    <cellStyle name="Total 2 5 3 14" xfId="27487"/>
    <cellStyle name="Total 2 5 3 15" xfId="26883"/>
    <cellStyle name="Total 2 5 3 16" xfId="27283"/>
    <cellStyle name="Total 2 5 3 17" xfId="35076"/>
    <cellStyle name="Total 2 5 3 18" xfId="35279"/>
    <cellStyle name="Total 2 5 3 2" xfId="14877"/>
    <cellStyle name="Total 2 5 3 3" xfId="13768"/>
    <cellStyle name="Total 2 5 3 4" xfId="14185"/>
    <cellStyle name="Total 2 5 3 5" xfId="14735"/>
    <cellStyle name="Total 2 5 3 6" xfId="14153"/>
    <cellStyle name="Total 2 5 3 7" xfId="13502"/>
    <cellStyle name="Total 2 5 3 8" xfId="14269"/>
    <cellStyle name="Total 2 5 3 9" xfId="15321"/>
    <cellStyle name="Total 2 5 4" xfId="13281"/>
    <cellStyle name="Total 2 5 4 10" xfId="18891"/>
    <cellStyle name="Total 2 5 4 11" xfId="26361"/>
    <cellStyle name="Total 2 5 4 12" xfId="26032"/>
    <cellStyle name="Total 2 5 4 13" xfId="26504"/>
    <cellStyle name="Total 2 5 4 14" xfId="26762"/>
    <cellStyle name="Total 2 5 4 15" xfId="27400"/>
    <cellStyle name="Total 2 5 4 16" xfId="26232"/>
    <cellStyle name="Total 2 5 4 17" xfId="35053"/>
    <cellStyle name="Total 2 5 4 18" xfId="34838"/>
    <cellStyle name="Total 2 5 4 2" xfId="15685"/>
    <cellStyle name="Total 2 5 4 3" xfId="13756"/>
    <cellStyle name="Total 2 5 4 4" xfId="14626"/>
    <cellStyle name="Total 2 5 4 5" xfId="14134"/>
    <cellStyle name="Total 2 5 4 6" xfId="14155"/>
    <cellStyle name="Total 2 5 4 7" xfId="13579"/>
    <cellStyle name="Total 2 5 4 8" xfId="13474"/>
    <cellStyle name="Total 2 5 4 9" xfId="14689"/>
    <cellStyle name="Total 2 5 5" xfId="13282"/>
    <cellStyle name="Total 2 5 5 10" xfId="14975"/>
    <cellStyle name="Total 2 5 5 11" xfId="26423"/>
    <cellStyle name="Total 2 5 5 12" xfId="27099"/>
    <cellStyle name="Total 2 5 5 13" xfId="27753"/>
    <cellStyle name="Total 2 5 5 14" xfId="26744"/>
    <cellStyle name="Total 2 5 5 15" xfId="27504"/>
    <cellStyle name="Total 2 5 5 16" xfId="26865"/>
    <cellStyle name="Total 2 5 5 17" xfId="35112"/>
    <cellStyle name="Total 2 5 5 18" xfId="35254"/>
    <cellStyle name="Total 2 5 5 2" xfId="14857"/>
    <cellStyle name="Total 2 5 5 3" xfId="15206"/>
    <cellStyle name="Total 2 5 5 4" xfId="14818"/>
    <cellStyle name="Total 2 5 5 5" xfId="13815"/>
    <cellStyle name="Total 2 5 5 6" xfId="15555"/>
    <cellStyle name="Total 2 5 5 7" xfId="13426"/>
    <cellStyle name="Total 2 5 5 8" xfId="15618"/>
    <cellStyle name="Total 2 5 5 9" xfId="17848"/>
    <cellStyle name="Total 2 5 6" xfId="13846"/>
    <cellStyle name="Total 2 5 7" xfId="14352"/>
    <cellStyle name="Total 2 5 8" xfId="15788"/>
    <cellStyle name="Total 2 5 9" xfId="15845"/>
    <cellStyle name="Total 2 6" xfId="13283"/>
    <cellStyle name="Total 2 6 10" xfId="15235"/>
    <cellStyle name="Total 2 6 11" xfId="15262"/>
    <cellStyle name="Total 2 6 12" xfId="26531"/>
    <cellStyle name="Total 2 6 13" xfId="27033"/>
    <cellStyle name="Total 2 6 14" xfId="26206"/>
    <cellStyle name="Total 2 6 15" xfId="27221"/>
    <cellStyle name="Total 2 6 16" xfId="26615"/>
    <cellStyle name="Total 2 6 17" xfId="27590"/>
    <cellStyle name="Total 2 6 18" xfId="29820"/>
    <cellStyle name="Total 2 6 19" xfId="35196"/>
    <cellStyle name="Total 2 6 2" xfId="13977"/>
    <cellStyle name="Total 2 6 20" xfId="35197"/>
    <cellStyle name="Total 2 6 3" xfId="14800"/>
    <cellStyle name="Total 2 6 4" xfId="15430"/>
    <cellStyle name="Total 2 6 5" xfId="14990"/>
    <cellStyle name="Total 2 6 6" xfId="14401"/>
    <cellStyle name="Total 2 6 7" xfId="14207"/>
    <cellStyle name="Total 2 6 8" xfId="14533"/>
    <cellStyle name="Total 2 6 9" xfId="13880"/>
    <cellStyle name="Total 2 7" xfId="13284"/>
    <cellStyle name="Total 2 8" xfId="13285"/>
    <cellStyle name="Total 2 8 10" xfId="24860"/>
    <cellStyle name="Total 2 8 11" xfId="25859"/>
    <cellStyle name="Total 2 8 12" xfId="28765"/>
    <cellStyle name="Total 2 8 13" xfId="29782"/>
    <cellStyle name="Total 2 8 14" xfId="30815"/>
    <cellStyle name="Total 2 8 15" xfId="31810"/>
    <cellStyle name="Total 2 8 16" xfId="32814"/>
    <cellStyle name="Total 2 8 17" xfId="33817"/>
    <cellStyle name="Total 2 8 18" xfId="34816"/>
    <cellStyle name="Total 2 8 19" xfId="36377"/>
    <cellStyle name="Total 2 8 2" xfId="16849"/>
    <cellStyle name="Total 2 8 20" xfId="37376"/>
    <cellStyle name="Total 2 8 3" xfId="17829"/>
    <cellStyle name="Total 2 8 4" xfId="18854"/>
    <cellStyle name="Total 2 8 5" xfId="19888"/>
    <cellStyle name="Total 2 8 6" xfId="20913"/>
    <cellStyle name="Total 2 8 7" xfId="21873"/>
    <cellStyle name="Total 2 8 8" xfId="22885"/>
    <cellStyle name="Total 2 8 9" xfId="23888"/>
    <cellStyle name="Total 2 9" xfId="37405"/>
    <cellStyle name="Total 2_Rate Sheet" xfId="37459"/>
    <cellStyle name="Total 3" xfId="263"/>
    <cellStyle name="Total 3 2" xfId="365"/>
    <cellStyle name="Total 3 2 2" xfId="13286"/>
    <cellStyle name="Total 3 2 2 10" xfId="14119"/>
    <cellStyle name="Total 3 2 2 11" xfId="19882"/>
    <cellStyle name="Total 3 2 2 12" xfId="14653"/>
    <cellStyle name="Total 3 2 2 13" xfId="15101"/>
    <cellStyle name="Total 3 2 2 14" xfId="15587"/>
    <cellStyle name="Total 3 2 2 15" xfId="26287"/>
    <cellStyle name="Total 3 2 2 16" xfId="27189"/>
    <cellStyle name="Total 3 2 2 17" xfId="27415"/>
    <cellStyle name="Total 3 2 2 18" xfId="26275"/>
    <cellStyle name="Total 3 2 2 19" xfId="26602"/>
    <cellStyle name="Total 3 2 2 2" xfId="13287"/>
    <cellStyle name="Total 3 2 2 2 10" xfId="19875"/>
    <cellStyle name="Total 3 2 2 2 11" xfId="26340"/>
    <cellStyle name="Total 3 2 2 2 12" xfId="27151"/>
    <cellStyle name="Total 3 2 2 2 13" xfId="26647"/>
    <cellStyle name="Total 3 2 2 2 14" xfId="27481"/>
    <cellStyle name="Total 3 2 2 2 15" xfId="26271"/>
    <cellStyle name="Total 3 2 2 2 16" xfId="27533"/>
    <cellStyle name="Total 3 2 2 2 17" xfId="35035"/>
    <cellStyle name="Total 3 2 2 2 18" xfId="35442"/>
    <cellStyle name="Total 3 2 2 2 2" xfId="14903"/>
    <cellStyle name="Total 3 2 2 2 3" xfId="13743"/>
    <cellStyle name="Total 3 2 2 2 4" xfId="14629"/>
    <cellStyle name="Total 3 2 2 2 5" xfId="14546"/>
    <cellStyle name="Total 3 2 2 2 6" xfId="14644"/>
    <cellStyle name="Total 3 2 2 2 7" xfId="14720"/>
    <cellStyle name="Total 3 2 2 2 8" xfId="14280"/>
    <cellStyle name="Total 3 2 2 2 9" xfId="15818"/>
    <cellStyle name="Total 3 2 2 20" xfId="27277"/>
    <cellStyle name="Total 3 2 2 21" xfId="34983"/>
    <cellStyle name="Total 3 2 2 22" xfId="35343"/>
    <cellStyle name="Total 3 2 2 23" xfId="37525"/>
    <cellStyle name="Total 3 2 2 3" xfId="13288"/>
    <cellStyle name="Total 3 2 2 3 10" xfId="13978"/>
    <cellStyle name="Total 3 2 2 3 11" xfId="26479"/>
    <cellStyle name="Total 3 2 2 3 12" xfId="27669"/>
    <cellStyle name="Total 3 2 2 3 13" xfId="27011"/>
    <cellStyle name="Total 3 2 2 3 14" xfId="27534"/>
    <cellStyle name="Total 3 2 2 3 15" xfId="27318"/>
    <cellStyle name="Total 3 2 2 3 16" xfId="27532"/>
    <cellStyle name="Total 3 2 2 3 17" xfId="35162"/>
    <cellStyle name="Total 3 2 2 3 18" xfId="35218"/>
    <cellStyle name="Total 3 2 2 3 2" xfId="14831"/>
    <cellStyle name="Total 3 2 2 3 3" xfId="14070"/>
    <cellStyle name="Total 3 2 2 3 4" xfId="17342"/>
    <cellStyle name="Total 3 2 2 3 5" xfId="14477"/>
    <cellStyle name="Total 3 2 2 3 6" xfId="14657"/>
    <cellStyle name="Total 3 2 2 3 7" xfId="14116"/>
    <cellStyle name="Total 3 2 2 3 8" xfId="14168"/>
    <cellStyle name="Total 3 2 2 3 9" xfId="17852"/>
    <cellStyle name="Total 3 2 2 4" xfId="13289"/>
    <cellStyle name="Total 3 2 2 4 10" xfId="13685"/>
    <cellStyle name="Total 3 2 2 4 11" xfId="26454"/>
    <cellStyle name="Total 3 2 2 4 12" xfId="27678"/>
    <cellStyle name="Total 3 2 2 4 13" xfId="27013"/>
    <cellStyle name="Total 3 2 2 4 14" xfId="27495"/>
    <cellStyle name="Total 3 2 2 4 15" xfId="26934"/>
    <cellStyle name="Total 3 2 2 4 16" xfId="27327"/>
    <cellStyle name="Total 3 2 2 4 17" xfId="35137"/>
    <cellStyle name="Total 3 2 2 4 18" xfId="35402"/>
    <cellStyle name="Total 3 2 2 4 2" xfId="14844"/>
    <cellStyle name="Total 3 2 2 4 3" xfId="13558"/>
    <cellStyle name="Total 3 2 2 4 4" xfId="15018"/>
    <cellStyle name="Total 3 2 2 4 5" xfId="14387"/>
    <cellStyle name="Total 3 2 2 4 6" xfId="14659"/>
    <cellStyle name="Total 3 2 2 4 7" xfId="13428"/>
    <cellStyle name="Total 3 2 2 4 8" xfId="13633"/>
    <cellStyle name="Total 3 2 2 4 9" xfId="15583"/>
    <cellStyle name="Total 3 2 2 5" xfId="13290"/>
    <cellStyle name="Total 3 2 2 5 10" xfId="14776"/>
    <cellStyle name="Total 3 2 2 5 11" xfId="26493"/>
    <cellStyle name="Total 3 2 2 5 12" xfId="26520"/>
    <cellStyle name="Total 3 2 2 5 13" xfId="25927"/>
    <cellStyle name="Total 3 2 2 5 14" xfId="26793"/>
    <cellStyle name="Total 3 2 2 5 15" xfId="26929"/>
    <cellStyle name="Total 3 2 2 5 16" xfId="27502"/>
    <cellStyle name="Total 3 2 2 5 17" xfId="35176"/>
    <cellStyle name="Total 3 2 2 5 18" xfId="35208"/>
    <cellStyle name="Total 3 2 2 5 2" xfId="13416"/>
    <cellStyle name="Total 3 2 2 5 3" xfId="15422"/>
    <cellStyle name="Total 3 2 2 5 4" xfId="15005"/>
    <cellStyle name="Total 3 2 2 5 5" xfId="14394"/>
    <cellStyle name="Total 3 2 2 5 6" xfId="14897"/>
    <cellStyle name="Total 3 2 2 5 7" xfId="14257"/>
    <cellStyle name="Total 3 2 2 5 8" xfId="14191"/>
    <cellStyle name="Total 3 2 2 5 9" xfId="15349"/>
    <cellStyle name="Total 3 2 2 6" xfId="15710"/>
    <cellStyle name="Total 3 2 2 7" xfId="15188"/>
    <cellStyle name="Total 3 2 2 8" xfId="14791"/>
    <cellStyle name="Total 3 2 2 9" xfId="14462"/>
    <cellStyle name="Total 3 2 3" xfId="13291"/>
    <cellStyle name="Total 3 2 3 10" xfId="15764"/>
    <cellStyle name="Total 3 2 3 11" xfId="13467"/>
    <cellStyle name="Total 3 2 3 12" xfId="14586"/>
    <cellStyle name="Total 3 2 3 13" xfId="21895"/>
    <cellStyle name="Total 3 2 3 14" xfId="14478"/>
    <cellStyle name="Total 3 2 3 15" xfId="26087"/>
    <cellStyle name="Total 3 2 3 16" xfId="25928"/>
    <cellStyle name="Total 3 2 3 17" xfId="25911"/>
    <cellStyle name="Total 3 2 3 18" xfId="26979"/>
    <cellStyle name="Total 3 2 3 19" xfId="27014"/>
    <cellStyle name="Total 3 2 3 2" xfId="13292"/>
    <cellStyle name="Total 3 2 3 2 10" xfId="14290"/>
    <cellStyle name="Total 3 2 3 2 11" xfId="26308"/>
    <cellStyle name="Total 3 2 3 2 12" xfId="27174"/>
    <cellStyle name="Total 3 2 3 2 13" xfId="27584"/>
    <cellStyle name="Total 3 2 3 2 14" xfId="26755"/>
    <cellStyle name="Total 3 2 3 2 15" xfId="26941"/>
    <cellStyle name="Total 3 2 3 2 16" xfId="31803"/>
    <cellStyle name="Total 3 2 3 2 17" xfId="35004"/>
    <cellStyle name="Total 3 2 3 2 18" xfId="35455"/>
    <cellStyle name="Total 3 2 3 2 2" xfId="14922"/>
    <cellStyle name="Total 3 2 3 2 3" xfId="13722"/>
    <cellStyle name="Total 3 2 3 2 4" xfId="13625"/>
    <cellStyle name="Total 3 2 3 2 5" xfId="15835"/>
    <cellStyle name="Total 3 2 3 2 6" xfId="14346"/>
    <cellStyle name="Total 3 2 3 2 7" xfId="15085"/>
    <cellStyle name="Total 3 2 3 2 8" xfId="14607"/>
    <cellStyle name="Total 3 2 3 2 9" xfId="15775"/>
    <cellStyle name="Total 3 2 3 20" xfId="25943"/>
    <cellStyle name="Total 3 2 3 21" xfId="34947"/>
    <cellStyle name="Total 3 2 3 22" xfId="35474"/>
    <cellStyle name="Total 3 2 3 23" xfId="37526"/>
    <cellStyle name="Total 3 2 3 3" xfId="13293"/>
    <cellStyle name="Total 3 2 3 3 10" xfId="13531"/>
    <cellStyle name="Total 3 2 3 3 11" xfId="26388"/>
    <cellStyle name="Total 3 2 3 3 12" xfId="27122"/>
    <cellStyle name="Total 3 2 3 3 13" xfId="27649"/>
    <cellStyle name="Total 3 2 3 3 14" xfId="27465"/>
    <cellStyle name="Total 3 2 3 3 15" xfId="26622"/>
    <cellStyle name="Total 3 2 3 3 16" xfId="27550"/>
    <cellStyle name="Total 3 2 3 3 17" xfId="35079"/>
    <cellStyle name="Total 3 2 3 3 18" xfId="35277"/>
    <cellStyle name="Total 3 2 3 3 2" xfId="13608"/>
    <cellStyle name="Total 3 2 3 3 3" xfId="15202"/>
    <cellStyle name="Total 3 2 3 3 4" xfId="14782"/>
    <cellStyle name="Total 3 2 3 3 5" xfId="13814"/>
    <cellStyle name="Total 3 2 3 3 6" xfId="14570"/>
    <cellStyle name="Total 3 2 3 3 7" xfId="15517"/>
    <cellStyle name="Total 3 2 3 3 8" xfId="15378"/>
    <cellStyle name="Total 3 2 3 3 9" xfId="14099"/>
    <cellStyle name="Total 3 2 3 4" xfId="13294"/>
    <cellStyle name="Total 3 2 3 4 10" xfId="14484"/>
    <cellStyle name="Total 3 2 3 4 11" xfId="26429"/>
    <cellStyle name="Total 3 2 3 4 12" xfId="26025"/>
    <cellStyle name="Total 3 2 3 4 13" xfId="27461"/>
    <cellStyle name="Total 3 2 3 4 14" xfId="27345"/>
    <cellStyle name="Total 3 2 3 4 15" xfId="29806"/>
    <cellStyle name="Total 3 2 3 4 16" xfId="27244"/>
    <cellStyle name="Total 3 2 3 4 17" xfId="35116"/>
    <cellStyle name="Total 3 2 3 4 18" xfId="35249"/>
    <cellStyle name="Total 3 2 3 4 2" xfId="15668"/>
    <cellStyle name="Total 3 2 3 4 3" xfId="13546"/>
    <cellStyle name="Total 3 2 3 4 4" xfId="14617"/>
    <cellStyle name="Total 3 2 3 4 5" xfId="13888"/>
    <cellStyle name="Total 3 2 3 4 6" xfId="15047"/>
    <cellStyle name="Total 3 2 3 4 7" xfId="15392"/>
    <cellStyle name="Total 3 2 3 4 8" xfId="18925"/>
    <cellStyle name="Total 3 2 3 4 9" xfId="14291"/>
    <cellStyle name="Total 3 2 3 5" xfId="13295"/>
    <cellStyle name="Total 3 2 3 5 10" xfId="14152"/>
    <cellStyle name="Total 3 2 3 5 11" xfId="26441"/>
    <cellStyle name="Total 3 2 3 5 12" xfId="27683"/>
    <cellStyle name="Total 3 2 3 5 13" xfId="26639"/>
    <cellStyle name="Total 3 2 3 5 14" xfId="26552"/>
    <cellStyle name="Total 3 2 3 5 15" xfId="27320"/>
    <cellStyle name="Total 3 2 3 5 16" xfId="31802"/>
    <cellStyle name="Total 3 2 3 5 17" xfId="35124"/>
    <cellStyle name="Total 3 2 3 5 18" xfId="35407"/>
    <cellStyle name="Total 3 2 3 5 2" xfId="15664"/>
    <cellStyle name="Total 3 2 3 5 3" xfId="13553"/>
    <cellStyle name="Total 3 2 3 5 4" xfId="15021"/>
    <cellStyle name="Total 3 2 3 5 5" xfId="14384"/>
    <cellStyle name="Total 3 2 3 5 6" xfId="13478"/>
    <cellStyle name="Total 3 2 3 5 7" xfId="14563"/>
    <cellStyle name="Total 3 2 3 5 8" xfId="18900"/>
    <cellStyle name="Total 3 2 3 5 9" xfId="15470"/>
    <cellStyle name="Total 3 2 3 6" xfId="13843"/>
    <cellStyle name="Total 3 2 3 7" xfId="14353"/>
    <cellStyle name="Total 3 2 3 8" xfId="14873"/>
    <cellStyle name="Total 3 2 3 9" xfId="15348"/>
    <cellStyle name="Total 3 2 4" xfId="13296"/>
    <cellStyle name="Total 3 2 4 10" xfId="24874"/>
    <cellStyle name="Total 3 2 4 11" xfId="25873"/>
    <cellStyle name="Total 3 2 4 12" xfId="28779"/>
    <cellStyle name="Total 3 2 4 13" xfId="29796"/>
    <cellStyle name="Total 3 2 4 14" xfId="30829"/>
    <cellStyle name="Total 3 2 4 15" xfId="31824"/>
    <cellStyle name="Total 3 2 4 16" xfId="32828"/>
    <cellStyle name="Total 3 2 4 17" xfId="33831"/>
    <cellStyle name="Total 3 2 4 18" xfId="34830"/>
    <cellStyle name="Total 3 2 4 19" xfId="36391"/>
    <cellStyle name="Total 3 2 4 2" xfId="16863"/>
    <cellStyle name="Total 3 2 4 20" xfId="37390"/>
    <cellStyle name="Total 3 2 4 3" xfId="17843"/>
    <cellStyle name="Total 3 2 4 4" xfId="18868"/>
    <cellStyle name="Total 3 2 4 5" xfId="19902"/>
    <cellStyle name="Total 3 2 4 6" xfId="20927"/>
    <cellStyle name="Total 3 2 4 7" xfId="21887"/>
    <cellStyle name="Total 3 2 4 8" xfId="22899"/>
    <cellStyle name="Total 3 2 4 9" xfId="23902"/>
    <cellStyle name="Total 3 2 5" xfId="13297"/>
    <cellStyle name="Total 3 2 5 10" xfId="24876"/>
    <cellStyle name="Total 3 2 5 11" xfId="25875"/>
    <cellStyle name="Total 3 2 5 12" xfId="28781"/>
    <cellStyle name="Total 3 2 5 13" xfId="29798"/>
    <cellStyle name="Total 3 2 5 14" xfId="30831"/>
    <cellStyle name="Total 3 2 5 15" xfId="31826"/>
    <cellStyle name="Total 3 2 5 16" xfId="32830"/>
    <cellStyle name="Total 3 2 5 17" xfId="33833"/>
    <cellStyle name="Total 3 2 5 18" xfId="34832"/>
    <cellStyle name="Total 3 2 5 19" xfId="36393"/>
    <cellStyle name="Total 3 2 5 2" xfId="16865"/>
    <cellStyle name="Total 3 2 5 20" xfId="37392"/>
    <cellStyle name="Total 3 2 5 3" xfId="17845"/>
    <cellStyle name="Total 3 2 5 4" xfId="18870"/>
    <cellStyle name="Total 3 2 5 5" xfId="19904"/>
    <cellStyle name="Total 3 2 5 6" xfId="20929"/>
    <cellStyle name="Total 3 2 5 7" xfId="21889"/>
    <cellStyle name="Total 3 2 5 8" xfId="22901"/>
    <cellStyle name="Total 3 2 5 9" xfId="23904"/>
    <cellStyle name="Total 3 2 6" xfId="37467"/>
    <cellStyle name="Total 3 2 7" xfId="37563"/>
    <cellStyle name="Total 3 3" xfId="13298"/>
    <cellStyle name="Total 3 3 10" xfId="15338"/>
    <cellStyle name="Total 3 3 11" xfId="18896"/>
    <cellStyle name="Total 3 3 12" xfId="19906"/>
    <cellStyle name="Total 3 3 13" xfId="20941"/>
    <cellStyle name="Total 3 3 14" xfId="13405"/>
    <cellStyle name="Total 3 3 15" xfId="14239"/>
    <cellStyle name="Total 3 3 16" xfId="27783"/>
    <cellStyle name="Total 3 3 17" xfId="26568"/>
    <cellStyle name="Total 3 3 18" xfId="27355"/>
    <cellStyle name="Total 3 3 19" xfId="30836"/>
    <cellStyle name="Total 3 3 2" xfId="13299"/>
    <cellStyle name="Total 3 3 2 10" xfId="18922"/>
    <cellStyle name="Total 3 3 2 11" xfId="13566"/>
    <cellStyle name="Total 3 3 2 12" xfId="15616"/>
    <cellStyle name="Total 3 3 2 13" xfId="20953"/>
    <cellStyle name="Total 3 3 2 14" xfId="13399"/>
    <cellStyle name="Total 3 3 2 15" xfId="27249"/>
    <cellStyle name="Total 3 3 2 16" xfId="27819"/>
    <cellStyle name="Total 3 3 2 17" xfId="26503"/>
    <cellStyle name="Total 3 3 2 18" xfId="30852"/>
    <cellStyle name="Total 3 3 2 19" xfId="26604"/>
    <cellStyle name="Total 3 3 2 2" xfId="13300"/>
    <cellStyle name="Total 3 3 2 2 10" xfId="20938"/>
    <cellStyle name="Total 3 3 2 2 11" xfId="27724"/>
    <cellStyle name="Total 3 3 2 2 12" xfId="26917"/>
    <cellStyle name="Total 3 3 2 2 13" xfId="27631"/>
    <cellStyle name="Total 3 3 2 2 14" xfId="29799"/>
    <cellStyle name="Total 3 3 2 2 15" xfId="26863"/>
    <cellStyle name="Total 3 3 2 2 16" xfId="35448"/>
    <cellStyle name="Total 3 3 2 2 2" xfId="14911"/>
    <cellStyle name="Total 3 3 2 2 3" xfId="13735"/>
    <cellStyle name="Total 3 3 2 2 4" xfId="14630"/>
    <cellStyle name="Total 3 3 2 2 5" xfId="15486"/>
    <cellStyle name="Total 3 3 2 2 6" xfId="15157"/>
    <cellStyle name="Total 3 3 2 2 7" xfId="13500"/>
    <cellStyle name="Total 3 3 2 2 8" xfId="14093"/>
    <cellStyle name="Total 3 3 2 2 9" xfId="14271"/>
    <cellStyle name="Total 3 3 2 20" xfId="35354"/>
    <cellStyle name="Total 3 3 2 3" xfId="13301"/>
    <cellStyle name="Total 3 3 2 3 10" xfId="14795"/>
    <cellStyle name="Total 3 3 2 3 11" xfId="27110"/>
    <cellStyle name="Total 3 3 2 3 12" xfId="27410"/>
    <cellStyle name="Total 3 3 2 3 13" xfId="27333"/>
    <cellStyle name="Total 3 3 2 3 14" xfId="27399"/>
    <cellStyle name="Total 3 3 2 3 15" xfId="29804"/>
    <cellStyle name="Total 3 3 2 3 16" xfId="35265"/>
    <cellStyle name="Total 3 3 2 3 2" xfId="15673"/>
    <cellStyle name="Total 3 3 2 3 3" xfId="15805"/>
    <cellStyle name="Total 3 3 2 3 4" xfId="15728"/>
    <cellStyle name="Total 3 3 2 3 5" xfId="14416"/>
    <cellStyle name="Total 3 3 2 3 6" xfId="14569"/>
    <cellStyle name="Total 3 3 2 3 7" xfId="15254"/>
    <cellStyle name="Total 3 3 2 3 8" xfId="14349"/>
    <cellStyle name="Total 3 3 2 3 9" xfId="15857"/>
    <cellStyle name="Total 3 3 2 4" xfId="13302"/>
    <cellStyle name="Total 3 3 2 4 10" xfId="13536"/>
    <cellStyle name="Total 3 3 2 4 11" xfId="27713"/>
    <cellStyle name="Total 3 3 2 4 12" xfId="26016"/>
    <cellStyle name="Total 3 3 2 4 13" xfId="26725"/>
    <cellStyle name="Total 3 3 2 4 14" xfId="27000"/>
    <cellStyle name="Total 3 3 2 4 15" xfId="27200"/>
    <cellStyle name="Total 3 3 2 4 16" xfId="35295"/>
    <cellStyle name="Total 3 3 2 4 2" xfId="14895"/>
    <cellStyle name="Total 3 3 2 4 3" xfId="14040"/>
    <cellStyle name="Total 3 3 2 4 4" xfId="13928"/>
    <cellStyle name="Total 3 3 2 4 5" xfId="14974"/>
    <cellStyle name="Total 3 3 2 4 6" xfId="13581"/>
    <cellStyle name="Total 3 3 2 4 7" xfId="14600"/>
    <cellStyle name="Total 3 3 2 4 8" xfId="13408"/>
    <cellStyle name="Total 3 3 2 4 9" xfId="14639"/>
    <cellStyle name="Total 3 3 2 5" xfId="13303"/>
    <cellStyle name="Total 3 3 2 5 10" xfId="15102"/>
    <cellStyle name="Total 3 3 2 5 11" xfId="27687"/>
    <cellStyle name="Total 3 3 2 5 12" xfId="27016"/>
    <cellStyle name="Total 3 3 2 5 13" xfId="27835"/>
    <cellStyle name="Total 3 3 2 5 14" xfId="27803"/>
    <cellStyle name="Total 3 3 2 5 15" xfId="27375"/>
    <cellStyle name="Total 3 3 2 5 16" xfId="34847"/>
    <cellStyle name="Total 3 3 2 5 2" xfId="14853"/>
    <cellStyle name="Total 3 3 2 5 3" xfId="13548"/>
    <cellStyle name="Total 3 3 2 5 4" xfId="15022"/>
    <cellStyle name="Total 3 3 2 5 5" xfId="14005"/>
    <cellStyle name="Total 3 3 2 5 6" xfId="13856"/>
    <cellStyle name="Total 3 3 2 5 7" xfId="15484"/>
    <cellStyle name="Total 3 3 2 5 8" xfId="13706"/>
    <cellStyle name="Total 3 3 2 5 9" xfId="15306"/>
    <cellStyle name="Total 3 3 2 6" xfId="13835"/>
    <cellStyle name="Total 3 3 2 7" xfId="15377"/>
    <cellStyle name="Total 3 3 2 8" xfId="14919"/>
    <cellStyle name="Total 3 3 2 9" xfId="17821"/>
    <cellStyle name="Total 3 3 20" xfId="27767"/>
    <cellStyle name="Total 3 3 21" xfId="35479"/>
    <cellStyle name="Total 3 3 22" xfId="37527"/>
    <cellStyle name="Total 3 3 3" xfId="13304"/>
    <cellStyle name="Total 3 3 3 10" xfId="14717"/>
    <cellStyle name="Total 3 3 3 11" xfId="26043"/>
    <cellStyle name="Total 3 3 3 12" xfId="27585"/>
    <cellStyle name="Total 3 3 3 13" xfId="26751"/>
    <cellStyle name="Total 3 3 3 14" xfId="27329"/>
    <cellStyle name="Total 3 3 3 15" xfId="26276"/>
    <cellStyle name="Total 3 3 3 16" xfId="35338"/>
    <cellStyle name="Total 3 3 3 2" xfId="14927"/>
    <cellStyle name="Total 3 3 3 3" xfId="13712"/>
    <cellStyle name="Total 3 3 3 4" xfId="15541"/>
    <cellStyle name="Total 3 3 3 5" xfId="14542"/>
    <cellStyle name="Total 3 3 3 6" xfId="14614"/>
    <cellStyle name="Total 3 3 3 7" xfId="13525"/>
    <cellStyle name="Total 3 3 3 8" xfId="14274"/>
    <cellStyle name="Total 3 3 3 9" xfId="15046"/>
    <cellStyle name="Total 3 3 4" xfId="13305"/>
    <cellStyle name="Total 3 3 4 10" xfId="13903"/>
    <cellStyle name="Total 3 3 4 11" xfId="27709"/>
    <cellStyle name="Total 3 3 4 12" xfId="27779"/>
    <cellStyle name="Total 3 3 4 13" xfId="27770"/>
    <cellStyle name="Total 3 3 4 14" xfId="26853"/>
    <cellStyle name="Total 3 3 4 15" xfId="26594"/>
    <cellStyle name="Total 3 3 4 16" xfId="35289"/>
    <cellStyle name="Total 3 3 4 2" xfId="14883"/>
    <cellStyle name="Total 3 3 4 3" xfId="15073"/>
    <cellStyle name="Total 3 3 4 4" xfId="15729"/>
    <cellStyle name="Total 3 3 4 5" xfId="13482"/>
    <cellStyle name="Total 3 3 4 6" xfId="14118"/>
    <cellStyle name="Total 3 3 4 7" xfId="15264"/>
    <cellStyle name="Total 3 3 4 8" xfId="14109"/>
    <cellStyle name="Total 3 3 4 9" xfId="14687"/>
    <cellStyle name="Total 3 3 5" xfId="13306"/>
    <cellStyle name="Total 3 3 5 10" xfId="14508"/>
    <cellStyle name="Total 3 3 5 11" xfId="27717"/>
    <cellStyle name="Total 3 3 5 12" xfId="26018"/>
    <cellStyle name="Total 3 3 5 13" xfId="26943"/>
    <cellStyle name="Total 3 3 5 14" xfId="27805"/>
    <cellStyle name="Total 3 3 5 15" xfId="26599"/>
    <cellStyle name="Total 3 3 5 16" xfId="35441"/>
    <cellStyle name="Total 3 3 5 2" xfId="15693"/>
    <cellStyle name="Total 3 3 5 3" xfId="15070"/>
    <cellStyle name="Total 3 3 5 4" xfId="14963"/>
    <cellStyle name="Total 3 3 5 5" xfId="14412"/>
    <cellStyle name="Total 3 3 5 6" xfId="15632"/>
    <cellStyle name="Total 3 3 5 7" xfId="14537"/>
    <cellStyle name="Total 3 3 5 8" xfId="14781"/>
    <cellStyle name="Total 3 3 5 9" xfId="18879"/>
    <cellStyle name="Total 3 3 6" xfId="13307"/>
    <cellStyle name="Total 3 3 6 10" xfId="15445"/>
    <cellStyle name="Total 3 3 6 11" xfId="27141"/>
    <cellStyle name="Total 3 3 6 12" xfId="26710"/>
    <cellStyle name="Total 3 3 6 13" xfId="27483"/>
    <cellStyle name="Total 3 3 6 14" xfId="26886"/>
    <cellStyle name="Total 3 3 6 15" xfId="26005"/>
    <cellStyle name="Total 3 3 6 16" xfId="34836"/>
    <cellStyle name="Total 3 3 6 2" xfId="14894"/>
    <cellStyle name="Total 3 3 6 3" xfId="13749"/>
    <cellStyle name="Total 3 3 6 4" xfId="15282"/>
    <cellStyle name="Total 3 3 6 5" xfId="14731"/>
    <cellStyle name="Total 3 3 6 6" xfId="15259"/>
    <cellStyle name="Total 3 3 6 7" xfId="15093"/>
    <cellStyle name="Total 3 3 6 8" xfId="14592"/>
    <cellStyle name="Total 3 3 6 9" xfId="13656"/>
    <cellStyle name="Total 3 3 7" xfId="13859"/>
    <cellStyle name="Total 3 3 8" xfId="15371"/>
    <cellStyle name="Total 3 3 9" xfId="15083"/>
    <cellStyle name="Total 3 4" xfId="13308"/>
    <cellStyle name="Total 3 4 10" xfId="13563"/>
    <cellStyle name="Total 3 4 11" xfId="14272"/>
    <cellStyle name="Total 3 4 12" xfId="15521"/>
    <cellStyle name="Total 3 4 13" xfId="14345"/>
    <cellStyle name="Total 3 4 14" xfId="14327"/>
    <cellStyle name="Total 3 4 15" xfId="26286"/>
    <cellStyle name="Total 3 4 16" xfId="27739"/>
    <cellStyle name="Total 3 4 17" xfId="27655"/>
    <cellStyle name="Total 3 4 18" xfId="27555"/>
    <cellStyle name="Total 3 4 19" xfId="27243"/>
    <cellStyle name="Total 3 4 2" xfId="13309"/>
    <cellStyle name="Total 3 4 2 10" xfId="15513"/>
    <cellStyle name="Total 3 4 2 11" xfId="26339"/>
    <cellStyle name="Total 3 4 2 12" xfId="27718"/>
    <cellStyle name="Total 3 4 2 13" xfId="26914"/>
    <cellStyle name="Total 3 4 2 14" xfId="26735"/>
    <cellStyle name="Total 3 4 2 15" xfId="29814"/>
    <cellStyle name="Total 3 4 2 16" xfId="27820"/>
    <cellStyle name="Total 3 4 2 17" xfId="35034"/>
    <cellStyle name="Total 3 4 2 18" xfId="35306"/>
    <cellStyle name="Total 3 4 2 2" xfId="14904"/>
    <cellStyle name="Total 3 4 2 3" xfId="14039"/>
    <cellStyle name="Total 3 4 2 4" xfId="14299"/>
    <cellStyle name="Total 3 4 2 5" xfId="14465"/>
    <cellStyle name="Total 3 4 2 6" xfId="13444"/>
    <cellStyle name="Total 3 4 2 7" xfId="15471"/>
    <cellStyle name="Total 3 4 2 8" xfId="15263"/>
    <cellStyle name="Total 3 4 2 9" xfId="20944"/>
    <cellStyle name="Total 3 4 20" xfId="26560"/>
    <cellStyle name="Total 3 4 21" xfId="34982"/>
    <cellStyle name="Total 3 4 22" xfId="35464"/>
    <cellStyle name="Total 3 4 23" xfId="37528"/>
    <cellStyle name="Total 3 4 3" xfId="13310"/>
    <cellStyle name="Total 3 4 3 10" xfId="14608"/>
    <cellStyle name="Total 3 4 3 11" xfId="26478"/>
    <cellStyle name="Total 3 4 3 12" xfId="27063"/>
    <cellStyle name="Total 3 4 3 13" xfId="27231"/>
    <cellStyle name="Total 3 4 3 14" xfId="27498"/>
    <cellStyle name="Total 3 4 3 15" xfId="29805"/>
    <cellStyle name="Total 3 4 3 16" xfId="26971"/>
    <cellStyle name="Total 3 4 3 17" xfId="35161"/>
    <cellStyle name="Total 3 4 3 18" xfId="35393"/>
    <cellStyle name="Total 3 4 3 2" xfId="15653"/>
    <cellStyle name="Total 3 4 3 3" xfId="14436"/>
    <cellStyle name="Total 3 4 3 4" xfId="15526"/>
    <cellStyle name="Total 3 4 3 5" xfId="14559"/>
    <cellStyle name="Total 3 4 3 6" xfId="15842"/>
    <cellStyle name="Total 3 4 3 7" xfId="13965"/>
    <cellStyle name="Total 3 4 3 8" xfId="13789"/>
    <cellStyle name="Total 3 4 3 9" xfId="14490"/>
    <cellStyle name="Total 3 4 4" xfId="13311"/>
    <cellStyle name="Total 3 4 4 10" xfId="13658"/>
    <cellStyle name="Total 3 4 4 11" xfId="26372"/>
    <cellStyle name="Total 3 4 4 12" xfId="27708"/>
    <cellStyle name="Total 3 4 4 13" xfId="27020"/>
    <cellStyle name="Total 3 4 4 14" xfId="27485"/>
    <cellStyle name="Total 3 4 4 15" xfId="26940"/>
    <cellStyle name="Total 3 4 4 16" xfId="26617"/>
    <cellStyle name="Total 3 4 4 17" xfId="35063"/>
    <cellStyle name="Total 3 4 4 18" xfId="35432"/>
    <cellStyle name="Total 3 4 4 2" xfId="14882"/>
    <cellStyle name="Total 3 4 4 3" xfId="13764"/>
    <cellStyle name="Total 3 4 4 4" xfId="14186"/>
    <cellStyle name="Total 3 4 4 5" xfId="14734"/>
    <cellStyle name="Total 3 4 4 6" xfId="15712"/>
    <cellStyle name="Total 3 4 4 7" xfId="14601"/>
    <cellStyle name="Total 3 4 4 8" xfId="14113"/>
    <cellStyle name="Total 3 4 4 9" xfId="14482"/>
    <cellStyle name="Total 3 4 5" xfId="13312"/>
    <cellStyle name="Total 3 4 5 10" xfId="15180"/>
    <cellStyle name="Total 3 4 5 11" xfId="26492"/>
    <cellStyle name="Total 3 4 5 12" xfId="27053"/>
    <cellStyle name="Total 3 4 5 13" xfId="26633"/>
    <cellStyle name="Total 3 4 5 14" xfId="26832"/>
    <cellStyle name="Total 3 4 5 15" xfId="27246"/>
    <cellStyle name="Total 3 4 5 16" xfId="26747"/>
    <cellStyle name="Total 3 4 5 17" xfId="35175"/>
    <cellStyle name="Total 3 4 5 18" xfId="35209"/>
    <cellStyle name="Total 3 4 5 2" xfId="14827"/>
    <cellStyle name="Total 3 4 5 3" xfId="14073"/>
    <cellStyle name="Total 3 4 5 4" xfId="15823"/>
    <cellStyle name="Total 3 4 5 5" xfId="15714"/>
    <cellStyle name="Total 3 4 5 6" xfId="14656"/>
    <cellStyle name="Total 3 4 5 7" xfId="14531"/>
    <cellStyle name="Total 3 4 5 8" xfId="14764"/>
    <cellStyle name="Total 3 4 5 9" xfId="15850"/>
    <cellStyle name="Total 3 4 6" xfId="14932"/>
    <cellStyle name="Total 3 4 7" xfId="13705"/>
    <cellStyle name="Total 3 4 8" xfId="13626"/>
    <cellStyle name="Total 3 4 9" xfId="15793"/>
    <cellStyle name="Total 3 5" xfId="13313"/>
    <cellStyle name="Total 3 5 10" xfId="13532"/>
    <cellStyle name="Total 3 5 11" xfId="14451"/>
    <cellStyle name="Total 3 5 12" xfId="21854"/>
    <cellStyle name="Total 3 5 13" xfId="14146"/>
    <cellStyle name="Total 3 5 14" xfId="14746"/>
    <cellStyle name="Total 3 5 15" xfId="26086"/>
    <cellStyle name="Total 3 5 16" xfId="27262"/>
    <cellStyle name="Total 3 5 17" xfId="25912"/>
    <cellStyle name="Total 3 5 18" xfId="26728"/>
    <cellStyle name="Total 3 5 19" xfId="29801"/>
    <cellStyle name="Total 3 5 2" xfId="13314"/>
    <cellStyle name="Total 3 5 2 10" xfId="14671"/>
    <cellStyle name="Total 3 5 2 11" xfId="26307"/>
    <cellStyle name="Total 3 5 2 12" xfId="27175"/>
    <cellStyle name="Total 3 5 2 13" xfId="27653"/>
    <cellStyle name="Total 3 5 2 14" xfId="26732"/>
    <cellStyle name="Total 3 5 2 15" xfId="27542"/>
    <cellStyle name="Total 3 5 2 16" xfId="26805"/>
    <cellStyle name="Total 3 5 2 17" xfId="35003"/>
    <cellStyle name="Total 3 5 2 18" xfId="35329"/>
    <cellStyle name="Total 3 5 2 2" xfId="15703"/>
    <cellStyle name="Total 3 5 2 3" xfId="15191"/>
    <cellStyle name="Total 3 5 2 4" xfId="15627"/>
    <cellStyle name="Total 3 5 2 5" xfId="14463"/>
    <cellStyle name="Total 3 5 2 6" xfId="13395"/>
    <cellStyle name="Total 3 5 2 7" xfId="14369"/>
    <cellStyle name="Total 3 5 2 8" xfId="13576"/>
    <cellStyle name="Total 3 5 2 9" xfId="20931"/>
    <cellStyle name="Total 3 5 20" xfId="27548"/>
    <cellStyle name="Total 3 5 21" xfId="34946"/>
    <cellStyle name="Total 3 5 22" xfId="34984"/>
    <cellStyle name="Total 3 5 23" xfId="37529"/>
    <cellStyle name="Total 3 5 3" xfId="13315"/>
    <cellStyle name="Total 3 5 3 10" xfId="14641"/>
    <cellStyle name="Total 3 5 3 11" xfId="26387"/>
    <cellStyle name="Total 3 5 3 12" xfId="27703"/>
    <cellStyle name="Total 3 5 3 13" xfId="27580"/>
    <cellStyle name="Total 3 5 3 14" xfId="26547"/>
    <cellStyle name="Total 3 5 3 15" xfId="27299"/>
    <cellStyle name="Total 3 5 3 16" xfId="27639"/>
    <cellStyle name="Total 3 5 3 17" xfId="35078"/>
    <cellStyle name="Total 3 5 3 18" xfId="35278"/>
    <cellStyle name="Total 3 5 3 2" xfId="14875"/>
    <cellStyle name="Total 3 5 3 3" xfId="15409"/>
    <cellStyle name="Total 3 5 3 4" xfId="15025"/>
    <cellStyle name="Total 3 5 3 5" xfId="15385"/>
    <cellStyle name="Total 3 5 3 6" xfId="14778"/>
    <cellStyle name="Total 3 5 3 7" xfId="13574"/>
    <cellStyle name="Total 3 5 3 8" xfId="15726"/>
    <cellStyle name="Total 3 5 3 9" xfId="14344"/>
    <cellStyle name="Total 3 5 4" xfId="13316"/>
    <cellStyle name="Total 3 5 4 10" xfId="15272"/>
    <cellStyle name="Total 3 5 4 11" xfId="26363"/>
    <cellStyle name="Total 3 5 4 12" xfId="25901"/>
    <cellStyle name="Total 3 5 4 13" xfId="27811"/>
    <cellStyle name="Total 3 5 4 14" xfId="25947"/>
    <cellStyle name="Total 3 5 4 15" xfId="26847"/>
    <cellStyle name="Total 3 5 4 16" xfId="26125"/>
    <cellStyle name="Total 3 5 4 17" xfId="35055"/>
    <cellStyle name="Total 3 5 4 18" xfId="34839"/>
    <cellStyle name="Total 3 5 4 2" xfId="14890"/>
    <cellStyle name="Total 3 5 4 3" xfId="15198"/>
    <cellStyle name="Total 3 5 4 4" xfId="15110"/>
    <cellStyle name="Total 3 5 4 5" xfId="13435"/>
    <cellStyle name="Total 3 5 4 6" xfId="14500"/>
    <cellStyle name="Total 3 5 4 7" xfId="14370"/>
    <cellStyle name="Total 3 5 4 8" xfId="14826"/>
    <cellStyle name="Total 3 5 4 9" xfId="15098"/>
    <cellStyle name="Total 3 5 5" xfId="13317"/>
    <cellStyle name="Total 3 5 5 10" xfId="14020"/>
    <cellStyle name="Total 3 5 5 11" xfId="26442"/>
    <cellStyle name="Total 3 5 5 12" xfId="27088"/>
    <cellStyle name="Total 3 5 5 13" xfId="27576"/>
    <cellStyle name="Total 3 5 5 14" xfId="27196"/>
    <cellStyle name="Total 3 5 5 15" xfId="27421"/>
    <cellStyle name="Total 3 5 5 16" xfId="27043"/>
    <cellStyle name="Total 3 5 5 17" xfId="35125"/>
    <cellStyle name="Total 3 5 5 18" xfId="35243"/>
    <cellStyle name="Total 3 5 5 2" xfId="14849"/>
    <cellStyle name="Total 3 5 5 3" xfId="14061"/>
    <cellStyle name="Total 3 5 5 4" xfId="15042"/>
    <cellStyle name="Total 3 5 5 5" xfId="13817"/>
    <cellStyle name="Total 3 5 5 6" xfId="13857"/>
    <cellStyle name="Total 3 5 5 7" xfId="19881"/>
    <cellStyle name="Total 3 5 5 8" xfId="20904"/>
    <cellStyle name="Total 3 5 5 9" xfId="14582"/>
    <cellStyle name="Total 3 5 6" xfId="13844"/>
    <cellStyle name="Total 3 5 7" xfId="13988"/>
    <cellStyle name="Total 3 5 8" xfId="15830"/>
    <cellStyle name="Total 3 5 9" xfId="13870"/>
    <cellStyle name="Total 3 6" xfId="13318"/>
    <cellStyle name="Total 3 6 10" xfId="24866"/>
    <cellStyle name="Total 3 6 11" xfId="25865"/>
    <cellStyle name="Total 3 6 12" xfId="28771"/>
    <cellStyle name="Total 3 6 13" xfId="29788"/>
    <cellStyle name="Total 3 6 14" xfId="30821"/>
    <cellStyle name="Total 3 6 15" xfId="31816"/>
    <cellStyle name="Total 3 6 16" xfId="32820"/>
    <cellStyle name="Total 3 6 17" xfId="33823"/>
    <cellStyle name="Total 3 6 18" xfId="34822"/>
    <cellStyle name="Total 3 6 19" xfId="36383"/>
    <cellStyle name="Total 3 6 2" xfId="16855"/>
    <cellStyle name="Total 3 6 20" xfId="37382"/>
    <cellStyle name="Total 3 6 3" xfId="17835"/>
    <cellStyle name="Total 3 6 4" xfId="18860"/>
    <cellStyle name="Total 3 6 5" xfId="19894"/>
    <cellStyle name="Total 3 6 6" xfId="20919"/>
    <cellStyle name="Total 3 6 7" xfId="21879"/>
    <cellStyle name="Total 3 6 8" xfId="22891"/>
    <cellStyle name="Total 3 6 9" xfId="23894"/>
    <cellStyle name="Total 3 7" xfId="13319"/>
    <cellStyle name="Total 3 7 10" xfId="24859"/>
    <cellStyle name="Total 3 7 11" xfId="25858"/>
    <cellStyle name="Total 3 7 12" xfId="28764"/>
    <cellStyle name="Total 3 7 13" xfId="29781"/>
    <cellStyle name="Total 3 7 14" xfId="30814"/>
    <cellStyle name="Total 3 7 15" xfId="31809"/>
    <cellStyle name="Total 3 7 16" xfId="32813"/>
    <cellStyle name="Total 3 7 17" xfId="33816"/>
    <cellStyle name="Total 3 7 18" xfId="34815"/>
    <cellStyle name="Total 3 7 19" xfId="36376"/>
    <cellStyle name="Total 3 7 2" xfId="16848"/>
    <cellStyle name="Total 3 7 20" xfId="37375"/>
    <cellStyle name="Total 3 7 3" xfId="17828"/>
    <cellStyle name="Total 3 7 4" xfId="18853"/>
    <cellStyle name="Total 3 7 5" xfId="19887"/>
    <cellStyle name="Total 3 7 6" xfId="20912"/>
    <cellStyle name="Total 3 7 7" xfId="21872"/>
    <cellStyle name="Total 3 7 8" xfId="22884"/>
    <cellStyle name="Total 3 7 9" xfId="23887"/>
    <cellStyle name="Total 3 8" xfId="37461"/>
    <cellStyle name="Total 3 9" xfId="37561"/>
    <cellStyle name="Total 4" xfId="13320"/>
    <cellStyle name="Total 4 10" xfId="15838"/>
    <cellStyle name="Total 4 11" xfId="15170"/>
    <cellStyle name="Total 4 12" xfId="14250"/>
    <cellStyle name="Total 4 13" xfId="15327"/>
    <cellStyle name="Total 4 14" xfId="13944"/>
    <cellStyle name="Total 4 15" xfId="13677"/>
    <cellStyle name="Total 4 16" xfId="18874"/>
    <cellStyle name="Total 4 17" xfId="27264"/>
    <cellStyle name="Total 4 18" xfId="27317"/>
    <cellStyle name="Total 4 19" xfId="27034"/>
    <cellStyle name="Total 4 2" xfId="13321"/>
    <cellStyle name="Total 4 20" xfId="26603"/>
    <cellStyle name="Total 4 21" xfId="30837"/>
    <cellStyle name="Total 4 22" xfId="35370"/>
    <cellStyle name="Total 4 23" xfId="37530"/>
    <cellStyle name="Total 4 3" xfId="13322"/>
    <cellStyle name="Total 4 3 10" xfId="14304"/>
    <cellStyle name="Total 4 3 11" xfId="18897"/>
    <cellStyle name="Total 4 3 12" xfId="21865"/>
    <cellStyle name="Total 4 3 13" xfId="15137"/>
    <cellStyle name="Total 4 3 14" xfId="14706"/>
    <cellStyle name="Total 4 3 15" xfId="27248"/>
    <cellStyle name="Total 4 3 16" xfId="27334"/>
    <cellStyle name="Total 4 3 17" xfId="27438"/>
    <cellStyle name="Total 4 3 18" xfId="26922"/>
    <cellStyle name="Total 4 3 19" xfId="26722"/>
    <cellStyle name="Total 4 3 2" xfId="13323"/>
    <cellStyle name="Total 4 3 2 10" xfId="13530"/>
    <cellStyle name="Total 4 3 2 11" xfId="27161"/>
    <cellStyle name="Total 4 3 2 12" xfId="27025"/>
    <cellStyle name="Total 4 3 2 13" xfId="27831"/>
    <cellStyle name="Total 4 3 2 14" xfId="27601"/>
    <cellStyle name="Total 4 3 2 15" xfId="29811"/>
    <cellStyle name="Total 4 3 2 16" xfId="35315"/>
    <cellStyle name="Total 4 3 2 2" xfId="15697"/>
    <cellStyle name="Total 4 3 2 3" xfId="15194"/>
    <cellStyle name="Total 4 3 2 4" xfId="14786"/>
    <cellStyle name="Total 4 3 2 5" xfId="13437"/>
    <cellStyle name="Total 4 3 2 6" xfId="15367"/>
    <cellStyle name="Total 4 3 2 7" xfId="14817"/>
    <cellStyle name="Total 4 3 2 8" xfId="14766"/>
    <cellStyle name="Total 4 3 2 9" xfId="15746"/>
    <cellStyle name="Total 4 3 20" xfId="34890"/>
    <cellStyle name="Total 4 3 3" xfId="13324"/>
    <cellStyle name="Total 4 3 3 10" xfId="13618"/>
    <cellStyle name="Total 4 3 3 11" xfId="27109"/>
    <cellStyle name="Total 4 3 3 12" xfId="27234"/>
    <cellStyle name="Total 4 3 3 13" xfId="28743"/>
    <cellStyle name="Total 4 3 3 14" xfId="27242"/>
    <cellStyle name="Total 4 3 3 15" xfId="26371"/>
    <cellStyle name="Total 4 3 3 16" xfId="35264"/>
    <cellStyle name="Total 4 3 3 2" xfId="14864"/>
    <cellStyle name="Total 4 3 3 3" xfId="15075"/>
    <cellStyle name="Total 4 3 3 4" xfId="14958"/>
    <cellStyle name="Total 4 3 3 5" xfId="15404"/>
    <cellStyle name="Total 4 3 3 6" xfId="14497"/>
    <cellStyle name="Total 4 3 3 7" xfId="14670"/>
    <cellStyle name="Total 4 3 3 8" xfId="14142"/>
    <cellStyle name="Total 4 3 3 9" xfId="14564"/>
    <cellStyle name="Total 4 3 4" xfId="13325"/>
    <cellStyle name="Total 4 3 4 10" xfId="15458"/>
    <cellStyle name="Total 4 3 4 11" xfId="27142"/>
    <cellStyle name="Total 4 3 4 12" xfId="26645"/>
    <cellStyle name="Total 4 3 4 13" xfId="26541"/>
    <cellStyle name="Total 4 3 4 14" xfId="26266"/>
    <cellStyle name="Total 4 3 4 15" xfId="27397"/>
    <cellStyle name="Total 4 3 4 16" xfId="34834"/>
    <cellStyle name="Total 4 3 4 2" xfId="15688"/>
    <cellStyle name="Total 4 3 4 3" xfId="13747"/>
    <cellStyle name="Total 4 3 4 4" xfId="14190"/>
    <cellStyle name="Total 4 3 4 5" xfId="14261"/>
    <cellStyle name="Total 4 3 4 6" xfId="15611"/>
    <cellStyle name="Total 4 3 4 7" xfId="15722"/>
    <cellStyle name="Total 4 3 4 8" xfId="13623"/>
    <cellStyle name="Total 4 3 4 9" xfId="14976"/>
    <cellStyle name="Total 4 3 5" xfId="13326"/>
    <cellStyle name="Total 4 3 5 10" xfId="14808"/>
    <cellStyle name="Total 4 3 5 11" xfId="27096"/>
    <cellStyle name="Total 4 3 5 12" xfId="26720"/>
    <cellStyle name="Total 4 3 5 13" xfId="27351"/>
    <cellStyle name="Total 4 3 5 14" xfId="26842"/>
    <cellStyle name="Total 4 3 5 15" xfId="26869"/>
    <cellStyle name="Total 4 3 5 16" xfId="34897"/>
    <cellStyle name="Total 4 3 5 2" xfId="15667"/>
    <cellStyle name="Total 4 3 5 3" xfId="14060"/>
    <cellStyle name="Total 4 3 5 4" xfId="15106"/>
    <cellStyle name="Total 4 3 5 5" xfId="14473"/>
    <cellStyle name="Total 4 3 5 6" xfId="15450"/>
    <cellStyle name="Total 4 3 5 7" xfId="15122"/>
    <cellStyle name="Total 4 3 5 8" xfId="14245"/>
    <cellStyle name="Total 4 3 5 9" xfId="15318"/>
    <cellStyle name="Total 4 3 6" xfId="15783"/>
    <cellStyle name="Total 4 3 7" xfId="14360"/>
    <cellStyle name="Total 4 3 8" xfId="14872"/>
    <cellStyle name="Total 4 3 9" xfId="13459"/>
    <cellStyle name="Total 4 4" xfId="13327"/>
    <cellStyle name="Total 4 4 10" xfId="14539"/>
    <cellStyle name="Total 4 4 11" xfId="26042"/>
    <cellStyle name="Total 4 4 12" xfId="27456"/>
    <cellStyle name="Total 4 4 13" xfId="29827"/>
    <cellStyle name="Total 4 4 14" xfId="26966"/>
    <cellStyle name="Total 4 4 15" xfId="27793"/>
    <cellStyle name="Total 4 4 16" xfId="35460"/>
    <cellStyle name="Total 4 4 2" xfId="15707"/>
    <cellStyle name="Total 4 4 3" xfId="14028"/>
    <cellStyle name="Total 4 4 4" xfId="15334"/>
    <cellStyle name="Total 4 4 5" xfId="13473"/>
    <cellStyle name="Total 4 4 6" xfId="14105"/>
    <cellStyle name="Total 4 4 7" xfId="13421"/>
    <cellStyle name="Total 4 4 8" xfId="15055"/>
    <cellStyle name="Total 4 4 9" xfId="15631"/>
    <cellStyle name="Total 4 5" xfId="13328"/>
    <cellStyle name="Total 4 5 10" xfId="14565"/>
    <cellStyle name="Total 4 5 11" xfId="27133"/>
    <cellStyle name="Total 4 5 12" xfId="27581"/>
    <cellStyle name="Total 4 5 13" xfId="27470"/>
    <cellStyle name="Total 4 5 14" xfId="27540"/>
    <cellStyle name="Total 4 5 15" xfId="27572"/>
    <cellStyle name="Total 4 5 16" xfId="35288"/>
    <cellStyle name="Total 4 5 2" xfId="15681"/>
    <cellStyle name="Total 4 5 3" xfId="14046"/>
    <cellStyle name="Total 4 5 4" xfId="14784"/>
    <cellStyle name="Total 4 5 5" xfId="13812"/>
    <cellStyle name="Total 4 5 6" xfId="14499"/>
    <cellStyle name="Total 4 5 7" xfId="15303"/>
    <cellStyle name="Total 4 5 8" xfId="15771"/>
    <cellStyle name="Total 4 5 9" xfId="14979"/>
    <cellStyle name="Total 4 6" xfId="13329"/>
    <cellStyle name="Total 4 6 10" xfId="13498"/>
    <cellStyle name="Total 4 6 11" xfId="27144"/>
    <cellStyle name="Total 4 6 12" xfId="27454"/>
    <cellStyle name="Total 4 6 13" xfId="26945"/>
    <cellStyle name="Total 4 6 14" xfId="27636"/>
    <cellStyle name="Total 4 6 15" xfId="26219"/>
    <cellStyle name="Total 4 6 16" xfId="35299"/>
    <cellStyle name="Total 4 6 2" xfId="15690"/>
    <cellStyle name="Total 4 6 3" xfId="15804"/>
    <cellStyle name="Total 4 6 4" xfId="14960"/>
    <cellStyle name="Total 4 6 5" xfId="14415"/>
    <cellStyle name="Total 4 6 6" xfId="13582"/>
    <cellStyle name="Total 4 6 7" xfId="15346"/>
    <cellStyle name="Total 4 6 8" xfId="13830"/>
    <cellStyle name="Total 4 6 9" xfId="18846"/>
    <cellStyle name="Total 4 7" xfId="13330"/>
    <cellStyle name="Total 4 7 10" xfId="19876"/>
    <cellStyle name="Total 4 7 11" xfId="27714"/>
    <cellStyle name="Total 4 7 12" xfId="26646"/>
    <cellStyle name="Total 4 7 13" xfId="26804"/>
    <cellStyle name="Total 4 7 14" xfId="26624"/>
    <cellStyle name="Total 4 7 15" xfId="26586"/>
    <cellStyle name="Total 4 7 16" xfId="35438"/>
    <cellStyle name="Total 4 7 2" xfId="14898"/>
    <cellStyle name="Total 4 7 3" xfId="15072"/>
    <cellStyle name="Total 4 7 4" xfId="14961"/>
    <cellStyle name="Total 4 7 5" xfId="14414"/>
    <cellStyle name="Total 4 7 6" xfId="13925"/>
    <cellStyle name="Total 4 7 7" xfId="15811"/>
    <cellStyle name="Total 4 7 8" xfId="15309"/>
    <cellStyle name="Total 4 7 9" xfId="13934"/>
    <cellStyle name="Total 4 8" xfId="13858"/>
    <cellStyle name="Total 4 9" xfId="13984"/>
    <cellStyle name="Total 5" xfId="13331"/>
    <cellStyle name="TotCol - Style5" xfId="13332"/>
    <cellStyle name="TotCol - Style7" xfId="13333"/>
    <cellStyle name="TotRow - Style4" xfId="13334"/>
    <cellStyle name="TotRow - Style4 10" xfId="14347"/>
    <cellStyle name="TotRow - Style4 11" xfId="14170"/>
    <cellStyle name="TotRow - Style4 12" xfId="15601"/>
    <cellStyle name="TotRow - Style4 13" xfId="15474"/>
    <cellStyle name="TotRow - Style4 14" xfId="14406"/>
    <cellStyle name="TotRow - Style4 15" xfId="26280"/>
    <cellStyle name="TotRow - Style4 16" xfId="27193"/>
    <cellStyle name="TotRow - Style4 17" xfId="27510"/>
    <cellStyle name="TotRow - Style4 18" xfId="26653"/>
    <cellStyle name="TotRow - Style4 19" xfId="26749"/>
    <cellStyle name="TotRow - Style4 2" xfId="13335"/>
    <cellStyle name="TotRow - Style4 2 10" xfId="22880"/>
    <cellStyle name="TotRow - Style4 2 11" xfId="26333"/>
    <cellStyle name="TotRow - Style4 2 12" xfId="27156"/>
    <cellStyle name="TotRow - Style4 2 13" xfId="25968"/>
    <cellStyle name="TotRow - Style4 2 14" xfId="27651"/>
    <cellStyle name="TotRow - Style4 2 15" xfId="26666"/>
    <cellStyle name="TotRow - Style4 2 16" xfId="26973"/>
    <cellStyle name="TotRow - Style4 2 17" xfId="25960"/>
    <cellStyle name="TotRow - Style4 2 18" xfId="35028"/>
    <cellStyle name="TotRow - Style4 2 19" xfId="35310"/>
    <cellStyle name="TotRow - Style4 2 2" xfId="14906"/>
    <cellStyle name="TotRow - Style4 2 3" xfId="15069"/>
    <cellStyle name="TotRow - Style4 2 4" xfId="13614"/>
    <cellStyle name="TotRow - Style4 2 5" xfId="15401"/>
    <cellStyle name="TotRow - Style4 2 6" xfId="14982"/>
    <cellStyle name="TotRow - Style4 2 7" xfId="13647"/>
    <cellStyle name="TotRow - Style4 2 8" xfId="14461"/>
    <cellStyle name="TotRow - Style4 2 9" xfId="21891"/>
    <cellStyle name="TotRow - Style4 20" xfId="26947"/>
    <cellStyle name="TotRow - Style4 21" xfId="27433"/>
    <cellStyle name="TotRow - Style4 22" xfId="34976"/>
    <cellStyle name="TotRow - Style4 23" xfId="35348"/>
    <cellStyle name="TotRow - Style4 24" xfId="37531"/>
    <cellStyle name="TotRow - Style4 3" xfId="13336"/>
    <cellStyle name="TotRow - Style4 3 10" xfId="22879"/>
    <cellStyle name="TotRow - Style4 3 11" xfId="26472"/>
    <cellStyle name="TotRow - Style4 3 12" xfId="27067"/>
    <cellStyle name="TotRow - Style4 3 13" xfId="26176"/>
    <cellStyle name="TotRow - Style4 3 14" xfId="27450"/>
    <cellStyle name="TotRow - Style4 3 15" xfId="26788"/>
    <cellStyle name="TotRow - Style4 3 16" xfId="26879"/>
    <cellStyle name="TotRow - Style4 3 17" xfId="26563"/>
    <cellStyle name="TotRow - Style4 3 18" xfId="35155"/>
    <cellStyle name="TotRow - Style4 3 19" xfId="35222"/>
    <cellStyle name="TotRow - Style4 3 2" xfId="14834"/>
    <cellStyle name="TotRow - Style4 3 3" xfId="14433"/>
    <cellStyle name="TotRow - Style4 3 4" xfId="15011"/>
    <cellStyle name="TotRow - Style4 3 5" xfId="13873"/>
    <cellStyle name="TotRow - Style4 3 6" xfId="13828"/>
    <cellStyle name="TotRow - Style4 3 7" xfId="15585"/>
    <cellStyle name="TotRow - Style4 3 8" xfId="13916"/>
    <cellStyle name="TotRow - Style4 3 9" xfId="14284"/>
    <cellStyle name="TotRow - Style4 4" xfId="13337"/>
    <cellStyle name="TotRow - Style4 4 10" xfId="14293"/>
    <cellStyle name="TotRow - Style4 4 11" xfId="26471"/>
    <cellStyle name="TotRow - Style4 4 12" xfId="27068"/>
    <cellStyle name="TotRow - Style4 4 13" xfId="26175"/>
    <cellStyle name="TotRow - Style4 4 14" xfId="26906"/>
    <cellStyle name="TotRow - Style4 4 15" xfId="27464"/>
    <cellStyle name="TotRow - Style4 4 16" xfId="28788"/>
    <cellStyle name="TotRow - Style4 4 17" xfId="27551"/>
    <cellStyle name="TotRow - Style4 4 18" xfId="35154"/>
    <cellStyle name="TotRow - Style4 4 19" xfId="35223"/>
    <cellStyle name="TotRow - Style4 4 2" xfId="14835"/>
    <cellStyle name="TotRow - Style4 4 3" xfId="14068"/>
    <cellStyle name="TotRow - Style4 4 4" xfId="15104"/>
    <cellStyle name="TotRow - Style4 4 5" xfId="14476"/>
    <cellStyle name="TotRow - Style4 4 6" xfId="15829"/>
    <cellStyle name="TotRow - Style4 4 7" xfId="15237"/>
    <cellStyle name="TotRow - Style4 4 8" xfId="15839"/>
    <cellStyle name="TotRow - Style4 4 9" xfId="15118"/>
    <cellStyle name="TotRow - Style4 5" xfId="13338"/>
    <cellStyle name="TotRow - Style4 5 10" xfId="14418"/>
    <cellStyle name="TotRow - Style4 5 11" xfId="26486"/>
    <cellStyle name="TotRow - Style4 5 12" xfId="27666"/>
    <cellStyle name="TotRow - Style4 5 13" xfId="26121"/>
    <cellStyle name="TotRow - Style4 5 14" xfId="26704"/>
    <cellStyle name="TotRow - Style4 5 15" xfId="26559"/>
    <cellStyle name="TotRow - Style4 5 16" xfId="26951"/>
    <cellStyle name="TotRow - Style4 5 17" xfId="26532"/>
    <cellStyle name="TotRow - Style4 5 18" xfId="35169"/>
    <cellStyle name="TotRow - Style4 5 19" xfId="35390"/>
    <cellStyle name="TotRow - Style4 5 2" xfId="14829"/>
    <cellStyle name="TotRow - Style4 5 3" xfId="14440"/>
    <cellStyle name="TotRow - Style4 5 4" xfId="15758"/>
    <cellStyle name="TotRow - Style4 5 5" xfId="15176"/>
    <cellStyle name="TotRow - Style4 5 6" xfId="14672"/>
    <cellStyle name="TotRow - Style4 5 7" xfId="15056"/>
    <cellStyle name="TotRow - Style4 5 8" xfId="13959"/>
    <cellStyle name="TotRow - Style4 5 9" xfId="14952"/>
    <cellStyle name="TotRow - Style4 6" xfId="14935"/>
    <cellStyle name="TotRow - Style4 7" xfId="13701"/>
    <cellStyle name="TotRow - Style4 8" xfId="13413"/>
    <cellStyle name="TotRow - Style4 9" xfId="13571"/>
    <cellStyle name="TotRow - Style8" xfId="13339"/>
    <cellStyle name="TotRow - Style8 10" xfId="15275"/>
    <cellStyle name="TotRow - Style8 11" xfId="18878"/>
    <cellStyle name="TotRow - Style8 12" xfId="15503"/>
    <cellStyle name="TotRow - Style8 13" xfId="15224"/>
    <cellStyle name="TotRow - Style8 14" xfId="14242"/>
    <cellStyle name="TotRow - Style8 15" xfId="26281"/>
    <cellStyle name="TotRow - Style8 16" xfId="27741"/>
    <cellStyle name="TotRow - Style8 17" xfId="25880"/>
    <cellStyle name="TotRow - Style8 18" xfId="25906"/>
    <cellStyle name="TotRow - Style8 19" xfId="26611"/>
    <cellStyle name="TotRow - Style8 2" xfId="13340"/>
    <cellStyle name="TotRow - Style8 2 10" xfId="14491"/>
    <cellStyle name="TotRow - Style8 2 11" xfId="26334"/>
    <cellStyle name="TotRow - Style8 2 12" xfId="27155"/>
    <cellStyle name="TotRow - Style8 2 13" xfId="26819"/>
    <cellStyle name="TotRow - Style8 2 14" xfId="26915"/>
    <cellStyle name="TotRow - Style8 2 15" xfId="26110"/>
    <cellStyle name="TotRow - Style8 2 16" xfId="26699"/>
    <cellStyle name="TotRow - Style8 2 17" xfId="27638"/>
    <cellStyle name="TotRow - Style8 2 18" xfId="35029"/>
    <cellStyle name="TotRow - Style8 2 19" xfId="35309"/>
    <cellStyle name="TotRow - Style8 2 2" xfId="14905"/>
    <cellStyle name="TotRow - Style8 2 3" xfId="14038"/>
    <cellStyle name="TotRow - Style8 2 4" xfId="15332"/>
    <cellStyle name="TotRow - Style8 2 5" xfId="13562"/>
    <cellStyle name="TotRow - Style8 2 6" xfId="14156"/>
    <cellStyle name="TotRow - Style8 2 7" xfId="14232"/>
    <cellStyle name="TotRow - Style8 2 8" xfId="13865"/>
    <cellStyle name="TotRow - Style8 2 9" xfId="13624"/>
    <cellStyle name="TotRow - Style8 20" xfId="27826"/>
    <cellStyle name="TotRow - Style8 21" xfId="26207"/>
    <cellStyle name="TotRow - Style8 22" xfId="34977"/>
    <cellStyle name="TotRow - Style8 23" xfId="35347"/>
    <cellStyle name="TotRow - Style8 24" xfId="37532"/>
    <cellStyle name="TotRow - Style8 3" xfId="13341"/>
    <cellStyle name="TotRow - Style8 3 10" xfId="13801"/>
    <cellStyle name="TotRow - Style8 3 11" xfId="26473"/>
    <cellStyle name="TotRow - Style8 3 12" xfId="27671"/>
    <cellStyle name="TotRow - Style8 3 13" xfId="25889"/>
    <cellStyle name="TotRow - Style8 3 14" xfId="27408"/>
    <cellStyle name="TotRow - Style8 3 15" xfId="27786"/>
    <cellStyle name="TotRow - Style8 3 16" xfId="31329"/>
    <cellStyle name="TotRow - Style8 3 17" xfId="26573"/>
    <cellStyle name="TotRow - Style8 3 18" xfId="35156"/>
    <cellStyle name="TotRow - Style8 3 19" xfId="35395"/>
    <cellStyle name="TotRow - Style8 3 2" xfId="15654"/>
    <cellStyle name="TotRow - Style8 3 3" xfId="15212"/>
    <cellStyle name="TotRow - Style8 3 4" xfId="13599"/>
    <cellStyle name="TotRow - Style8 3 5" xfId="14091"/>
    <cellStyle name="TotRow - Style8 3 6" xfId="19402"/>
    <cellStyle name="TotRow - Style8 3 7" xfId="15578"/>
    <cellStyle name="TotRow - Style8 3 8" xfId="14707"/>
    <cellStyle name="TotRow - Style8 3 9" xfId="15354"/>
    <cellStyle name="TotRow - Style8 4" xfId="13342"/>
    <cellStyle name="TotRow - Style8 4 10" xfId="13453"/>
    <cellStyle name="TotRow - Style8 4 11" xfId="26426"/>
    <cellStyle name="TotRow - Style8 4 12" xfId="26521"/>
    <cellStyle name="TotRow - Style8 4 13" xfId="26155"/>
    <cellStyle name="TotRow - Style8 4 14" xfId="27205"/>
    <cellStyle name="TotRow - Style8 4 15" xfId="27276"/>
    <cellStyle name="TotRow - Style8 4 16" xfId="27385"/>
    <cellStyle name="TotRow - Style8 4 17" xfId="27342"/>
    <cellStyle name="TotRow - Style8 4 18" xfId="35114"/>
    <cellStyle name="TotRow - Style8 4 19" xfId="35252"/>
    <cellStyle name="TotRow - Style8 4 2" xfId="14855"/>
    <cellStyle name="TotRow - Style8 4 3" xfId="13543"/>
    <cellStyle name="TotRow - Style8 4 4" xfId="15528"/>
    <cellStyle name="TotRow - Style8 4 5" xfId="14558"/>
    <cellStyle name="TotRow - Style8 4 6" xfId="13492"/>
    <cellStyle name="TotRow - Style8 4 7" xfId="15350"/>
    <cellStyle name="TotRow - Style8 4 8" xfId="14309"/>
    <cellStyle name="TotRow - Style8 4 9" xfId="14695"/>
    <cellStyle name="TotRow - Style8 5" xfId="13343"/>
    <cellStyle name="TotRow - Style8 5 10" xfId="15773"/>
    <cellStyle name="TotRow - Style8 5 11" xfId="26487"/>
    <cellStyle name="TotRow - Style8 5 12" xfId="27057"/>
    <cellStyle name="TotRow - Style8 5 13" xfId="26182"/>
    <cellStyle name="TotRow - Style8 5 14" xfId="26229"/>
    <cellStyle name="TotRow - Style8 5 15" xfId="27295"/>
    <cellStyle name="TotRow - Style8 5 16" xfId="26930"/>
    <cellStyle name="TotRow - Style8 5 17" xfId="25980"/>
    <cellStyle name="TotRow - Style8 5 18" xfId="35170"/>
    <cellStyle name="TotRow - Style8 5 19" xfId="35212"/>
    <cellStyle name="TotRow - Style8 5 2" xfId="13442"/>
    <cellStyle name="TotRow - Style8 5 3" xfId="15214"/>
    <cellStyle name="TotRow - Style8 5 4" xfId="13917"/>
    <cellStyle name="TotRow - Style8 5 5" xfId="15221"/>
    <cellStyle name="TotRow - Style8 5 6" xfId="15078"/>
    <cellStyle name="TotRow - Style8 5 7" xfId="15478"/>
    <cellStyle name="TotRow - Style8 5 8" xfId="13872"/>
    <cellStyle name="TotRow - Style8 5 9" xfId="15222"/>
    <cellStyle name="TotRow - Style8 6" xfId="14934"/>
    <cellStyle name="TotRow - Style8 7" xfId="13702"/>
    <cellStyle name="TotRow - Style8 8" xfId="14198"/>
    <cellStyle name="TotRow - Style8 9" xfId="15589"/>
    <cellStyle name="Transcript_Date" xfId="13344"/>
    <cellStyle name="Warning Text" xfId="13360" builtinId="11" customBuiltin="1"/>
    <cellStyle name="Warning Text 2" xfId="266"/>
    <cellStyle name="Warning Text 3" xfId="265"/>
    <cellStyle name="Warning Text 4" xfId="13345"/>
    <cellStyle name="Warning Text 5" xfId="13346"/>
    <cellStyle name="WM_STANDARD" xfId="37"/>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FFCC"/>
      <color rgb="FFFF66FF"/>
      <color rgb="FFEBB3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76</xdr:row>
      <xdr:rowOff>0</xdr:rowOff>
    </xdr:from>
    <xdr:to>
      <xdr:col>16</xdr:col>
      <xdr:colOff>12102</xdr:colOff>
      <xdr:row>106</xdr:row>
      <xdr:rowOff>138778</xdr:rowOff>
    </xdr:to>
    <xdr:pic>
      <xdr:nvPicPr>
        <xdr:cNvPr id="2" name="Picture 1"/>
        <xdr:cNvPicPr>
          <a:picLocks noChangeAspect="1"/>
        </xdr:cNvPicPr>
      </xdr:nvPicPr>
      <xdr:blipFill>
        <a:blip xmlns:r="http://schemas.openxmlformats.org/officeDocument/2006/relationships" r:embed="rId1"/>
        <a:stretch>
          <a:fillRect/>
        </a:stretch>
      </xdr:blipFill>
      <xdr:spPr>
        <a:xfrm>
          <a:off x="6891618" y="14668500"/>
          <a:ext cx="6276190" cy="5876190"/>
        </a:xfrm>
        <a:prstGeom prst="rect">
          <a:avLst/>
        </a:prstGeom>
      </xdr:spPr>
    </xdr:pic>
    <xdr:clientData/>
  </xdr:twoCellAnchor>
  <xdr:twoCellAnchor editAs="oneCell">
    <xdr:from>
      <xdr:col>17</xdr:col>
      <xdr:colOff>0</xdr:colOff>
      <xdr:row>77</xdr:row>
      <xdr:rowOff>0</xdr:rowOff>
    </xdr:from>
    <xdr:to>
      <xdr:col>27</xdr:col>
      <xdr:colOff>348824</xdr:colOff>
      <xdr:row>112</xdr:row>
      <xdr:rowOff>176755</xdr:rowOff>
    </xdr:to>
    <xdr:pic>
      <xdr:nvPicPr>
        <xdr:cNvPr id="3" name="Picture 2"/>
        <xdr:cNvPicPr>
          <a:picLocks noChangeAspect="1"/>
        </xdr:cNvPicPr>
      </xdr:nvPicPr>
      <xdr:blipFill>
        <a:blip xmlns:r="http://schemas.openxmlformats.org/officeDocument/2006/relationships" r:embed="rId2"/>
        <a:stretch>
          <a:fillRect/>
        </a:stretch>
      </xdr:blipFill>
      <xdr:spPr>
        <a:xfrm>
          <a:off x="13760824" y="14859000"/>
          <a:ext cx="6400000" cy="6866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c_db5_srv\SRC\User\REPORTS\STANDARD%20REPORTS\CUSTOM%20REPORTS\PL_RollingTrend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Western%20Region\ControllerDir\Brent_Blair_Kortney\PO%20Report%20by%20Division\PO%20Report_v3b%202013-08-26.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Vashon\Rate%20Incr%201-1-2012\Vashon%20Pro%20Form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Vashon\Rate%20Incr%201-1-2012\Vashon%20Pro%20Form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Western%20Region\WUTC\WIP%20Files\2010%20Clark%20County-%202009%20Vancouver\Misc%20Analsysis%20Non-Filing\Pro%20froma%208.31.2013%20for%20Budgets\Consolidated%20Pro%20forma%20Year%20201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Western%20Region\ControllerDir\Brent_Blair_Kortney\PO%20Report%20by%20Division\PO%20Report_v3b%202013-08-26.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Users\heatherg\AppData\Local\Microsoft\Windows\Temporary%20Internet%20Files\Content.Outlook\KNDSOALF\Fuel%20Stat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cinf06\sacshare\Data_Automation\DMS\RouteManagerReports\RM_MM001_Query_v4c.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X:\Western%20Region\WUTC\WIP%20Files\2010%20Clark%20County-%202009%20Vancouver\12.31.2010%20Test%20Year\Proforma%20Clark%20County%20101231%20Filing-Draft-FINAL%20VERSION.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ExcelFinancials_v3b1"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Western%20Region\WUTC\WIP%20Files\LeMay%20Companies\2014\Annual%20Report\District%20Schedules\North%20LeMay\N%20LeMay%20Annual%20Report%202013%20-%20with%20Heather's%20No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disnap\accounting\MODEST~1\2032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Annual%20Reports\2180%20LeMay\2009\LeMay%20Annual%20Report%200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X:\Users\nealjohnson\Downloads\SolidWaste-NonPublic%20LG%202018%20V5.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LeMay\Master%20Truck%20Schedule\South_LeMay%20Master%20Truck%20Schedule-Shared.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LeMay\Master%20Truck%20Schedule\South_LeMay%20Master%20Truck%20Schedule-Shared.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ExcelFinancials_v3c1"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estfile01\DistShares\Western%20Region\ControllerDir\Northern_Washington\Misc\N%20LeMay\WUTC\PCR_Commodity%20Reporting\2020\DO047%20-%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L_WASTE\SYS\ACCOUNT\CV2000\022000\2000_FEBRUARY_%20GL%20REC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RC%20Reports\SRC%20Format\Bonus%20Schedule\PNWR%20SRC%20Bonus%20Schedule%20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SRC%20Reports\SRC%20Format\Bonus%20Schedule\PNWR%20SRC%20Bonus%20Schedule%20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LeMay\2183-1%20Pacific%20Disp,%20Butlers%20Cove\Filing%20Possibly%202012\Filing\Audit\Final%20Outcome%208-14-2012\Pro%20Forma%20Pacific%20Disposal_Staf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Mason\Rate%20Increase%201-1-2013\1%20Filing%2011-14-2012\Revised%202-21-2013\staff%20Mason%20Proforma%209-30-2012-Linked%20Cust%20Count%20Fix%2012-2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utcfs2\grp_data\District\Joe_Garza\mark%20gregg\WUTC%20Files\Eastside\Eastside%20Rate%20Case%202006\Eastside%20RC%202006%20Filing%20Docs\Proforma%20Eastside%202005%204.17.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cinf05\DistShares\WCNX%20Stuff\Excel\Financials\Excel%20Financials\ExcelFinancia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row r="5">
          <cell r="D5">
            <v>10.71</v>
          </cell>
        </row>
        <row r="14">
          <cell r="C14" t="str">
            <v>dist</v>
          </cell>
          <cell r="E14" t="str">
            <v>=</v>
          </cell>
          <cell r="F14">
            <v>2149</v>
          </cell>
        </row>
      </sheetData>
      <sheetData sheetId="4" refreshError="1">
        <row r="6">
          <cell r="F6" t="str">
            <v>Time Series</v>
          </cell>
        </row>
        <row r="17">
          <cell r="B17" t="str">
            <v>ACCT</v>
          </cell>
          <cell r="C17" t="str">
            <v>-</v>
          </cell>
        </row>
        <row r="22">
          <cell r="C22" t="str">
            <v>Financial</v>
          </cell>
        </row>
        <row r="23">
          <cell r="C23" t="str">
            <v>ALL</v>
          </cell>
        </row>
        <row r="24">
          <cell r="C24" t="str">
            <v>Variable</v>
          </cell>
        </row>
      </sheetData>
      <sheetData sheetId="5" refreshError="1">
        <row r="8">
          <cell r="E8" t="str">
            <v>Report</v>
          </cell>
        </row>
        <row r="12">
          <cell r="B12" t="b">
            <v>0</v>
          </cell>
        </row>
      </sheetData>
      <sheetData sheetId="6" refreshError="1"/>
      <sheetData sheetId="7" refreshError="1">
        <row r="11">
          <cell r="D11">
            <v>10002</v>
          </cell>
          <cell r="E11">
            <v>0</v>
          </cell>
          <cell r="F11">
            <v>0</v>
          </cell>
          <cell r="G11">
            <v>0</v>
          </cell>
          <cell r="H11">
            <v>0</v>
          </cell>
          <cell r="I11">
            <v>0</v>
          </cell>
          <cell r="J11">
            <v>0</v>
          </cell>
          <cell r="K11">
            <v>0</v>
          </cell>
          <cell r="L11">
            <v>0</v>
          </cell>
          <cell r="M11">
            <v>0</v>
          </cell>
          <cell r="N11">
            <v>0</v>
          </cell>
          <cell r="O11">
            <v>0</v>
          </cell>
          <cell r="P11">
            <v>0</v>
          </cell>
          <cell r="Q11" t="str">
            <v>Cash</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s"/>
      <sheetName val="Data"/>
      <sheetName val="By Division"/>
      <sheetName val="&quot;Invioced&quot;"/>
      <sheetName val="Invoice_Drill"/>
      <sheetName val="PO_Drill"/>
      <sheetName val="District-Division Listing"/>
    </sheetNames>
    <sheetDataSet>
      <sheetData sheetId="0">
        <row r="1">
          <cell r="A1" t="str">
            <v>All</v>
          </cell>
        </row>
        <row r="2">
          <cell r="A2" t="str">
            <v>2008-01</v>
          </cell>
        </row>
        <row r="3">
          <cell r="A3" t="str">
            <v>2008-02</v>
          </cell>
        </row>
        <row r="4">
          <cell r="A4" t="str">
            <v>2008-03</v>
          </cell>
        </row>
        <row r="5">
          <cell r="A5" t="str">
            <v>2008-04</v>
          </cell>
        </row>
        <row r="6">
          <cell r="A6" t="str">
            <v>2008-05</v>
          </cell>
        </row>
        <row r="7">
          <cell r="A7" t="str">
            <v>2008-06</v>
          </cell>
        </row>
        <row r="8">
          <cell r="A8" t="str">
            <v>2008-07</v>
          </cell>
        </row>
        <row r="9">
          <cell r="A9" t="str">
            <v>2008-08</v>
          </cell>
        </row>
        <row r="10">
          <cell r="A10" t="str">
            <v>2008-09</v>
          </cell>
        </row>
        <row r="11">
          <cell r="A11" t="str">
            <v>2008-10</v>
          </cell>
        </row>
        <row r="12">
          <cell r="A12" t="str">
            <v>2008-11</v>
          </cell>
        </row>
        <row r="13">
          <cell r="A13" t="str">
            <v>2008-12</v>
          </cell>
        </row>
      </sheetData>
      <sheetData sheetId="1">
        <row r="3">
          <cell r="E3" t="str">
            <v>Western</v>
          </cell>
        </row>
      </sheetData>
      <sheetData sheetId="2" refreshError="1"/>
      <sheetData sheetId="3" refreshError="1"/>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
      <sheetName val="Vashon BS"/>
      <sheetName val="Vashon IS"/>
      <sheetName val="Consolidated IS"/>
      <sheetName val="Restating Adj"/>
      <sheetName val="Prof Adj"/>
      <sheetName val="Price-out"/>
      <sheetName val="LG-Total Comp"/>
      <sheetName val="LG-Packer Rts"/>
      <sheetName val="LG-RO Rts"/>
      <sheetName val="LG-Recycl"/>
      <sheetName val="DF Schedule"/>
      <sheetName val="Depr-Summary"/>
      <sheetName val="2132 Trks"/>
      <sheetName val="2132 Cont, DB"/>
      <sheetName val="2132 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
      <sheetName val="Vashon BS"/>
      <sheetName val="Vashon IS"/>
      <sheetName val="Consolidated IS"/>
      <sheetName val="Restating Adj"/>
      <sheetName val="Prof Adj"/>
      <sheetName val="Price-out"/>
      <sheetName val="LG-Total Comp"/>
      <sheetName val="LG-Packer Rts"/>
      <sheetName val="LG-RO Rts"/>
      <sheetName val="LG-Recycl"/>
      <sheetName val="DF Schedule"/>
      <sheetName val="Depr-Summary"/>
      <sheetName val="2132 Trks"/>
      <sheetName val="2132 Cont, DB"/>
      <sheetName val="2132 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BS"/>
      <sheetName val="2010 BS"/>
      <sheetName val="2009 IS"/>
      <sheetName val="2010 IS"/>
      <sheetName val="Consolidated IS"/>
      <sheetName val="Alloc %"/>
      <sheetName val="Rest Expl"/>
      <sheetName val="Prof Expl"/>
      <sheetName val="2009 Price Out (REG)"/>
      <sheetName val="LG-Total Reg"/>
      <sheetName val="LG-Pckr"/>
      <sheetName val="LG-RO"/>
      <sheetName val="2009-2010"/>
      <sheetName val="2009 Depr Summary"/>
      <sheetName val="2009 Trks"/>
      <sheetName val="2009 Cont, DB"/>
      <sheetName val="2009 Serv, Shop"/>
      <sheetName val="2009 Office"/>
      <sheetName val="2009 Leasehold"/>
      <sheetName val="2010 Deprec Summary"/>
      <sheetName val="2010 Trks"/>
      <sheetName val="2010 Cont, DB"/>
      <sheetName val="2010 Serv, Shop"/>
      <sheetName val="2010 Office"/>
      <sheetName val="2010 Leaseh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s"/>
      <sheetName val="Data"/>
      <sheetName val="By Division"/>
      <sheetName val="&quot;Invioced&quot;"/>
      <sheetName val="Invoice_Drill"/>
      <sheetName val="PO_Drill"/>
      <sheetName val="District-Division Listing"/>
    </sheetNames>
    <sheetDataSet>
      <sheetData sheetId="0">
        <row r="1">
          <cell r="A1" t="str">
            <v>All</v>
          </cell>
        </row>
      </sheetData>
      <sheetData sheetId="1">
        <row r="3">
          <cell r="E3" t="str">
            <v>Western</v>
          </cell>
        </row>
      </sheetData>
      <sheetData sheetId="2" refreshError="1"/>
      <sheetData sheetId="3" refreshError="1"/>
      <sheetData sheetId="4"/>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Ranges"/>
      <sheetName val="StatEntry_Trend"/>
      <sheetName val="StatEntry_Detail"/>
      <sheetName val="StatEntry_Reclass_LOB_Sbst"/>
      <sheetName val="ChangeHistory"/>
      <sheetName val="Stat Lookup"/>
    </sheetNames>
    <sheetDataSet>
      <sheetData sheetId="0">
        <row r="5">
          <cell r="B5" t="str">
            <v>Can_Commercial</v>
          </cell>
          <cell r="D5" t="str">
            <v>Act</v>
          </cell>
        </row>
        <row r="6">
          <cell r="B6" t="str">
            <v>Can_Commercial Recycling</v>
          </cell>
          <cell r="D6" t="str">
            <v>Bud</v>
          </cell>
        </row>
        <row r="7">
          <cell r="B7" t="str">
            <v>Can_Landfill</v>
          </cell>
          <cell r="D7" t="str">
            <v>Proj</v>
          </cell>
        </row>
        <row r="8">
          <cell r="B8" t="str">
            <v>Can_Landfill Gas</v>
          </cell>
        </row>
        <row r="9">
          <cell r="B9" t="str">
            <v>Can_MRF</v>
          </cell>
        </row>
        <row r="10">
          <cell r="B10" t="str">
            <v>Can_Other</v>
          </cell>
        </row>
        <row r="11">
          <cell r="B11" t="str">
            <v>Can_Residential</v>
          </cell>
        </row>
        <row r="12">
          <cell r="B12" t="str">
            <v>Can_Residential Recycling</v>
          </cell>
        </row>
        <row r="13">
          <cell r="B13" t="str">
            <v>Can_Roll Off</v>
          </cell>
        </row>
        <row r="14">
          <cell r="B14" t="str">
            <v>Can_Transfer Station</v>
          </cell>
        </row>
      </sheetData>
      <sheetData sheetId="1"/>
      <sheetData sheetId="2"/>
      <sheetData sheetId="3"/>
      <sheetData sheetId="4"/>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001Tranx"/>
      <sheetName val="JEexport"/>
      <sheetName val="Intro Memo"/>
      <sheetName val="JE_Summary"/>
      <sheetName val="Mth00"/>
      <sheetName val="Mth01"/>
      <sheetName val="Mth02"/>
      <sheetName val="Mth03"/>
      <sheetName val="Mth04"/>
      <sheetName val="Mth05"/>
      <sheetName val="Mth06"/>
      <sheetName val="Mth07"/>
      <sheetName val="Mth08"/>
      <sheetName val="Mth09"/>
      <sheetName val="Mth10"/>
      <sheetName val="Mth11"/>
      <sheetName val="Mth12"/>
      <sheetName val="TEST"/>
      <sheetName val="To Do"/>
      <sheetName val="GLMapping"/>
      <sheetName val="BatchLog"/>
      <sheetName val="Reference"/>
    </sheetNames>
    <sheetDataSet>
      <sheetData sheetId="0"/>
      <sheetData sheetId="1">
        <row r="9">
          <cell r="L9">
            <v>11501</v>
          </cell>
        </row>
        <row r="10">
          <cell r="L10" t="str">
            <v>11501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sheetName val="2009 BS"/>
      <sheetName val="2010 BS"/>
      <sheetName val="Combined BS"/>
      <sheetName val="2009 IS"/>
      <sheetName val="2010 IS"/>
      <sheetName val="Combined 12 mo IS"/>
      <sheetName val="Consolidated IS 2009 2010"/>
      <sheetName val="Consolidated IS - IRMGARD"/>
      <sheetName val="Pro forma "/>
      <sheetName val="Pro forma-Line of Service"/>
      <sheetName val="Restatements"/>
      <sheetName val="Proforma Adjusts"/>
      <sheetName val="2009 Price Out (REG)"/>
      <sheetName val="GL Recon"/>
      <sheetName val="Customer Count Summary"/>
      <sheetName val="2009 Payroll"/>
      <sheetName val="2010 Payroll"/>
      <sheetName val="2009,2010 Depr Summary"/>
      <sheetName val="Time Study"/>
      <sheetName val="2009 Insurance"/>
      <sheetName val="2010 Insurance"/>
      <sheetName val="2009 Disposal"/>
      <sheetName val="2010 Disposal"/>
      <sheetName val="2009 Fuel"/>
      <sheetName val="2009 Depr Summary"/>
      <sheetName val="2009 Trks"/>
      <sheetName val="2009 Cont, DB"/>
      <sheetName val="2009 Serv, Shop"/>
      <sheetName val="2009 Office"/>
      <sheetName val="2009 Leasehold"/>
      <sheetName val="2010 Fuel"/>
      <sheetName val="2010 Deprec Summary"/>
      <sheetName val="2010 Trks"/>
      <sheetName val="2010 Cont, DB"/>
      <sheetName val="2010 Serv, Shop"/>
      <sheetName val="2010 Office"/>
      <sheetName val="2010 Leasehold"/>
      <sheetName val="Region Allocation (2)"/>
      <sheetName val="LG-Total Company before DF"/>
      <sheetName val="LG-Packer Rts before DF"/>
      <sheetName val="LG-RO Rts before DF"/>
      <sheetName val="LG-Total Company"/>
      <sheetName val="LG-Packer Rts"/>
      <sheetName val="LG-RO Rts"/>
      <sheetName val="LG-Recycl"/>
      <sheetName val="Scenarios"/>
      <sheetName val="Scenarios (2)"/>
      <sheetName val="Notes"/>
    </sheetNames>
    <sheetDataSet>
      <sheetData sheetId="0" refreshError="1"/>
      <sheetData sheetId="1" refreshError="1"/>
      <sheetData sheetId="2" refreshError="1"/>
      <sheetData sheetId="3" refreshError="1"/>
      <sheetData sheetId="4" refreshError="1">
        <row r="12">
          <cell r="A12" t="str">
            <v>Revenue</v>
          </cell>
        </row>
        <row r="13">
          <cell r="A13" t="str">
            <v>Hauling</v>
          </cell>
        </row>
        <row r="14">
          <cell r="A14">
            <v>31000</v>
          </cell>
          <cell r="B14" t="str">
            <v>Hauling Revenue - Roll Off Permanent</v>
          </cell>
          <cell r="E14">
            <v>41429.11</v>
          </cell>
          <cell r="F14">
            <v>39826.22</v>
          </cell>
          <cell r="G14">
            <v>49022.75</v>
          </cell>
          <cell r="H14">
            <v>45137.86</v>
          </cell>
          <cell r="I14">
            <v>48263.81</v>
          </cell>
          <cell r="J14">
            <v>55314.5</v>
          </cell>
          <cell r="K14">
            <v>60046.02</v>
          </cell>
          <cell r="L14">
            <v>64582.7</v>
          </cell>
          <cell r="M14">
            <v>55932.07</v>
          </cell>
          <cell r="N14">
            <v>50932.34</v>
          </cell>
          <cell r="O14">
            <v>38587.67</v>
          </cell>
          <cell r="P14">
            <v>43420.76</v>
          </cell>
          <cell r="Q14">
            <v>592495.81000000006</v>
          </cell>
        </row>
        <row r="15">
          <cell r="A15">
            <v>31001</v>
          </cell>
          <cell r="B15" t="str">
            <v>Hauling Revenue - Roll Off Temporary</v>
          </cell>
          <cell r="E15">
            <v>0</v>
          </cell>
          <cell r="F15">
            <v>0</v>
          </cell>
          <cell r="G15">
            <v>0</v>
          </cell>
          <cell r="H15">
            <v>0</v>
          </cell>
          <cell r="I15">
            <v>0</v>
          </cell>
          <cell r="J15">
            <v>0</v>
          </cell>
          <cell r="K15">
            <v>0</v>
          </cell>
          <cell r="L15">
            <v>0</v>
          </cell>
          <cell r="M15">
            <v>0</v>
          </cell>
          <cell r="N15">
            <v>0</v>
          </cell>
          <cell r="O15">
            <v>0</v>
          </cell>
          <cell r="P15">
            <v>0</v>
          </cell>
          <cell r="Q15">
            <v>0</v>
          </cell>
        </row>
        <row r="16">
          <cell r="A16">
            <v>31002</v>
          </cell>
          <cell r="B16" t="str">
            <v>Hauling Revenue - Roll Off Rental</v>
          </cell>
          <cell r="E16">
            <v>0</v>
          </cell>
          <cell r="F16">
            <v>0</v>
          </cell>
          <cell r="G16">
            <v>0</v>
          </cell>
          <cell r="H16">
            <v>0</v>
          </cell>
          <cell r="I16">
            <v>0</v>
          </cell>
          <cell r="J16">
            <v>0</v>
          </cell>
          <cell r="K16">
            <v>0</v>
          </cell>
          <cell r="L16">
            <v>0</v>
          </cell>
          <cell r="M16">
            <v>0</v>
          </cell>
          <cell r="N16">
            <v>0</v>
          </cell>
          <cell r="O16">
            <v>0</v>
          </cell>
          <cell r="P16">
            <v>0</v>
          </cell>
          <cell r="Q16">
            <v>0</v>
          </cell>
        </row>
        <row r="17">
          <cell r="A17">
            <v>31003</v>
          </cell>
          <cell r="B17" t="str">
            <v>Hauling Revenue - Roll Off Compactor Ren</v>
          </cell>
          <cell r="E17">
            <v>0</v>
          </cell>
          <cell r="F17">
            <v>0</v>
          </cell>
          <cell r="G17">
            <v>0</v>
          </cell>
          <cell r="H17">
            <v>0</v>
          </cell>
          <cell r="I17">
            <v>0</v>
          </cell>
          <cell r="J17">
            <v>0</v>
          </cell>
          <cell r="K17">
            <v>0</v>
          </cell>
          <cell r="L17">
            <v>0</v>
          </cell>
          <cell r="M17">
            <v>0</v>
          </cell>
          <cell r="N17">
            <v>0</v>
          </cell>
          <cell r="O17">
            <v>0</v>
          </cell>
          <cell r="P17">
            <v>0</v>
          </cell>
          <cell r="Q17">
            <v>0</v>
          </cell>
        </row>
        <row r="18">
          <cell r="A18">
            <v>31004</v>
          </cell>
          <cell r="B18" t="str">
            <v>Hauling Revenue - Roll Off Recycling</v>
          </cell>
          <cell r="E18">
            <v>0</v>
          </cell>
          <cell r="F18">
            <v>0</v>
          </cell>
          <cell r="G18">
            <v>0</v>
          </cell>
          <cell r="H18">
            <v>0</v>
          </cell>
          <cell r="I18">
            <v>0</v>
          </cell>
          <cell r="J18">
            <v>0</v>
          </cell>
          <cell r="K18">
            <v>0</v>
          </cell>
          <cell r="L18">
            <v>0</v>
          </cell>
          <cell r="M18">
            <v>0</v>
          </cell>
          <cell r="N18">
            <v>0</v>
          </cell>
          <cell r="O18">
            <v>0</v>
          </cell>
          <cell r="P18">
            <v>0</v>
          </cell>
          <cell r="Q18">
            <v>0</v>
          </cell>
        </row>
        <row r="19">
          <cell r="A19">
            <v>31005</v>
          </cell>
          <cell r="B19" t="str">
            <v>Corporate Roll Off Disposal Charge</v>
          </cell>
          <cell r="E19">
            <v>93946.63</v>
          </cell>
          <cell r="F19">
            <v>91101.8</v>
          </cell>
          <cell r="G19">
            <v>108743.12</v>
          </cell>
          <cell r="H19">
            <v>100411.54</v>
          </cell>
          <cell r="I19">
            <v>109421.85</v>
          </cell>
          <cell r="J19">
            <v>119111.11</v>
          </cell>
          <cell r="K19">
            <v>114939.05</v>
          </cell>
          <cell r="L19">
            <v>123201.29</v>
          </cell>
          <cell r="M19">
            <v>128616.56</v>
          </cell>
          <cell r="N19">
            <v>103849.76</v>
          </cell>
          <cell r="O19">
            <v>87162.7</v>
          </cell>
          <cell r="P19">
            <v>101585.44</v>
          </cell>
          <cell r="Q19">
            <v>1282090.8499999999</v>
          </cell>
        </row>
        <row r="20">
          <cell r="A20">
            <v>31008</v>
          </cell>
          <cell r="B20" t="str">
            <v>Hauling Revenue - Roll Off Adjustments</v>
          </cell>
          <cell r="E20">
            <v>0</v>
          </cell>
          <cell r="F20">
            <v>0</v>
          </cell>
          <cell r="G20">
            <v>0</v>
          </cell>
          <cell r="H20">
            <v>0</v>
          </cell>
          <cell r="I20">
            <v>0</v>
          </cell>
          <cell r="J20">
            <v>0</v>
          </cell>
          <cell r="K20">
            <v>0</v>
          </cell>
          <cell r="L20">
            <v>0</v>
          </cell>
          <cell r="M20">
            <v>0</v>
          </cell>
          <cell r="N20">
            <v>0</v>
          </cell>
          <cell r="O20">
            <v>0</v>
          </cell>
          <cell r="P20">
            <v>0</v>
          </cell>
          <cell r="Q20">
            <v>0</v>
          </cell>
        </row>
        <row r="21">
          <cell r="A21">
            <v>31009</v>
          </cell>
          <cell r="B21" t="str">
            <v>Hauling Revenue - Roll Off Intercompany</v>
          </cell>
          <cell r="E21">
            <v>0</v>
          </cell>
          <cell r="F21">
            <v>0</v>
          </cell>
          <cell r="G21">
            <v>0</v>
          </cell>
          <cell r="H21">
            <v>0</v>
          </cell>
          <cell r="I21">
            <v>0</v>
          </cell>
          <cell r="J21">
            <v>0</v>
          </cell>
          <cell r="K21">
            <v>0</v>
          </cell>
          <cell r="L21">
            <v>0</v>
          </cell>
          <cell r="M21">
            <v>0</v>
          </cell>
          <cell r="N21">
            <v>0</v>
          </cell>
          <cell r="O21">
            <v>0</v>
          </cell>
          <cell r="P21">
            <v>0</v>
          </cell>
          <cell r="Q21">
            <v>0</v>
          </cell>
        </row>
        <row r="22">
          <cell r="A22">
            <v>31010</v>
          </cell>
          <cell r="B22" t="str">
            <v>Hauling Revenue - Roll Off Extras</v>
          </cell>
          <cell r="E22">
            <v>16354.41</v>
          </cell>
          <cell r="F22">
            <v>16430.849999999999</v>
          </cell>
          <cell r="G22">
            <v>18226.63</v>
          </cell>
          <cell r="H22">
            <v>17972.400000000001</v>
          </cell>
          <cell r="I22">
            <v>18790.919999999998</v>
          </cell>
          <cell r="J22">
            <v>19705.3</v>
          </cell>
          <cell r="K22">
            <v>21354.080000000002</v>
          </cell>
          <cell r="L22">
            <v>22365.29</v>
          </cell>
          <cell r="M22">
            <v>20804.36</v>
          </cell>
          <cell r="N22">
            <v>18374.21</v>
          </cell>
          <cell r="O22">
            <v>17346.11</v>
          </cell>
          <cell r="P22">
            <v>15627.2</v>
          </cell>
          <cell r="Q22">
            <v>223351.76</v>
          </cell>
        </row>
        <row r="23">
          <cell r="A23">
            <v>31020</v>
          </cell>
          <cell r="B23" t="str">
            <v>Hauling Revenue - Roll Off Special Waste</v>
          </cell>
          <cell r="E23">
            <v>0</v>
          </cell>
          <cell r="F23">
            <v>0</v>
          </cell>
          <cell r="G23">
            <v>0</v>
          </cell>
          <cell r="H23">
            <v>0</v>
          </cell>
          <cell r="I23">
            <v>0</v>
          </cell>
          <cell r="J23">
            <v>0</v>
          </cell>
          <cell r="K23">
            <v>0</v>
          </cell>
          <cell r="L23">
            <v>0</v>
          </cell>
          <cell r="M23">
            <v>0</v>
          </cell>
          <cell r="N23">
            <v>0</v>
          </cell>
          <cell r="O23">
            <v>0</v>
          </cell>
          <cell r="P23">
            <v>0</v>
          </cell>
          <cell r="Q23">
            <v>0</v>
          </cell>
        </row>
        <row r="24">
          <cell r="A24">
            <v>31021</v>
          </cell>
          <cell r="B24" t="str">
            <v>Hauling Revenue - Roll Off Special Waste</v>
          </cell>
          <cell r="E24">
            <v>0</v>
          </cell>
          <cell r="F24">
            <v>0</v>
          </cell>
          <cell r="G24">
            <v>0</v>
          </cell>
          <cell r="H24">
            <v>0</v>
          </cell>
          <cell r="I24">
            <v>0</v>
          </cell>
          <cell r="J24">
            <v>0</v>
          </cell>
          <cell r="K24">
            <v>0</v>
          </cell>
          <cell r="L24">
            <v>0</v>
          </cell>
          <cell r="M24">
            <v>0</v>
          </cell>
          <cell r="N24">
            <v>0</v>
          </cell>
          <cell r="O24">
            <v>0</v>
          </cell>
          <cell r="P24">
            <v>0</v>
          </cell>
          <cell r="Q24">
            <v>0</v>
          </cell>
        </row>
        <row r="25">
          <cell r="A25">
            <v>31029</v>
          </cell>
          <cell r="B25" t="str">
            <v>Hauling Revenue - Roll Off Special Waste</v>
          </cell>
          <cell r="E25">
            <v>0</v>
          </cell>
          <cell r="F25">
            <v>0</v>
          </cell>
          <cell r="G25">
            <v>0</v>
          </cell>
          <cell r="H25">
            <v>0</v>
          </cell>
          <cell r="I25">
            <v>0</v>
          </cell>
          <cell r="J25">
            <v>0</v>
          </cell>
          <cell r="K25">
            <v>0</v>
          </cell>
          <cell r="L25">
            <v>0</v>
          </cell>
          <cell r="M25">
            <v>0</v>
          </cell>
          <cell r="N25">
            <v>0</v>
          </cell>
          <cell r="O25">
            <v>0</v>
          </cell>
          <cell r="P25">
            <v>0</v>
          </cell>
          <cell r="Q25">
            <v>0</v>
          </cell>
        </row>
        <row r="26">
          <cell r="A26">
            <v>32000</v>
          </cell>
          <cell r="B26" t="str">
            <v>Hauling Revenue - Residential MSW</v>
          </cell>
          <cell r="E26">
            <v>754535.74</v>
          </cell>
          <cell r="F26">
            <v>750848.79</v>
          </cell>
          <cell r="G26">
            <v>751484.07</v>
          </cell>
          <cell r="H26">
            <v>759461.88</v>
          </cell>
          <cell r="I26">
            <v>756344.84</v>
          </cell>
          <cell r="J26">
            <v>762351.19</v>
          </cell>
          <cell r="K26">
            <v>763571.04</v>
          </cell>
          <cell r="L26">
            <v>762014.08</v>
          </cell>
          <cell r="M26">
            <v>763381.19</v>
          </cell>
          <cell r="N26">
            <v>760410.82</v>
          </cell>
          <cell r="O26">
            <v>760222.53</v>
          </cell>
          <cell r="P26">
            <v>757663.07</v>
          </cell>
          <cell r="Q26">
            <v>9102289.2400000002</v>
          </cell>
        </row>
        <row r="27">
          <cell r="A27">
            <v>32001</v>
          </cell>
          <cell r="B27" t="str">
            <v>Hauling Revenue - Residential MSW Extras</v>
          </cell>
          <cell r="E27">
            <v>48676.93</v>
          </cell>
          <cell r="F27">
            <v>46005.81</v>
          </cell>
          <cell r="G27">
            <v>44057.39</v>
          </cell>
          <cell r="H27">
            <v>54145.79</v>
          </cell>
          <cell r="I27">
            <v>47089.22</v>
          </cell>
          <cell r="J27">
            <v>62711.39</v>
          </cell>
          <cell r="K27">
            <v>60222.84</v>
          </cell>
          <cell r="L27">
            <v>63321.38</v>
          </cell>
          <cell r="M27">
            <v>48663.92</v>
          </cell>
          <cell r="N27">
            <v>45750.71</v>
          </cell>
          <cell r="O27">
            <v>44578.41</v>
          </cell>
          <cell r="P27">
            <v>66011.64</v>
          </cell>
          <cell r="Q27">
            <v>631235.43000000005</v>
          </cell>
        </row>
        <row r="28">
          <cell r="A28">
            <v>32002</v>
          </cell>
          <cell r="B28" t="str">
            <v>Hauling Revenue - Residential MSW Adjust</v>
          </cell>
          <cell r="E28">
            <v>0</v>
          </cell>
          <cell r="F28">
            <v>0</v>
          </cell>
          <cell r="G28">
            <v>0</v>
          </cell>
          <cell r="H28">
            <v>0</v>
          </cell>
          <cell r="I28">
            <v>0</v>
          </cell>
          <cell r="J28">
            <v>0</v>
          </cell>
          <cell r="K28">
            <v>0</v>
          </cell>
          <cell r="L28">
            <v>0</v>
          </cell>
          <cell r="M28">
            <v>0</v>
          </cell>
          <cell r="N28">
            <v>0</v>
          </cell>
          <cell r="O28">
            <v>0</v>
          </cell>
          <cell r="P28">
            <v>0</v>
          </cell>
          <cell r="Q28">
            <v>0</v>
          </cell>
        </row>
        <row r="29">
          <cell r="A29">
            <v>32003</v>
          </cell>
          <cell r="B29" t="str">
            <v>Hauling Revenue - Residential MSW Specia</v>
          </cell>
          <cell r="E29">
            <v>0</v>
          </cell>
          <cell r="F29">
            <v>0</v>
          </cell>
          <cell r="G29">
            <v>0</v>
          </cell>
          <cell r="H29">
            <v>0</v>
          </cell>
          <cell r="I29">
            <v>0</v>
          </cell>
          <cell r="J29">
            <v>0</v>
          </cell>
          <cell r="K29">
            <v>0</v>
          </cell>
          <cell r="L29">
            <v>0</v>
          </cell>
          <cell r="M29">
            <v>0</v>
          </cell>
          <cell r="N29">
            <v>0</v>
          </cell>
          <cell r="O29">
            <v>0</v>
          </cell>
          <cell r="P29">
            <v>0</v>
          </cell>
          <cell r="Q29">
            <v>0</v>
          </cell>
        </row>
        <row r="30">
          <cell r="A30">
            <v>32009</v>
          </cell>
          <cell r="B30" t="str">
            <v>Hauling Revenue - Residential MSW Interc</v>
          </cell>
          <cell r="E30">
            <v>0</v>
          </cell>
          <cell r="F30">
            <v>0</v>
          </cell>
          <cell r="G30">
            <v>0</v>
          </cell>
          <cell r="H30">
            <v>0</v>
          </cell>
          <cell r="I30">
            <v>0</v>
          </cell>
          <cell r="J30">
            <v>0</v>
          </cell>
          <cell r="K30">
            <v>0</v>
          </cell>
          <cell r="L30">
            <v>0</v>
          </cell>
          <cell r="M30">
            <v>0</v>
          </cell>
          <cell r="N30">
            <v>0</v>
          </cell>
          <cell r="O30">
            <v>0</v>
          </cell>
          <cell r="P30">
            <v>0</v>
          </cell>
          <cell r="Q30">
            <v>0</v>
          </cell>
        </row>
        <row r="31">
          <cell r="A31">
            <v>32100</v>
          </cell>
          <cell r="B31" t="str">
            <v>Hauling Revenue - Residential Recycling</v>
          </cell>
          <cell r="E31">
            <v>0</v>
          </cell>
          <cell r="F31">
            <v>0</v>
          </cell>
          <cell r="G31">
            <v>0</v>
          </cell>
          <cell r="H31">
            <v>0</v>
          </cell>
          <cell r="I31">
            <v>0</v>
          </cell>
          <cell r="J31">
            <v>0</v>
          </cell>
          <cell r="K31">
            <v>0</v>
          </cell>
          <cell r="L31">
            <v>0</v>
          </cell>
          <cell r="M31">
            <v>0</v>
          </cell>
          <cell r="N31">
            <v>0</v>
          </cell>
          <cell r="O31">
            <v>0</v>
          </cell>
          <cell r="P31">
            <v>0</v>
          </cell>
          <cell r="Q31">
            <v>0</v>
          </cell>
        </row>
        <row r="32">
          <cell r="A32">
            <v>32101</v>
          </cell>
          <cell r="B32" t="str">
            <v>Hauling Revenue - Residential Recycling</v>
          </cell>
          <cell r="E32">
            <v>0</v>
          </cell>
          <cell r="F32">
            <v>0</v>
          </cell>
          <cell r="G32">
            <v>0</v>
          </cell>
          <cell r="H32">
            <v>0</v>
          </cell>
          <cell r="I32">
            <v>0</v>
          </cell>
          <cell r="J32">
            <v>0</v>
          </cell>
          <cell r="K32">
            <v>0</v>
          </cell>
          <cell r="L32">
            <v>0</v>
          </cell>
          <cell r="M32">
            <v>0</v>
          </cell>
          <cell r="N32">
            <v>0</v>
          </cell>
          <cell r="O32">
            <v>0</v>
          </cell>
          <cell r="P32">
            <v>0</v>
          </cell>
          <cell r="Q32">
            <v>0</v>
          </cell>
        </row>
        <row r="33">
          <cell r="A33">
            <v>32102</v>
          </cell>
          <cell r="B33" t="str">
            <v>Hauling Revenue - Residential Recycling</v>
          </cell>
          <cell r="E33">
            <v>0</v>
          </cell>
          <cell r="F33">
            <v>0</v>
          </cell>
          <cell r="G33">
            <v>0</v>
          </cell>
          <cell r="H33">
            <v>0</v>
          </cell>
          <cell r="I33">
            <v>0</v>
          </cell>
          <cell r="J33">
            <v>0</v>
          </cell>
          <cell r="K33">
            <v>0</v>
          </cell>
          <cell r="L33">
            <v>0</v>
          </cell>
          <cell r="M33">
            <v>0</v>
          </cell>
          <cell r="N33">
            <v>0</v>
          </cell>
          <cell r="O33">
            <v>0</v>
          </cell>
          <cell r="P33">
            <v>0</v>
          </cell>
          <cell r="Q33">
            <v>0</v>
          </cell>
        </row>
        <row r="34">
          <cell r="A34">
            <v>32103</v>
          </cell>
          <cell r="B34" t="str">
            <v>Hauling Revenue - Residential Recycling</v>
          </cell>
          <cell r="E34">
            <v>0</v>
          </cell>
          <cell r="F34">
            <v>0</v>
          </cell>
          <cell r="G34">
            <v>0</v>
          </cell>
          <cell r="H34">
            <v>0</v>
          </cell>
          <cell r="I34">
            <v>0</v>
          </cell>
          <cell r="J34">
            <v>0</v>
          </cell>
          <cell r="K34">
            <v>0</v>
          </cell>
          <cell r="L34">
            <v>0</v>
          </cell>
          <cell r="M34">
            <v>0</v>
          </cell>
          <cell r="N34">
            <v>0</v>
          </cell>
          <cell r="O34">
            <v>0</v>
          </cell>
          <cell r="P34">
            <v>0</v>
          </cell>
          <cell r="Q34">
            <v>0</v>
          </cell>
        </row>
        <row r="35">
          <cell r="A35">
            <v>32109</v>
          </cell>
          <cell r="B35" t="str">
            <v>Hauling Revenue - Residential Recycling</v>
          </cell>
          <cell r="E35">
            <v>0</v>
          </cell>
          <cell r="F35">
            <v>0</v>
          </cell>
          <cell r="G35">
            <v>0</v>
          </cell>
          <cell r="H35">
            <v>0</v>
          </cell>
          <cell r="I35">
            <v>0</v>
          </cell>
          <cell r="J35">
            <v>0</v>
          </cell>
          <cell r="K35">
            <v>0</v>
          </cell>
          <cell r="L35">
            <v>0</v>
          </cell>
          <cell r="M35">
            <v>0</v>
          </cell>
          <cell r="N35">
            <v>0</v>
          </cell>
          <cell r="O35">
            <v>0</v>
          </cell>
          <cell r="P35">
            <v>0</v>
          </cell>
          <cell r="Q35">
            <v>0</v>
          </cell>
        </row>
        <row r="36">
          <cell r="A36">
            <v>32110</v>
          </cell>
          <cell r="B36" t="str">
            <v>Hauling Revenue - Residential Composting</v>
          </cell>
          <cell r="E36">
            <v>0</v>
          </cell>
          <cell r="F36">
            <v>0</v>
          </cell>
          <cell r="G36">
            <v>0</v>
          </cell>
          <cell r="H36">
            <v>0</v>
          </cell>
          <cell r="I36">
            <v>0</v>
          </cell>
          <cell r="J36">
            <v>0</v>
          </cell>
          <cell r="K36">
            <v>0</v>
          </cell>
          <cell r="L36">
            <v>0</v>
          </cell>
          <cell r="M36">
            <v>0</v>
          </cell>
          <cell r="N36">
            <v>0</v>
          </cell>
          <cell r="O36">
            <v>0</v>
          </cell>
          <cell r="P36">
            <v>0</v>
          </cell>
          <cell r="Q36">
            <v>0</v>
          </cell>
        </row>
        <row r="37">
          <cell r="A37">
            <v>32111</v>
          </cell>
          <cell r="B37" t="str">
            <v>Hauling Revenue - Residential Composting</v>
          </cell>
          <cell r="E37">
            <v>0</v>
          </cell>
          <cell r="F37">
            <v>0</v>
          </cell>
          <cell r="G37">
            <v>0</v>
          </cell>
          <cell r="H37">
            <v>0</v>
          </cell>
          <cell r="I37">
            <v>0</v>
          </cell>
          <cell r="J37">
            <v>0</v>
          </cell>
          <cell r="K37">
            <v>0</v>
          </cell>
          <cell r="L37">
            <v>0</v>
          </cell>
          <cell r="M37">
            <v>0</v>
          </cell>
          <cell r="N37">
            <v>0</v>
          </cell>
          <cell r="O37">
            <v>0</v>
          </cell>
          <cell r="P37">
            <v>0</v>
          </cell>
          <cell r="Q37">
            <v>0</v>
          </cell>
        </row>
        <row r="38">
          <cell r="A38">
            <v>32112</v>
          </cell>
          <cell r="B38" t="str">
            <v>Hauling Revenue - Residential Composting</v>
          </cell>
          <cell r="E38">
            <v>0</v>
          </cell>
          <cell r="F38">
            <v>0</v>
          </cell>
          <cell r="G38">
            <v>0</v>
          </cell>
          <cell r="H38">
            <v>0</v>
          </cell>
          <cell r="I38">
            <v>0</v>
          </cell>
          <cell r="J38">
            <v>0</v>
          </cell>
          <cell r="K38">
            <v>0</v>
          </cell>
          <cell r="L38">
            <v>0</v>
          </cell>
          <cell r="M38">
            <v>0</v>
          </cell>
          <cell r="N38">
            <v>0</v>
          </cell>
          <cell r="O38">
            <v>0</v>
          </cell>
          <cell r="P38">
            <v>0</v>
          </cell>
          <cell r="Q38">
            <v>0</v>
          </cell>
        </row>
        <row r="39">
          <cell r="A39">
            <v>32113</v>
          </cell>
          <cell r="B39" t="str">
            <v>Hauling Revenue - Residential Composting</v>
          </cell>
          <cell r="E39">
            <v>0</v>
          </cell>
          <cell r="F39">
            <v>0</v>
          </cell>
          <cell r="G39">
            <v>0</v>
          </cell>
          <cell r="H39">
            <v>0</v>
          </cell>
          <cell r="I39">
            <v>0</v>
          </cell>
          <cell r="J39">
            <v>0</v>
          </cell>
          <cell r="K39">
            <v>0</v>
          </cell>
          <cell r="L39">
            <v>0</v>
          </cell>
          <cell r="M39">
            <v>0</v>
          </cell>
          <cell r="N39">
            <v>0</v>
          </cell>
          <cell r="O39">
            <v>0</v>
          </cell>
          <cell r="P39">
            <v>0</v>
          </cell>
          <cell r="Q39">
            <v>0</v>
          </cell>
        </row>
        <row r="40">
          <cell r="A40">
            <v>32119</v>
          </cell>
          <cell r="B40" t="str">
            <v>Hauling Revenue - Residential Composting</v>
          </cell>
          <cell r="E40">
            <v>0</v>
          </cell>
          <cell r="F40">
            <v>0</v>
          </cell>
          <cell r="G40">
            <v>0</v>
          </cell>
          <cell r="H40">
            <v>0</v>
          </cell>
          <cell r="I40">
            <v>0</v>
          </cell>
          <cell r="J40">
            <v>0</v>
          </cell>
          <cell r="K40">
            <v>0</v>
          </cell>
          <cell r="L40">
            <v>0</v>
          </cell>
          <cell r="M40">
            <v>0</v>
          </cell>
          <cell r="N40">
            <v>0</v>
          </cell>
          <cell r="O40">
            <v>0</v>
          </cell>
          <cell r="P40">
            <v>0</v>
          </cell>
          <cell r="Q40">
            <v>0</v>
          </cell>
        </row>
        <row r="41">
          <cell r="A41">
            <v>33000</v>
          </cell>
          <cell r="B41" t="str">
            <v>Hauling Revenue - Commercial FEL</v>
          </cell>
          <cell r="E41">
            <v>414760.73</v>
          </cell>
          <cell r="F41">
            <v>412841.01</v>
          </cell>
          <cell r="G41">
            <v>416757.93</v>
          </cell>
          <cell r="H41">
            <v>417298.76</v>
          </cell>
          <cell r="I41">
            <v>417121.97</v>
          </cell>
          <cell r="J41">
            <v>421939.51</v>
          </cell>
          <cell r="K41">
            <v>420917.49</v>
          </cell>
          <cell r="L41">
            <v>425821.47</v>
          </cell>
          <cell r="M41">
            <v>424192</v>
          </cell>
          <cell r="N41">
            <v>415412.9</v>
          </cell>
          <cell r="O41">
            <v>413023.47</v>
          </cell>
          <cell r="P41">
            <v>411406.25</v>
          </cell>
          <cell r="Q41">
            <v>5011493.49</v>
          </cell>
        </row>
        <row r="42">
          <cell r="A42">
            <v>33001</v>
          </cell>
          <cell r="B42" t="str">
            <v>Hauling Revenue - Commercial FEL Extras</v>
          </cell>
          <cell r="E42">
            <v>16369.94</v>
          </cell>
          <cell r="F42">
            <v>15223.46</v>
          </cell>
          <cell r="G42">
            <v>18054.59</v>
          </cell>
          <cell r="H42">
            <v>17483.330000000002</v>
          </cell>
          <cell r="I42">
            <v>19168.46</v>
          </cell>
          <cell r="J42">
            <v>18357.68</v>
          </cell>
          <cell r="K42">
            <v>21453.19</v>
          </cell>
          <cell r="L42">
            <v>22591.22</v>
          </cell>
          <cell r="M42">
            <v>16352.74</v>
          </cell>
          <cell r="N42">
            <v>17430.650000000001</v>
          </cell>
          <cell r="O42">
            <v>16278.67</v>
          </cell>
          <cell r="P42">
            <v>16972.88</v>
          </cell>
          <cell r="Q42">
            <v>215736.81</v>
          </cell>
        </row>
        <row r="43">
          <cell r="A43">
            <v>33002</v>
          </cell>
          <cell r="B43" t="str">
            <v>Hauling Revenue - Commercial FEL Adjustm</v>
          </cell>
          <cell r="E43">
            <v>0</v>
          </cell>
          <cell r="F43">
            <v>0</v>
          </cell>
          <cell r="G43">
            <v>0</v>
          </cell>
          <cell r="H43">
            <v>0</v>
          </cell>
          <cell r="I43">
            <v>0</v>
          </cell>
          <cell r="J43">
            <v>0</v>
          </cell>
          <cell r="K43">
            <v>0</v>
          </cell>
          <cell r="L43">
            <v>0</v>
          </cell>
          <cell r="M43">
            <v>0</v>
          </cell>
          <cell r="N43">
            <v>0</v>
          </cell>
          <cell r="O43">
            <v>0</v>
          </cell>
          <cell r="P43">
            <v>0</v>
          </cell>
          <cell r="Q43">
            <v>0</v>
          </cell>
        </row>
        <row r="44">
          <cell r="A44">
            <v>33009</v>
          </cell>
          <cell r="B44" t="str">
            <v>Hauling Revenue - Commercial FEL Interco</v>
          </cell>
          <cell r="E44">
            <v>0</v>
          </cell>
          <cell r="F44">
            <v>0</v>
          </cell>
          <cell r="G44">
            <v>0</v>
          </cell>
          <cell r="H44">
            <v>0</v>
          </cell>
          <cell r="I44">
            <v>0</v>
          </cell>
          <cell r="J44">
            <v>0</v>
          </cell>
          <cell r="K44">
            <v>0</v>
          </cell>
          <cell r="L44">
            <v>0</v>
          </cell>
          <cell r="M44">
            <v>0</v>
          </cell>
          <cell r="N44">
            <v>0</v>
          </cell>
          <cell r="O44">
            <v>0</v>
          </cell>
          <cell r="P44">
            <v>0</v>
          </cell>
          <cell r="Q44">
            <v>0</v>
          </cell>
        </row>
        <row r="45">
          <cell r="A45">
            <v>33010</v>
          </cell>
          <cell r="B45" t="str">
            <v>Hauling Revenue - Commercial REL</v>
          </cell>
          <cell r="E45">
            <v>0</v>
          </cell>
          <cell r="F45">
            <v>0</v>
          </cell>
          <cell r="G45">
            <v>0</v>
          </cell>
          <cell r="H45">
            <v>0</v>
          </cell>
          <cell r="I45">
            <v>0</v>
          </cell>
          <cell r="J45">
            <v>0</v>
          </cell>
          <cell r="K45">
            <v>0</v>
          </cell>
          <cell r="L45">
            <v>0</v>
          </cell>
          <cell r="M45">
            <v>0</v>
          </cell>
          <cell r="N45">
            <v>0</v>
          </cell>
          <cell r="O45">
            <v>0</v>
          </cell>
          <cell r="P45">
            <v>0</v>
          </cell>
          <cell r="Q45">
            <v>0</v>
          </cell>
        </row>
        <row r="46">
          <cell r="A46">
            <v>33011</v>
          </cell>
          <cell r="B46" t="str">
            <v>Hauling Revenue - Commercial REL Extras</v>
          </cell>
          <cell r="E46">
            <v>0</v>
          </cell>
          <cell r="F46">
            <v>0</v>
          </cell>
          <cell r="G46">
            <v>0</v>
          </cell>
          <cell r="H46">
            <v>0</v>
          </cell>
          <cell r="I46">
            <v>0</v>
          </cell>
          <cell r="J46">
            <v>0</v>
          </cell>
          <cell r="K46">
            <v>0</v>
          </cell>
          <cell r="L46">
            <v>0</v>
          </cell>
          <cell r="M46">
            <v>0</v>
          </cell>
          <cell r="N46">
            <v>0</v>
          </cell>
          <cell r="O46">
            <v>0</v>
          </cell>
          <cell r="P46">
            <v>0</v>
          </cell>
          <cell r="Q46">
            <v>0</v>
          </cell>
        </row>
        <row r="47">
          <cell r="A47">
            <v>33012</v>
          </cell>
          <cell r="B47" t="str">
            <v>Hauling Revenue - Commercial REL Adjustm</v>
          </cell>
          <cell r="E47">
            <v>0</v>
          </cell>
          <cell r="F47">
            <v>0</v>
          </cell>
          <cell r="G47">
            <v>0</v>
          </cell>
          <cell r="H47">
            <v>0</v>
          </cell>
          <cell r="I47">
            <v>0</v>
          </cell>
          <cell r="J47">
            <v>0</v>
          </cell>
          <cell r="K47">
            <v>0</v>
          </cell>
          <cell r="L47">
            <v>0</v>
          </cell>
          <cell r="M47">
            <v>0</v>
          </cell>
          <cell r="N47">
            <v>0</v>
          </cell>
          <cell r="O47">
            <v>0</v>
          </cell>
          <cell r="P47">
            <v>0</v>
          </cell>
          <cell r="Q47">
            <v>0</v>
          </cell>
        </row>
        <row r="48">
          <cell r="A48">
            <v>33019</v>
          </cell>
          <cell r="B48" t="str">
            <v>Hauling Revenue - Commercial REL Interco</v>
          </cell>
          <cell r="E48">
            <v>0</v>
          </cell>
          <cell r="F48">
            <v>0</v>
          </cell>
          <cell r="G48">
            <v>0</v>
          </cell>
          <cell r="H48">
            <v>0</v>
          </cell>
          <cell r="I48">
            <v>0</v>
          </cell>
          <cell r="J48">
            <v>0</v>
          </cell>
          <cell r="K48">
            <v>0</v>
          </cell>
          <cell r="L48">
            <v>0</v>
          </cell>
          <cell r="M48">
            <v>0</v>
          </cell>
          <cell r="N48">
            <v>0</v>
          </cell>
          <cell r="O48">
            <v>0</v>
          </cell>
          <cell r="P48">
            <v>0</v>
          </cell>
          <cell r="Q48">
            <v>0</v>
          </cell>
        </row>
        <row r="49">
          <cell r="A49">
            <v>33020</v>
          </cell>
          <cell r="B49" t="str">
            <v>Hauling Revenue - Commercial Recycling F</v>
          </cell>
          <cell r="E49">
            <v>0</v>
          </cell>
          <cell r="F49">
            <v>0</v>
          </cell>
          <cell r="G49">
            <v>0</v>
          </cell>
          <cell r="H49">
            <v>0</v>
          </cell>
          <cell r="I49">
            <v>0</v>
          </cell>
          <cell r="J49">
            <v>0</v>
          </cell>
          <cell r="K49">
            <v>0</v>
          </cell>
          <cell r="L49">
            <v>0</v>
          </cell>
          <cell r="M49">
            <v>0</v>
          </cell>
          <cell r="N49">
            <v>0</v>
          </cell>
          <cell r="O49">
            <v>0</v>
          </cell>
          <cell r="P49">
            <v>0</v>
          </cell>
          <cell r="Q49">
            <v>0</v>
          </cell>
        </row>
        <row r="50">
          <cell r="A50">
            <v>33021</v>
          </cell>
          <cell r="B50" t="str">
            <v>Hauling Revenue - Commercial Recycling F</v>
          </cell>
          <cell r="E50">
            <v>0</v>
          </cell>
          <cell r="F50">
            <v>0</v>
          </cell>
          <cell r="G50">
            <v>0</v>
          </cell>
          <cell r="H50">
            <v>0</v>
          </cell>
          <cell r="I50">
            <v>0</v>
          </cell>
          <cell r="J50">
            <v>0</v>
          </cell>
          <cell r="K50">
            <v>0</v>
          </cell>
          <cell r="L50">
            <v>0</v>
          </cell>
          <cell r="M50">
            <v>0</v>
          </cell>
          <cell r="N50">
            <v>0</v>
          </cell>
          <cell r="O50">
            <v>0</v>
          </cell>
          <cell r="P50">
            <v>0</v>
          </cell>
          <cell r="Q50">
            <v>0</v>
          </cell>
        </row>
        <row r="51">
          <cell r="A51">
            <v>33022</v>
          </cell>
          <cell r="B51" t="str">
            <v>Hauling Revenue - Commercial Recycling F</v>
          </cell>
          <cell r="E51">
            <v>0</v>
          </cell>
          <cell r="F51">
            <v>0</v>
          </cell>
          <cell r="G51">
            <v>0</v>
          </cell>
          <cell r="H51">
            <v>0</v>
          </cell>
          <cell r="I51">
            <v>0</v>
          </cell>
          <cell r="J51">
            <v>0</v>
          </cell>
          <cell r="K51">
            <v>0</v>
          </cell>
          <cell r="L51">
            <v>0</v>
          </cell>
          <cell r="M51">
            <v>0</v>
          </cell>
          <cell r="N51">
            <v>0</v>
          </cell>
          <cell r="O51">
            <v>0</v>
          </cell>
          <cell r="P51">
            <v>0</v>
          </cell>
          <cell r="Q51">
            <v>0</v>
          </cell>
        </row>
        <row r="52">
          <cell r="A52">
            <v>33029</v>
          </cell>
          <cell r="B52" t="str">
            <v>Hauling Revenue - Commercial Recycling F</v>
          </cell>
          <cell r="E52">
            <v>0</v>
          </cell>
          <cell r="F52">
            <v>0</v>
          </cell>
          <cell r="G52">
            <v>0</v>
          </cell>
          <cell r="H52">
            <v>0</v>
          </cell>
          <cell r="I52">
            <v>0</v>
          </cell>
          <cell r="J52">
            <v>0</v>
          </cell>
          <cell r="K52">
            <v>0</v>
          </cell>
          <cell r="L52">
            <v>0</v>
          </cell>
          <cell r="M52">
            <v>0</v>
          </cell>
          <cell r="N52">
            <v>0</v>
          </cell>
          <cell r="O52">
            <v>0</v>
          </cell>
          <cell r="P52">
            <v>0</v>
          </cell>
          <cell r="Q52">
            <v>0</v>
          </cell>
        </row>
        <row r="53">
          <cell r="A53">
            <v>33030</v>
          </cell>
          <cell r="B53" t="str">
            <v>Hauling Revenue - Commercial Recycling R</v>
          </cell>
          <cell r="E53">
            <v>0</v>
          </cell>
          <cell r="F53">
            <v>0</v>
          </cell>
          <cell r="G53">
            <v>0</v>
          </cell>
          <cell r="H53">
            <v>0</v>
          </cell>
          <cell r="I53">
            <v>0</v>
          </cell>
          <cell r="J53">
            <v>0</v>
          </cell>
          <cell r="K53">
            <v>0</v>
          </cell>
          <cell r="L53">
            <v>0</v>
          </cell>
          <cell r="M53">
            <v>0</v>
          </cell>
          <cell r="N53">
            <v>0</v>
          </cell>
          <cell r="O53">
            <v>0</v>
          </cell>
          <cell r="P53">
            <v>0</v>
          </cell>
          <cell r="Q53">
            <v>0</v>
          </cell>
        </row>
        <row r="54">
          <cell r="A54">
            <v>33031</v>
          </cell>
          <cell r="B54" t="str">
            <v>Hauling Revenue - Commercial Recycling R</v>
          </cell>
          <cell r="E54">
            <v>0</v>
          </cell>
          <cell r="F54">
            <v>0</v>
          </cell>
          <cell r="G54">
            <v>0</v>
          </cell>
          <cell r="H54">
            <v>0</v>
          </cell>
          <cell r="I54">
            <v>0</v>
          </cell>
          <cell r="J54">
            <v>0</v>
          </cell>
          <cell r="K54">
            <v>0</v>
          </cell>
          <cell r="L54">
            <v>0</v>
          </cell>
          <cell r="M54">
            <v>0</v>
          </cell>
          <cell r="N54">
            <v>0</v>
          </cell>
          <cell r="O54">
            <v>0</v>
          </cell>
          <cell r="P54">
            <v>0</v>
          </cell>
          <cell r="Q54">
            <v>0</v>
          </cell>
        </row>
        <row r="55">
          <cell r="A55">
            <v>33032</v>
          </cell>
          <cell r="B55" t="str">
            <v>Hauling Revenue - Commercial Recycling R</v>
          </cell>
          <cell r="E55">
            <v>0</v>
          </cell>
          <cell r="F55">
            <v>0</v>
          </cell>
          <cell r="G55">
            <v>0</v>
          </cell>
          <cell r="H55">
            <v>0</v>
          </cell>
          <cell r="I55">
            <v>0</v>
          </cell>
          <cell r="J55">
            <v>0</v>
          </cell>
          <cell r="K55">
            <v>0</v>
          </cell>
          <cell r="L55">
            <v>0</v>
          </cell>
          <cell r="M55">
            <v>0</v>
          </cell>
          <cell r="N55">
            <v>0</v>
          </cell>
          <cell r="O55">
            <v>0</v>
          </cell>
          <cell r="P55">
            <v>0</v>
          </cell>
          <cell r="Q55">
            <v>0</v>
          </cell>
        </row>
        <row r="56">
          <cell r="A56">
            <v>33039</v>
          </cell>
          <cell r="B56" t="str">
            <v>Hauling Revenue - Commercial Recycling R</v>
          </cell>
          <cell r="E56">
            <v>0</v>
          </cell>
          <cell r="F56">
            <v>0</v>
          </cell>
          <cell r="G56">
            <v>0</v>
          </cell>
          <cell r="H56">
            <v>0</v>
          </cell>
          <cell r="I56">
            <v>0</v>
          </cell>
          <cell r="J56">
            <v>0</v>
          </cell>
          <cell r="K56">
            <v>0</v>
          </cell>
          <cell r="L56">
            <v>0</v>
          </cell>
          <cell r="M56">
            <v>0</v>
          </cell>
          <cell r="N56">
            <v>0</v>
          </cell>
          <cell r="O56">
            <v>0</v>
          </cell>
          <cell r="P56">
            <v>0</v>
          </cell>
          <cell r="Q56">
            <v>0</v>
          </cell>
        </row>
        <row r="57">
          <cell r="A57">
            <v>33500</v>
          </cell>
          <cell r="B57" t="str">
            <v>Portable Toilet Revenue</v>
          </cell>
          <cell r="E57">
            <v>0</v>
          </cell>
          <cell r="F57">
            <v>0</v>
          </cell>
          <cell r="G57">
            <v>0</v>
          </cell>
          <cell r="H57">
            <v>0</v>
          </cell>
          <cell r="I57">
            <v>0</v>
          </cell>
          <cell r="J57">
            <v>0</v>
          </cell>
          <cell r="K57">
            <v>0</v>
          </cell>
          <cell r="L57">
            <v>0</v>
          </cell>
          <cell r="M57">
            <v>0</v>
          </cell>
          <cell r="N57">
            <v>0</v>
          </cell>
          <cell r="O57">
            <v>0</v>
          </cell>
          <cell r="P57">
            <v>0</v>
          </cell>
          <cell r="Q57">
            <v>0</v>
          </cell>
        </row>
        <row r="58">
          <cell r="A58">
            <v>33501</v>
          </cell>
          <cell r="B58" t="str">
            <v>Portable Toilet Extras</v>
          </cell>
          <cell r="E58">
            <v>0</v>
          </cell>
          <cell r="F58">
            <v>0</v>
          </cell>
          <cell r="G58">
            <v>0</v>
          </cell>
          <cell r="H58">
            <v>0</v>
          </cell>
          <cell r="I58">
            <v>0</v>
          </cell>
          <cell r="J58">
            <v>0</v>
          </cell>
          <cell r="K58">
            <v>0</v>
          </cell>
          <cell r="L58">
            <v>0</v>
          </cell>
          <cell r="M58">
            <v>0</v>
          </cell>
          <cell r="N58">
            <v>0</v>
          </cell>
          <cell r="O58">
            <v>0</v>
          </cell>
          <cell r="P58">
            <v>0</v>
          </cell>
          <cell r="Q58">
            <v>0</v>
          </cell>
        </row>
        <row r="59">
          <cell r="A59">
            <v>33502</v>
          </cell>
          <cell r="B59" t="str">
            <v>Portable Toilet Adjustments</v>
          </cell>
          <cell r="E59">
            <v>0</v>
          </cell>
          <cell r="F59">
            <v>0</v>
          </cell>
          <cell r="G59">
            <v>0</v>
          </cell>
          <cell r="H59">
            <v>0</v>
          </cell>
          <cell r="I59">
            <v>0</v>
          </cell>
          <cell r="J59">
            <v>0</v>
          </cell>
          <cell r="K59">
            <v>0</v>
          </cell>
          <cell r="L59">
            <v>0</v>
          </cell>
          <cell r="M59">
            <v>0</v>
          </cell>
          <cell r="N59">
            <v>0</v>
          </cell>
          <cell r="O59">
            <v>0</v>
          </cell>
          <cell r="P59">
            <v>0</v>
          </cell>
          <cell r="Q59">
            <v>0</v>
          </cell>
        </row>
        <row r="60">
          <cell r="A60">
            <v>33509</v>
          </cell>
          <cell r="B60" t="str">
            <v>Portable Toilet Intercompany</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Total Hauling</v>
          </cell>
          <cell r="E61">
            <v>1386073.49</v>
          </cell>
          <cell r="F61">
            <v>1372277.94</v>
          </cell>
          <cell r="G61">
            <v>1406346.48</v>
          </cell>
          <cell r="H61">
            <v>1411911.56</v>
          </cell>
          <cell r="I61">
            <v>1416201.0699999998</v>
          </cell>
          <cell r="J61">
            <v>1459490.68</v>
          </cell>
          <cell r="K61">
            <v>1462503.71</v>
          </cell>
          <cell r="L61">
            <v>1483897.43</v>
          </cell>
          <cell r="M61">
            <v>1457942.84</v>
          </cell>
          <cell r="N61">
            <v>1412161.3899999997</v>
          </cell>
          <cell r="O61">
            <v>1377199.56</v>
          </cell>
          <cell r="P61">
            <v>1412687.2399999998</v>
          </cell>
          <cell r="Q61">
            <v>17058693.389999997</v>
          </cell>
        </row>
        <row r="63">
          <cell r="A63" t="str">
            <v>Transfer</v>
          </cell>
        </row>
        <row r="64">
          <cell r="A64">
            <v>35000</v>
          </cell>
          <cell r="B64" t="str">
            <v>Transfer Station - Third Party</v>
          </cell>
          <cell r="E64">
            <v>0</v>
          </cell>
          <cell r="F64">
            <v>0</v>
          </cell>
          <cell r="G64">
            <v>0</v>
          </cell>
          <cell r="H64">
            <v>0</v>
          </cell>
          <cell r="I64">
            <v>0</v>
          </cell>
          <cell r="J64">
            <v>0</v>
          </cell>
          <cell r="K64">
            <v>0</v>
          </cell>
          <cell r="L64">
            <v>0</v>
          </cell>
          <cell r="M64">
            <v>0</v>
          </cell>
          <cell r="N64">
            <v>0</v>
          </cell>
          <cell r="O64">
            <v>0</v>
          </cell>
          <cell r="P64">
            <v>0</v>
          </cell>
          <cell r="Q64">
            <v>0</v>
          </cell>
        </row>
        <row r="65">
          <cell r="A65">
            <v>35001</v>
          </cell>
          <cell r="B65" t="str">
            <v>Transfer Station - Third Party Adjustmen</v>
          </cell>
          <cell r="E65">
            <v>0</v>
          </cell>
          <cell r="F65">
            <v>0</v>
          </cell>
          <cell r="G65">
            <v>0</v>
          </cell>
          <cell r="H65">
            <v>0</v>
          </cell>
          <cell r="I65">
            <v>0</v>
          </cell>
          <cell r="J65">
            <v>0</v>
          </cell>
          <cell r="K65">
            <v>0</v>
          </cell>
          <cell r="L65">
            <v>0</v>
          </cell>
          <cell r="M65">
            <v>0</v>
          </cell>
          <cell r="N65">
            <v>0</v>
          </cell>
          <cell r="O65">
            <v>0</v>
          </cell>
          <cell r="P65">
            <v>0</v>
          </cell>
          <cell r="Q65">
            <v>0</v>
          </cell>
        </row>
        <row r="66">
          <cell r="A66">
            <v>35009</v>
          </cell>
          <cell r="B66" t="str">
            <v>Transfer Station - Intercompany</v>
          </cell>
          <cell r="E66">
            <v>0</v>
          </cell>
          <cell r="F66">
            <v>0</v>
          </cell>
          <cell r="G66">
            <v>0</v>
          </cell>
          <cell r="H66">
            <v>0</v>
          </cell>
          <cell r="I66">
            <v>0</v>
          </cell>
          <cell r="J66">
            <v>0</v>
          </cell>
          <cell r="K66">
            <v>0</v>
          </cell>
          <cell r="L66">
            <v>0</v>
          </cell>
          <cell r="M66">
            <v>0</v>
          </cell>
          <cell r="N66">
            <v>0</v>
          </cell>
          <cell r="O66">
            <v>0</v>
          </cell>
          <cell r="P66">
            <v>0</v>
          </cell>
          <cell r="Q66">
            <v>0</v>
          </cell>
        </row>
        <row r="67">
          <cell r="A67">
            <v>35500</v>
          </cell>
          <cell r="B67" t="str">
            <v>MRF Processing Charge</v>
          </cell>
          <cell r="E67">
            <v>0</v>
          </cell>
          <cell r="F67">
            <v>0</v>
          </cell>
          <cell r="G67">
            <v>0</v>
          </cell>
          <cell r="H67">
            <v>0</v>
          </cell>
          <cell r="I67">
            <v>0</v>
          </cell>
          <cell r="J67">
            <v>0</v>
          </cell>
          <cell r="K67">
            <v>0</v>
          </cell>
          <cell r="L67">
            <v>0</v>
          </cell>
          <cell r="M67">
            <v>0</v>
          </cell>
          <cell r="N67">
            <v>0</v>
          </cell>
          <cell r="O67">
            <v>0</v>
          </cell>
          <cell r="P67">
            <v>0</v>
          </cell>
          <cell r="Q67">
            <v>0</v>
          </cell>
        </row>
        <row r="68">
          <cell r="A68">
            <v>35501</v>
          </cell>
          <cell r="B68" t="str">
            <v>MRF Processing Charge Adjustments</v>
          </cell>
          <cell r="E68">
            <v>0</v>
          </cell>
          <cell r="F68">
            <v>0</v>
          </cell>
          <cell r="G68">
            <v>0</v>
          </cell>
          <cell r="H68">
            <v>0</v>
          </cell>
          <cell r="I68">
            <v>0</v>
          </cell>
          <cell r="J68">
            <v>0</v>
          </cell>
          <cell r="K68">
            <v>0</v>
          </cell>
          <cell r="L68">
            <v>0</v>
          </cell>
          <cell r="M68">
            <v>0</v>
          </cell>
          <cell r="N68">
            <v>0</v>
          </cell>
          <cell r="O68">
            <v>0</v>
          </cell>
          <cell r="P68">
            <v>0</v>
          </cell>
          <cell r="Q68">
            <v>0</v>
          </cell>
        </row>
        <row r="69">
          <cell r="A69">
            <v>35509</v>
          </cell>
          <cell r="B69" t="str">
            <v>MRF Processing Charge Intercompany</v>
          </cell>
          <cell r="E69">
            <v>0</v>
          </cell>
          <cell r="F69">
            <v>0</v>
          </cell>
          <cell r="G69">
            <v>0</v>
          </cell>
          <cell r="H69">
            <v>0</v>
          </cell>
          <cell r="I69">
            <v>0</v>
          </cell>
          <cell r="J69">
            <v>0</v>
          </cell>
          <cell r="K69">
            <v>0</v>
          </cell>
          <cell r="L69">
            <v>0</v>
          </cell>
          <cell r="M69">
            <v>0</v>
          </cell>
          <cell r="N69">
            <v>0</v>
          </cell>
          <cell r="O69">
            <v>0</v>
          </cell>
          <cell r="P69">
            <v>0</v>
          </cell>
          <cell r="Q69">
            <v>0</v>
          </cell>
        </row>
        <row r="70">
          <cell r="A70" t="str">
            <v>Total Transfer</v>
          </cell>
          <cell r="E70">
            <v>0</v>
          </cell>
          <cell r="F70">
            <v>0</v>
          </cell>
          <cell r="G70">
            <v>0</v>
          </cell>
          <cell r="H70">
            <v>0</v>
          </cell>
          <cell r="I70">
            <v>0</v>
          </cell>
          <cell r="J70">
            <v>0</v>
          </cell>
          <cell r="K70">
            <v>0</v>
          </cell>
          <cell r="L70">
            <v>0</v>
          </cell>
          <cell r="M70">
            <v>0</v>
          </cell>
          <cell r="N70">
            <v>0</v>
          </cell>
          <cell r="O70">
            <v>0</v>
          </cell>
          <cell r="P70">
            <v>0</v>
          </cell>
          <cell r="Q70">
            <v>0</v>
          </cell>
        </row>
        <row r="72">
          <cell r="A72" t="str">
            <v>MRF</v>
          </cell>
        </row>
        <row r="73">
          <cell r="A73">
            <v>35510</v>
          </cell>
          <cell r="B73" t="str">
            <v>Proceeds - OCC</v>
          </cell>
          <cell r="E73">
            <v>0</v>
          </cell>
          <cell r="F73">
            <v>0</v>
          </cell>
          <cell r="G73">
            <v>0</v>
          </cell>
          <cell r="H73">
            <v>0</v>
          </cell>
          <cell r="I73">
            <v>0</v>
          </cell>
          <cell r="J73">
            <v>0</v>
          </cell>
          <cell r="K73">
            <v>0</v>
          </cell>
          <cell r="L73">
            <v>0</v>
          </cell>
          <cell r="M73">
            <v>0</v>
          </cell>
          <cell r="N73">
            <v>0</v>
          </cell>
          <cell r="O73">
            <v>0</v>
          </cell>
          <cell r="P73">
            <v>0</v>
          </cell>
          <cell r="Q73">
            <v>0</v>
          </cell>
        </row>
        <row r="74">
          <cell r="A74">
            <v>35511</v>
          </cell>
          <cell r="B74" t="str">
            <v>Proceeds - ONP</v>
          </cell>
          <cell r="E74">
            <v>0</v>
          </cell>
          <cell r="F74">
            <v>0</v>
          </cell>
          <cell r="G74">
            <v>0</v>
          </cell>
          <cell r="H74">
            <v>0</v>
          </cell>
          <cell r="I74">
            <v>0</v>
          </cell>
          <cell r="J74">
            <v>0</v>
          </cell>
          <cell r="K74">
            <v>0</v>
          </cell>
          <cell r="L74">
            <v>0</v>
          </cell>
          <cell r="M74">
            <v>0</v>
          </cell>
          <cell r="N74">
            <v>0</v>
          </cell>
          <cell r="O74">
            <v>0</v>
          </cell>
          <cell r="P74">
            <v>0</v>
          </cell>
          <cell r="Q74">
            <v>0</v>
          </cell>
        </row>
        <row r="75">
          <cell r="A75">
            <v>35512</v>
          </cell>
          <cell r="B75" t="str">
            <v>Proceeds - Other Paper</v>
          </cell>
          <cell r="E75">
            <v>0</v>
          </cell>
          <cell r="F75">
            <v>0</v>
          </cell>
          <cell r="G75">
            <v>0</v>
          </cell>
          <cell r="H75">
            <v>0</v>
          </cell>
          <cell r="I75">
            <v>0</v>
          </cell>
          <cell r="J75">
            <v>0</v>
          </cell>
          <cell r="K75">
            <v>0</v>
          </cell>
          <cell r="L75">
            <v>0</v>
          </cell>
          <cell r="M75">
            <v>0</v>
          </cell>
          <cell r="N75">
            <v>0</v>
          </cell>
          <cell r="O75">
            <v>0</v>
          </cell>
          <cell r="P75">
            <v>0</v>
          </cell>
          <cell r="Q75">
            <v>0</v>
          </cell>
        </row>
        <row r="76">
          <cell r="A76">
            <v>35513</v>
          </cell>
          <cell r="B76" t="str">
            <v>Proceeds - Aluminum</v>
          </cell>
          <cell r="E76">
            <v>0</v>
          </cell>
          <cell r="F76">
            <v>0</v>
          </cell>
          <cell r="G76">
            <v>0</v>
          </cell>
          <cell r="H76">
            <v>0</v>
          </cell>
          <cell r="I76">
            <v>0</v>
          </cell>
          <cell r="J76">
            <v>0</v>
          </cell>
          <cell r="K76">
            <v>0</v>
          </cell>
          <cell r="L76">
            <v>0</v>
          </cell>
          <cell r="M76">
            <v>0</v>
          </cell>
          <cell r="N76">
            <v>0</v>
          </cell>
          <cell r="O76">
            <v>0</v>
          </cell>
          <cell r="P76">
            <v>0</v>
          </cell>
          <cell r="Q76">
            <v>0</v>
          </cell>
        </row>
        <row r="77">
          <cell r="A77">
            <v>35514</v>
          </cell>
          <cell r="B77" t="str">
            <v>Proceeds - Metal</v>
          </cell>
          <cell r="E77">
            <v>0</v>
          </cell>
          <cell r="F77">
            <v>0</v>
          </cell>
          <cell r="G77">
            <v>0</v>
          </cell>
          <cell r="H77">
            <v>0</v>
          </cell>
          <cell r="I77">
            <v>0</v>
          </cell>
          <cell r="J77">
            <v>0</v>
          </cell>
          <cell r="K77">
            <v>0</v>
          </cell>
          <cell r="L77">
            <v>0</v>
          </cell>
          <cell r="M77">
            <v>0</v>
          </cell>
          <cell r="N77">
            <v>0</v>
          </cell>
          <cell r="O77">
            <v>0</v>
          </cell>
          <cell r="P77">
            <v>0</v>
          </cell>
          <cell r="Q77">
            <v>0</v>
          </cell>
        </row>
        <row r="78">
          <cell r="A78">
            <v>35515</v>
          </cell>
          <cell r="B78" t="str">
            <v>Proceeds - Glass</v>
          </cell>
          <cell r="E78">
            <v>0</v>
          </cell>
          <cell r="F78">
            <v>0</v>
          </cell>
          <cell r="G78">
            <v>0</v>
          </cell>
          <cell r="H78">
            <v>0</v>
          </cell>
          <cell r="I78">
            <v>0</v>
          </cell>
          <cell r="J78">
            <v>0</v>
          </cell>
          <cell r="K78">
            <v>0</v>
          </cell>
          <cell r="L78">
            <v>0</v>
          </cell>
          <cell r="M78">
            <v>0</v>
          </cell>
          <cell r="N78">
            <v>0</v>
          </cell>
          <cell r="O78">
            <v>0</v>
          </cell>
          <cell r="P78">
            <v>0</v>
          </cell>
          <cell r="Q78">
            <v>0</v>
          </cell>
        </row>
        <row r="79">
          <cell r="A79">
            <v>35516</v>
          </cell>
          <cell r="B79" t="str">
            <v>Proceeds - Plastic</v>
          </cell>
          <cell r="E79">
            <v>0</v>
          </cell>
          <cell r="F79">
            <v>0</v>
          </cell>
          <cell r="G79">
            <v>0</v>
          </cell>
          <cell r="H79">
            <v>0</v>
          </cell>
          <cell r="I79">
            <v>0</v>
          </cell>
          <cell r="J79">
            <v>0</v>
          </cell>
          <cell r="K79">
            <v>0</v>
          </cell>
          <cell r="L79">
            <v>0</v>
          </cell>
          <cell r="M79">
            <v>0</v>
          </cell>
          <cell r="N79">
            <v>0</v>
          </cell>
          <cell r="O79">
            <v>0</v>
          </cell>
          <cell r="P79">
            <v>0</v>
          </cell>
          <cell r="Q79">
            <v>0</v>
          </cell>
        </row>
        <row r="80">
          <cell r="A80">
            <v>35517</v>
          </cell>
          <cell r="B80" t="str">
            <v>Proceeds - Other Recyclables</v>
          </cell>
          <cell r="E80">
            <v>0</v>
          </cell>
          <cell r="F80">
            <v>0</v>
          </cell>
          <cell r="G80">
            <v>0</v>
          </cell>
          <cell r="H80">
            <v>0</v>
          </cell>
          <cell r="I80">
            <v>0</v>
          </cell>
          <cell r="J80">
            <v>0</v>
          </cell>
          <cell r="K80">
            <v>0</v>
          </cell>
          <cell r="L80">
            <v>0</v>
          </cell>
          <cell r="M80">
            <v>0</v>
          </cell>
          <cell r="N80">
            <v>0</v>
          </cell>
          <cell r="O80">
            <v>0</v>
          </cell>
          <cell r="P80">
            <v>0</v>
          </cell>
          <cell r="Q80">
            <v>0</v>
          </cell>
        </row>
        <row r="81">
          <cell r="A81">
            <v>35518</v>
          </cell>
          <cell r="B81" t="str">
            <v>Proceeds - Commingled</v>
          </cell>
          <cell r="E81">
            <v>0</v>
          </cell>
          <cell r="F81">
            <v>0</v>
          </cell>
          <cell r="G81">
            <v>0</v>
          </cell>
          <cell r="H81">
            <v>0</v>
          </cell>
          <cell r="I81">
            <v>0</v>
          </cell>
          <cell r="J81">
            <v>0</v>
          </cell>
          <cell r="K81">
            <v>0</v>
          </cell>
          <cell r="L81">
            <v>0</v>
          </cell>
          <cell r="M81">
            <v>0</v>
          </cell>
          <cell r="N81">
            <v>0</v>
          </cell>
          <cell r="O81">
            <v>0</v>
          </cell>
          <cell r="P81">
            <v>0</v>
          </cell>
          <cell r="Q81">
            <v>0</v>
          </cell>
        </row>
        <row r="82">
          <cell r="A82">
            <v>35519</v>
          </cell>
          <cell r="B82" t="str">
            <v>Proceeds - Intercompany Material Sales</v>
          </cell>
          <cell r="E82">
            <v>0</v>
          </cell>
          <cell r="F82">
            <v>0</v>
          </cell>
          <cell r="G82">
            <v>0</v>
          </cell>
          <cell r="H82">
            <v>0</v>
          </cell>
          <cell r="I82">
            <v>0</v>
          </cell>
          <cell r="J82">
            <v>0</v>
          </cell>
          <cell r="K82">
            <v>0</v>
          </cell>
          <cell r="L82">
            <v>0</v>
          </cell>
          <cell r="M82">
            <v>0</v>
          </cell>
          <cell r="N82">
            <v>0</v>
          </cell>
          <cell r="O82">
            <v>0</v>
          </cell>
          <cell r="P82">
            <v>0</v>
          </cell>
          <cell r="Q82">
            <v>0</v>
          </cell>
        </row>
        <row r="83">
          <cell r="A83">
            <v>35520</v>
          </cell>
          <cell r="B83" t="str">
            <v>Support - OCC</v>
          </cell>
          <cell r="E83">
            <v>0</v>
          </cell>
          <cell r="F83">
            <v>0</v>
          </cell>
          <cell r="G83">
            <v>0</v>
          </cell>
          <cell r="H83">
            <v>0</v>
          </cell>
          <cell r="I83">
            <v>0</v>
          </cell>
          <cell r="J83">
            <v>0</v>
          </cell>
          <cell r="K83">
            <v>0</v>
          </cell>
          <cell r="L83">
            <v>0</v>
          </cell>
          <cell r="M83">
            <v>0</v>
          </cell>
          <cell r="N83">
            <v>0</v>
          </cell>
          <cell r="O83">
            <v>0</v>
          </cell>
          <cell r="P83">
            <v>0</v>
          </cell>
          <cell r="Q83">
            <v>0</v>
          </cell>
        </row>
        <row r="84">
          <cell r="A84">
            <v>35521</v>
          </cell>
          <cell r="B84" t="str">
            <v>Support - ONP</v>
          </cell>
          <cell r="E84">
            <v>0</v>
          </cell>
          <cell r="F84">
            <v>0</v>
          </cell>
          <cell r="G84">
            <v>0</v>
          </cell>
          <cell r="H84">
            <v>0</v>
          </cell>
          <cell r="I84">
            <v>0</v>
          </cell>
          <cell r="J84">
            <v>0</v>
          </cell>
          <cell r="K84">
            <v>0</v>
          </cell>
          <cell r="L84">
            <v>0</v>
          </cell>
          <cell r="M84">
            <v>0</v>
          </cell>
          <cell r="N84">
            <v>0</v>
          </cell>
          <cell r="O84">
            <v>0</v>
          </cell>
          <cell r="P84">
            <v>0</v>
          </cell>
          <cell r="Q84">
            <v>0</v>
          </cell>
        </row>
        <row r="85">
          <cell r="A85">
            <v>35522</v>
          </cell>
          <cell r="B85" t="str">
            <v>Support - Other Paper</v>
          </cell>
          <cell r="E85">
            <v>0</v>
          </cell>
          <cell r="F85">
            <v>0</v>
          </cell>
          <cell r="G85">
            <v>0</v>
          </cell>
          <cell r="H85">
            <v>0</v>
          </cell>
          <cell r="I85">
            <v>0</v>
          </cell>
          <cell r="J85">
            <v>0</v>
          </cell>
          <cell r="K85">
            <v>0</v>
          </cell>
          <cell r="L85">
            <v>0</v>
          </cell>
          <cell r="M85">
            <v>0</v>
          </cell>
          <cell r="N85">
            <v>0</v>
          </cell>
          <cell r="O85">
            <v>0</v>
          </cell>
          <cell r="P85">
            <v>0</v>
          </cell>
          <cell r="Q85">
            <v>0</v>
          </cell>
        </row>
        <row r="86">
          <cell r="A86">
            <v>35523</v>
          </cell>
          <cell r="B86" t="str">
            <v>Support - Aluminum</v>
          </cell>
          <cell r="E86">
            <v>0</v>
          </cell>
          <cell r="F86">
            <v>0</v>
          </cell>
          <cell r="G86">
            <v>0</v>
          </cell>
          <cell r="H86">
            <v>0</v>
          </cell>
          <cell r="I86">
            <v>0</v>
          </cell>
          <cell r="J86">
            <v>0</v>
          </cell>
          <cell r="K86">
            <v>0</v>
          </cell>
          <cell r="L86">
            <v>0</v>
          </cell>
          <cell r="M86">
            <v>0</v>
          </cell>
          <cell r="N86">
            <v>0</v>
          </cell>
          <cell r="O86">
            <v>0</v>
          </cell>
          <cell r="P86">
            <v>0</v>
          </cell>
          <cell r="Q86">
            <v>0</v>
          </cell>
        </row>
        <row r="87">
          <cell r="A87">
            <v>35524</v>
          </cell>
          <cell r="B87" t="str">
            <v>Support - Metal</v>
          </cell>
          <cell r="E87">
            <v>0</v>
          </cell>
          <cell r="F87">
            <v>0</v>
          </cell>
          <cell r="G87">
            <v>0</v>
          </cell>
          <cell r="H87">
            <v>0</v>
          </cell>
          <cell r="I87">
            <v>0</v>
          </cell>
          <cell r="J87">
            <v>0</v>
          </cell>
          <cell r="K87">
            <v>0</v>
          </cell>
          <cell r="L87">
            <v>0</v>
          </cell>
          <cell r="M87">
            <v>0</v>
          </cell>
          <cell r="N87">
            <v>0</v>
          </cell>
          <cell r="O87">
            <v>0</v>
          </cell>
          <cell r="P87">
            <v>0</v>
          </cell>
          <cell r="Q87">
            <v>0</v>
          </cell>
        </row>
        <row r="88">
          <cell r="A88">
            <v>35525</v>
          </cell>
          <cell r="B88" t="str">
            <v>Support - Glass</v>
          </cell>
          <cell r="E88">
            <v>0</v>
          </cell>
          <cell r="F88">
            <v>0</v>
          </cell>
          <cell r="G88">
            <v>0</v>
          </cell>
          <cell r="H88">
            <v>0</v>
          </cell>
          <cell r="I88">
            <v>0</v>
          </cell>
          <cell r="J88">
            <v>0</v>
          </cell>
          <cell r="K88">
            <v>0</v>
          </cell>
          <cell r="L88">
            <v>0</v>
          </cell>
          <cell r="M88">
            <v>0</v>
          </cell>
          <cell r="N88">
            <v>0</v>
          </cell>
          <cell r="O88">
            <v>0</v>
          </cell>
          <cell r="P88">
            <v>0</v>
          </cell>
          <cell r="Q88">
            <v>0</v>
          </cell>
        </row>
        <row r="89">
          <cell r="A89">
            <v>35526</v>
          </cell>
          <cell r="B89" t="str">
            <v>Support - Plastic</v>
          </cell>
          <cell r="E89">
            <v>0</v>
          </cell>
          <cell r="F89">
            <v>0</v>
          </cell>
          <cell r="G89">
            <v>0</v>
          </cell>
          <cell r="H89">
            <v>0</v>
          </cell>
          <cell r="I89">
            <v>0</v>
          </cell>
          <cell r="J89">
            <v>0</v>
          </cell>
          <cell r="K89">
            <v>0</v>
          </cell>
          <cell r="L89">
            <v>0</v>
          </cell>
          <cell r="M89">
            <v>0</v>
          </cell>
          <cell r="N89">
            <v>0</v>
          </cell>
          <cell r="O89">
            <v>0</v>
          </cell>
          <cell r="P89">
            <v>0</v>
          </cell>
          <cell r="Q89">
            <v>0</v>
          </cell>
        </row>
        <row r="90">
          <cell r="A90">
            <v>35527</v>
          </cell>
          <cell r="B90" t="str">
            <v>Support - Other Recyclables</v>
          </cell>
          <cell r="E90">
            <v>0</v>
          </cell>
          <cell r="F90">
            <v>0</v>
          </cell>
          <cell r="G90">
            <v>0</v>
          </cell>
          <cell r="H90">
            <v>0</v>
          </cell>
          <cell r="I90">
            <v>0</v>
          </cell>
          <cell r="J90">
            <v>0</v>
          </cell>
          <cell r="K90">
            <v>0</v>
          </cell>
          <cell r="L90">
            <v>0</v>
          </cell>
          <cell r="M90">
            <v>0</v>
          </cell>
          <cell r="N90">
            <v>0</v>
          </cell>
          <cell r="O90">
            <v>0</v>
          </cell>
          <cell r="P90">
            <v>0</v>
          </cell>
          <cell r="Q90">
            <v>0</v>
          </cell>
        </row>
        <row r="91">
          <cell r="A91">
            <v>35529</v>
          </cell>
          <cell r="B91" t="str">
            <v>Support - Intercompany Material Sales</v>
          </cell>
          <cell r="E91">
            <v>0</v>
          </cell>
          <cell r="F91">
            <v>0</v>
          </cell>
          <cell r="G91">
            <v>0</v>
          </cell>
          <cell r="H91">
            <v>0</v>
          </cell>
          <cell r="I91">
            <v>0</v>
          </cell>
          <cell r="J91">
            <v>0</v>
          </cell>
          <cell r="K91">
            <v>0</v>
          </cell>
          <cell r="L91">
            <v>0</v>
          </cell>
          <cell r="M91">
            <v>0</v>
          </cell>
          <cell r="N91">
            <v>0</v>
          </cell>
          <cell r="O91">
            <v>0</v>
          </cell>
          <cell r="P91">
            <v>0</v>
          </cell>
          <cell r="Q91">
            <v>0</v>
          </cell>
        </row>
        <row r="92">
          <cell r="A92">
            <v>35551</v>
          </cell>
          <cell r="B92" t="str">
            <v>Proceeds - Compost</v>
          </cell>
          <cell r="E92">
            <v>0</v>
          </cell>
          <cell r="F92">
            <v>0</v>
          </cell>
          <cell r="G92">
            <v>0</v>
          </cell>
          <cell r="H92">
            <v>0</v>
          </cell>
          <cell r="I92">
            <v>0</v>
          </cell>
          <cell r="J92">
            <v>0</v>
          </cell>
          <cell r="K92">
            <v>0</v>
          </cell>
          <cell r="L92">
            <v>0</v>
          </cell>
          <cell r="M92">
            <v>0</v>
          </cell>
          <cell r="N92">
            <v>0</v>
          </cell>
          <cell r="O92">
            <v>0</v>
          </cell>
          <cell r="P92">
            <v>0</v>
          </cell>
          <cell r="Q92">
            <v>0</v>
          </cell>
        </row>
        <row r="93">
          <cell r="A93">
            <v>35552</v>
          </cell>
          <cell r="B93" t="str">
            <v>Proceeds - Fuel</v>
          </cell>
          <cell r="E93">
            <v>0</v>
          </cell>
          <cell r="F93">
            <v>0</v>
          </cell>
          <cell r="G93">
            <v>0</v>
          </cell>
          <cell r="H93">
            <v>0</v>
          </cell>
          <cell r="I93">
            <v>0</v>
          </cell>
          <cell r="J93">
            <v>0</v>
          </cell>
          <cell r="K93">
            <v>0</v>
          </cell>
          <cell r="L93">
            <v>0</v>
          </cell>
          <cell r="M93">
            <v>0</v>
          </cell>
          <cell r="N93">
            <v>0</v>
          </cell>
          <cell r="O93">
            <v>0</v>
          </cell>
          <cell r="P93">
            <v>0</v>
          </cell>
          <cell r="Q93">
            <v>0</v>
          </cell>
        </row>
        <row r="94">
          <cell r="A94">
            <v>35553</v>
          </cell>
          <cell r="B94" t="str">
            <v>Proceeds - Landscape Materials</v>
          </cell>
          <cell r="E94">
            <v>0</v>
          </cell>
          <cell r="F94">
            <v>0</v>
          </cell>
          <cell r="G94">
            <v>0</v>
          </cell>
          <cell r="H94">
            <v>0</v>
          </cell>
          <cell r="I94">
            <v>0</v>
          </cell>
          <cell r="J94">
            <v>0</v>
          </cell>
          <cell r="K94">
            <v>0</v>
          </cell>
          <cell r="L94">
            <v>0</v>
          </cell>
          <cell r="M94">
            <v>0</v>
          </cell>
          <cell r="N94">
            <v>0</v>
          </cell>
          <cell r="O94">
            <v>0</v>
          </cell>
          <cell r="P94">
            <v>0</v>
          </cell>
          <cell r="Q94">
            <v>0</v>
          </cell>
        </row>
        <row r="95">
          <cell r="A95" t="str">
            <v>Total MRF</v>
          </cell>
          <cell r="E95">
            <v>0</v>
          </cell>
          <cell r="F95">
            <v>0</v>
          </cell>
          <cell r="G95">
            <v>0</v>
          </cell>
          <cell r="H95">
            <v>0</v>
          </cell>
          <cell r="I95">
            <v>0</v>
          </cell>
          <cell r="J95">
            <v>0</v>
          </cell>
          <cell r="K95">
            <v>0</v>
          </cell>
          <cell r="L95">
            <v>0</v>
          </cell>
          <cell r="M95">
            <v>0</v>
          </cell>
          <cell r="N95">
            <v>0</v>
          </cell>
          <cell r="O95">
            <v>0</v>
          </cell>
          <cell r="P95">
            <v>0</v>
          </cell>
          <cell r="Q95">
            <v>0</v>
          </cell>
        </row>
        <row r="97">
          <cell r="A97" t="str">
            <v>Landfill</v>
          </cell>
        </row>
        <row r="98">
          <cell r="A98">
            <v>36000</v>
          </cell>
          <cell r="B98" t="str">
            <v>Landfill Revenue - MSW</v>
          </cell>
          <cell r="E98">
            <v>0</v>
          </cell>
          <cell r="F98">
            <v>0</v>
          </cell>
          <cell r="G98">
            <v>0</v>
          </cell>
          <cell r="H98">
            <v>0</v>
          </cell>
          <cell r="I98">
            <v>0</v>
          </cell>
          <cell r="J98">
            <v>0</v>
          </cell>
          <cell r="K98">
            <v>0</v>
          </cell>
          <cell r="L98">
            <v>0</v>
          </cell>
          <cell r="M98">
            <v>0</v>
          </cell>
          <cell r="N98">
            <v>0</v>
          </cell>
          <cell r="O98">
            <v>0</v>
          </cell>
          <cell r="P98">
            <v>0</v>
          </cell>
          <cell r="Q98">
            <v>0</v>
          </cell>
        </row>
        <row r="99">
          <cell r="A99">
            <v>36001</v>
          </cell>
          <cell r="B99" t="str">
            <v>Landfill Revenue - MSW Adjustments</v>
          </cell>
          <cell r="E99">
            <v>0</v>
          </cell>
          <cell r="F99">
            <v>0</v>
          </cell>
          <cell r="G99">
            <v>0</v>
          </cell>
          <cell r="H99">
            <v>0</v>
          </cell>
          <cell r="I99">
            <v>0</v>
          </cell>
          <cell r="J99">
            <v>0</v>
          </cell>
          <cell r="K99">
            <v>0</v>
          </cell>
          <cell r="L99">
            <v>0</v>
          </cell>
          <cell r="M99">
            <v>0</v>
          </cell>
          <cell r="N99">
            <v>0</v>
          </cell>
          <cell r="O99">
            <v>0</v>
          </cell>
          <cell r="P99">
            <v>0</v>
          </cell>
          <cell r="Q99">
            <v>0</v>
          </cell>
        </row>
        <row r="100">
          <cell r="A100">
            <v>36002</v>
          </cell>
          <cell r="B100" t="str">
            <v>Landfill Revenue - Extras</v>
          </cell>
          <cell r="E100">
            <v>0</v>
          </cell>
          <cell r="F100">
            <v>0</v>
          </cell>
          <cell r="G100">
            <v>0</v>
          </cell>
          <cell r="H100">
            <v>0</v>
          </cell>
          <cell r="I100">
            <v>0</v>
          </cell>
          <cell r="J100">
            <v>0</v>
          </cell>
          <cell r="K100">
            <v>0</v>
          </cell>
          <cell r="L100">
            <v>0</v>
          </cell>
          <cell r="M100">
            <v>0</v>
          </cell>
          <cell r="N100">
            <v>0</v>
          </cell>
          <cell r="O100">
            <v>0</v>
          </cell>
          <cell r="P100">
            <v>0</v>
          </cell>
          <cell r="Q100">
            <v>0</v>
          </cell>
        </row>
        <row r="101">
          <cell r="A101">
            <v>36009</v>
          </cell>
          <cell r="B101" t="str">
            <v>Landfill Revenue - MSW Intercompany</v>
          </cell>
          <cell r="E101">
            <v>0</v>
          </cell>
          <cell r="F101">
            <v>0</v>
          </cell>
          <cell r="G101">
            <v>0</v>
          </cell>
          <cell r="H101">
            <v>0</v>
          </cell>
          <cell r="I101">
            <v>0</v>
          </cell>
          <cell r="J101">
            <v>0</v>
          </cell>
          <cell r="K101">
            <v>0</v>
          </cell>
          <cell r="L101">
            <v>0</v>
          </cell>
          <cell r="M101">
            <v>0</v>
          </cell>
          <cell r="N101">
            <v>0</v>
          </cell>
          <cell r="O101">
            <v>0</v>
          </cell>
          <cell r="P101">
            <v>0</v>
          </cell>
          <cell r="Q101">
            <v>0</v>
          </cell>
        </row>
        <row r="102">
          <cell r="A102">
            <v>36010</v>
          </cell>
          <cell r="B102" t="str">
            <v>Landfill Revenue - C&amp;D</v>
          </cell>
          <cell r="E102">
            <v>0</v>
          </cell>
          <cell r="F102">
            <v>0</v>
          </cell>
          <cell r="G102">
            <v>0</v>
          </cell>
          <cell r="H102">
            <v>0</v>
          </cell>
          <cell r="I102">
            <v>0</v>
          </cell>
          <cell r="J102">
            <v>0</v>
          </cell>
          <cell r="K102">
            <v>0</v>
          </cell>
          <cell r="L102">
            <v>0</v>
          </cell>
          <cell r="M102">
            <v>0</v>
          </cell>
          <cell r="N102">
            <v>0</v>
          </cell>
          <cell r="O102">
            <v>0</v>
          </cell>
          <cell r="P102">
            <v>0</v>
          </cell>
          <cell r="Q102">
            <v>0</v>
          </cell>
        </row>
        <row r="103">
          <cell r="A103">
            <v>36011</v>
          </cell>
          <cell r="B103" t="str">
            <v>Landfill Revenue - C&amp;D Adjustments</v>
          </cell>
          <cell r="E103">
            <v>0</v>
          </cell>
          <cell r="F103">
            <v>0</v>
          </cell>
          <cell r="G103">
            <v>0</v>
          </cell>
          <cell r="H103">
            <v>0</v>
          </cell>
          <cell r="I103">
            <v>0</v>
          </cell>
          <cell r="J103">
            <v>0</v>
          </cell>
          <cell r="K103">
            <v>0</v>
          </cell>
          <cell r="L103">
            <v>0</v>
          </cell>
          <cell r="M103">
            <v>0</v>
          </cell>
          <cell r="N103">
            <v>0</v>
          </cell>
          <cell r="O103">
            <v>0</v>
          </cell>
          <cell r="P103">
            <v>0</v>
          </cell>
          <cell r="Q103">
            <v>0</v>
          </cell>
        </row>
        <row r="104">
          <cell r="A104">
            <v>36019</v>
          </cell>
          <cell r="B104" t="str">
            <v>Landfill Revenue - C&amp;D Intercompany</v>
          </cell>
          <cell r="E104">
            <v>0</v>
          </cell>
          <cell r="F104">
            <v>0</v>
          </cell>
          <cell r="G104">
            <v>0</v>
          </cell>
          <cell r="H104">
            <v>0</v>
          </cell>
          <cell r="I104">
            <v>0</v>
          </cell>
          <cell r="J104">
            <v>0</v>
          </cell>
          <cell r="K104">
            <v>0</v>
          </cell>
          <cell r="L104">
            <v>0</v>
          </cell>
          <cell r="M104">
            <v>0</v>
          </cell>
          <cell r="N104">
            <v>0</v>
          </cell>
          <cell r="O104">
            <v>0</v>
          </cell>
          <cell r="P104">
            <v>0</v>
          </cell>
          <cell r="Q104">
            <v>0</v>
          </cell>
        </row>
        <row r="105">
          <cell r="A105">
            <v>36020</v>
          </cell>
          <cell r="B105" t="str">
            <v>Landfill Revenue - Special Waste</v>
          </cell>
          <cell r="E105">
            <v>0</v>
          </cell>
          <cell r="F105">
            <v>0</v>
          </cell>
          <cell r="G105">
            <v>0</v>
          </cell>
          <cell r="H105">
            <v>0</v>
          </cell>
          <cell r="I105">
            <v>0</v>
          </cell>
          <cell r="J105">
            <v>0</v>
          </cell>
          <cell r="K105">
            <v>0</v>
          </cell>
          <cell r="L105">
            <v>0</v>
          </cell>
          <cell r="M105">
            <v>0</v>
          </cell>
          <cell r="N105">
            <v>0</v>
          </cell>
          <cell r="O105">
            <v>0</v>
          </cell>
          <cell r="P105">
            <v>0</v>
          </cell>
          <cell r="Q105">
            <v>0</v>
          </cell>
        </row>
        <row r="106">
          <cell r="A106">
            <v>36021</v>
          </cell>
          <cell r="B106" t="str">
            <v>Landfill Revenue - Special Waste Adjustm</v>
          </cell>
          <cell r="E106">
            <v>0</v>
          </cell>
          <cell r="F106">
            <v>0</v>
          </cell>
          <cell r="G106">
            <v>0</v>
          </cell>
          <cell r="H106">
            <v>0</v>
          </cell>
          <cell r="I106">
            <v>0</v>
          </cell>
          <cell r="J106">
            <v>0</v>
          </cell>
          <cell r="K106">
            <v>0</v>
          </cell>
          <cell r="L106">
            <v>0</v>
          </cell>
          <cell r="M106">
            <v>0</v>
          </cell>
          <cell r="N106">
            <v>0</v>
          </cell>
          <cell r="O106">
            <v>0</v>
          </cell>
          <cell r="P106">
            <v>0</v>
          </cell>
          <cell r="Q106">
            <v>0</v>
          </cell>
        </row>
        <row r="107">
          <cell r="A107">
            <v>36029</v>
          </cell>
          <cell r="B107" t="str">
            <v>Landfill Revenue - Special Waste Interco</v>
          </cell>
          <cell r="E107">
            <v>0</v>
          </cell>
          <cell r="F107">
            <v>0</v>
          </cell>
          <cell r="G107">
            <v>0</v>
          </cell>
          <cell r="H107">
            <v>0</v>
          </cell>
          <cell r="I107">
            <v>0</v>
          </cell>
          <cell r="J107">
            <v>0</v>
          </cell>
          <cell r="K107">
            <v>0</v>
          </cell>
          <cell r="L107">
            <v>0</v>
          </cell>
          <cell r="M107">
            <v>0</v>
          </cell>
          <cell r="N107">
            <v>0</v>
          </cell>
          <cell r="O107">
            <v>0</v>
          </cell>
          <cell r="P107">
            <v>0</v>
          </cell>
          <cell r="Q107">
            <v>0</v>
          </cell>
        </row>
        <row r="108">
          <cell r="A108">
            <v>36030</v>
          </cell>
          <cell r="B108" t="str">
            <v>Landfill Revenue - Asbestos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A109">
            <v>36031</v>
          </cell>
          <cell r="B109" t="str">
            <v>Landfill Revenue - Asbestos Adjustments</v>
          </cell>
          <cell r="E109">
            <v>0</v>
          </cell>
          <cell r="F109">
            <v>0</v>
          </cell>
          <cell r="G109">
            <v>0</v>
          </cell>
          <cell r="H109">
            <v>0</v>
          </cell>
          <cell r="I109">
            <v>0</v>
          </cell>
          <cell r="J109">
            <v>0</v>
          </cell>
          <cell r="K109">
            <v>0</v>
          </cell>
          <cell r="L109">
            <v>0</v>
          </cell>
          <cell r="M109">
            <v>0</v>
          </cell>
          <cell r="N109">
            <v>0</v>
          </cell>
          <cell r="O109">
            <v>0</v>
          </cell>
          <cell r="P109">
            <v>0</v>
          </cell>
          <cell r="Q109">
            <v>0</v>
          </cell>
        </row>
        <row r="110">
          <cell r="A110">
            <v>36039</v>
          </cell>
          <cell r="B110" t="str">
            <v>Landfill Revenue - Asbestos Intercompany</v>
          </cell>
          <cell r="E110">
            <v>0</v>
          </cell>
          <cell r="F110">
            <v>0</v>
          </cell>
          <cell r="G110">
            <v>0</v>
          </cell>
          <cell r="H110">
            <v>0</v>
          </cell>
          <cell r="I110">
            <v>0</v>
          </cell>
          <cell r="J110">
            <v>0</v>
          </cell>
          <cell r="K110">
            <v>0</v>
          </cell>
          <cell r="L110">
            <v>0</v>
          </cell>
          <cell r="M110">
            <v>0</v>
          </cell>
          <cell r="N110">
            <v>0</v>
          </cell>
          <cell r="O110">
            <v>0</v>
          </cell>
          <cell r="P110">
            <v>0</v>
          </cell>
          <cell r="Q110">
            <v>0</v>
          </cell>
        </row>
        <row r="111">
          <cell r="A111">
            <v>36040</v>
          </cell>
          <cell r="B111" t="str">
            <v>Landfill Revenue - Contaminated Soil</v>
          </cell>
          <cell r="E111">
            <v>0</v>
          </cell>
          <cell r="F111">
            <v>0</v>
          </cell>
          <cell r="G111">
            <v>0</v>
          </cell>
          <cell r="H111">
            <v>0</v>
          </cell>
          <cell r="I111">
            <v>0</v>
          </cell>
          <cell r="J111">
            <v>0</v>
          </cell>
          <cell r="K111">
            <v>0</v>
          </cell>
          <cell r="L111">
            <v>0</v>
          </cell>
          <cell r="M111">
            <v>0</v>
          </cell>
          <cell r="N111">
            <v>0</v>
          </cell>
          <cell r="O111">
            <v>0</v>
          </cell>
          <cell r="P111">
            <v>0</v>
          </cell>
          <cell r="Q111">
            <v>0</v>
          </cell>
        </row>
        <row r="112">
          <cell r="A112">
            <v>36041</v>
          </cell>
          <cell r="B112" t="str">
            <v>Landfill Revenue - Contaminated Soil Adj</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A113">
            <v>36049</v>
          </cell>
          <cell r="B113" t="str">
            <v>Landfill Revenue - Contaminated Soil Int</v>
          </cell>
          <cell r="E113">
            <v>0</v>
          </cell>
          <cell r="F113">
            <v>0</v>
          </cell>
          <cell r="G113">
            <v>0</v>
          </cell>
          <cell r="H113">
            <v>0</v>
          </cell>
          <cell r="I113">
            <v>0</v>
          </cell>
          <cell r="J113">
            <v>0</v>
          </cell>
          <cell r="K113">
            <v>0</v>
          </cell>
          <cell r="L113">
            <v>0</v>
          </cell>
          <cell r="M113">
            <v>0</v>
          </cell>
          <cell r="N113">
            <v>0</v>
          </cell>
          <cell r="O113">
            <v>0</v>
          </cell>
          <cell r="P113">
            <v>0</v>
          </cell>
          <cell r="Q113">
            <v>0</v>
          </cell>
        </row>
        <row r="114">
          <cell r="A114">
            <v>36050</v>
          </cell>
          <cell r="B114" t="str">
            <v>Landfill Revenue - Yard Waste</v>
          </cell>
          <cell r="E114">
            <v>0</v>
          </cell>
          <cell r="F114">
            <v>0</v>
          </cell>
          <cell r="G114">
            <v>0</v>
          </cell>
          <cell r="H114">
            <v>0</v>
          </cell>
          <cell r="I114">
            <v>0</v>
          </cell>
          <cell r="J114">
            <v>0</v>
          </cell>
          <cell r="K114">
            <v>0</v>
          </cell>
          <cell r="L114">
            <v>0</v>
          </cell>
          <cell r="M114">
            <v>0</v>
          </cell>
          <cell r="N114">
            <v>0</v>
          </cell>
          <cell r="O114">
            <v>0</v>
          </cell>
          <cell r="P114">
            <v>0</v>
          </cell>
          <cell r="Q114">
            <v>0</v>
          </cell>
        </row>
        <row r="115">
          <cell r="A115">
            <v>36051</v>
          </cell>
          <cell r="B115" t="str">
            <v>Landfill Revenue - Yard Waste Adjustment</v>
          </cell>
          <cell r="E115">
            <v>0</v>
          </cell>
          <cell r="F115">
            <v>0</v>
          </cell>
          <cell r="G115">
            <v>0</v>
          </cell>
          <cell r="H115">
            <v>0</v>
          </cell>
          <cell r="I115">
            <v>0</v>
          </cell>
          <cell r="J115">
            <v>0</v>
          </cell>
          <cell r="K115">
            <v>0</v>
          </cell>
          <cell r="L115">
            <v>0</v>
          </cell>
          <cell r="M115">
            <v>0</v>
          </cell>
          <cell r="N115">
            <v>0</v>
          </cell>
          <cell r="O115">
            <v>0</v>
          </cell>
          <cell r="P115">
            <v>0</v>
          </cell>
          <cell r="Q115">
            <v>0</v>
          </cell>
        </row>
        <row r="116">
          <cell r="A116">
            <v>36059</v>
          </cell>
          <cell r="B116" t="str">
            <v>Landfill Revenue - Yard Waste Intercompa</v>
          </cell>
          <cell r="E116">
            <v>0</v>
          </cell>
          <cell r="F116">
            <v>0</v>
          </cell>
          <cell r="G116">
            <v>0</v>
          </cell>
          <cell r="H116">
            <v>0</v>
          </cell>
          <cell r="I116">
            <v>0</v>
          </cell>
          <cell r="J116">
            <v>0</v>
          </cell>
          <cell r="K116">
            <v>0</v>
          </cell>
          <cell r="L116">
            <v>0</v>
          </cell>
          <cell r="M116">
            <v>0</v>
          </cell>
          <cell r="N116">
            <v>0</v>
          </cell>
          <cell r="O116">
            <v>0</v>
          </cell>
          <cell r="P116">
            <v>0</v>
          </cell>
          <cell r="Q116">
            <v>0</v>
          </cell>
        </row>
        <row r="117">
          <cell r="A117">
            <v>36090</v>
          </cell>
          <cell r="B117" t="str">
            <v>Landfill Pass Through Revenue</v>
          </cell>
          <cell r="E117">
            <v>0</v>
          </cell>
          <cell r="F117">
            <v>0</v>
          </cell>
          <cell r="G117">
            <v>0</v>
          </cell>
          <cell r="H117">
            <v>0</v>
          </cell>
          <cell r="I117">
            <v>0</v>
          </cell>
          <cell r="J117">
            <v>0</v>
          </cell>
          <cell r="K117">
            <v>0</v>
          </cell>
          <cell r="L117">
            <v>0</v>
          </cell>
          <cell r="M117">
            <v>0</v>
          </cell>
          <cell r="N117">
            <v>0</v>
          </cell>
          <cell r="O117">
            <v>0</v>
          </cell>
          <cell r="P117">
            <v>0</v>
          </cell>
          <cell r="Q117">
            <v>0</v>
          </cell>
        </row>
        <row r="118">
          <cell r="A118">
            <v>36099</v>
          </cell>
          <cell r="B118" t="str">
            <v>Landfill Pass Through Revenue Intercompany</v>
          </cell>
          <cell r="E118">
            <v>0</v>
          </cell>
          <cell r="F118">
            <v>0</v>
          </cell>
          <cell r="G118">
            <v>0</v>
          </cell>
          <cell r="H118">
            <v>0</v>
          </cell>
          <cell r="I118">
            <v>0</v>
          </cell>
          <cell r="J118">
            <v>0</v>
          </cell>
          <cell r="K118">
            <v>0</v>
          </cell>
          <cell r="L118">
            <v>0</v>
          </cell>
          <cell r="M118">
            <v>0</v>
          </cell>
          <cell r="N118">
            <v>0</v>
          </cell>
          <cell r="O118">
            <v>0</v>
          </cell>
          <cell r="P118">
            <v>0</v>
          </cell>
          <cell r="Q118">
            <v>0</v>
          </cell>
        </row>
        <row r="119">
          <cell r="A119">
            <v>36301</v>
          </cell>
          <cell r="B119" t="str">
            <v>E&amp;P Liquids - Non Count Waste</v>
          </cell>
          <cell r="E119">
            <v>0</v>
          </cell>
          <cell r="F119">
            <v>0</v>
          </cell>
          <cell r="G119">
            <v>0</v>
          </cell>
          <cell r="H119">
            <v>0</v>
          </cell>
          <cell r="I119">
            <v>0</v>
          </cell>
          <cell r="J119">
            <v>0</v>
          </cell>
          <cell r="K119">
            <v>0</v>
          </cell>
          <cell r="L119">
            <v>0</v>
          </cell>
          <cell r="M119">
            <v>0</v>
          </cell>
          <cell r="N119">
            <v>0</v>
          </cell>
          <cell r="O119">
            <v>0</v>
          </cell>
          <cell r="P119">
            <v>0</v>
          </cell>
          <cell r="Q119">
            <v>0</v>
          </cell>
        </row>
        <row r="120">
          <cell r="A120">
            <v>36309</v>
          </cell>
          <cell r="B120" t="str">
            <v>E&amp;P Liquids - Non Count Waste Intercompany</v>
          </cell>
          <cell r="E120">
            <v>0</v>
          </cell>
          <cell r="F120">
            <v>0</v>
          </cell>
          <cell r="G120">
            <v>0</v>
          </cell>
          <cell r="H120">
            <v>0</v>
          </cell>
          <cell r="I120">
            <v>0</v>
          </cell>
          <cell r="J120">
            <v>0</v>
          </cell>
          <cell r="K120">
            <v>0</v>
          </cell>
          <cell r="L120">
            <v>0</v>
          </cell>
          <cell r="M120">
            <v>0</v>
          </cell>
          <cell r="N120">
            <v>0</v>
          </cell>
          <cell r="O120">
            <v>0</v>
          </cell>
          <cell r="P120">
            <v>0</v>
          </cell>
          <cell r="Q120">
            <v>0</v>
          </cell>
        </row>
        <row r="121">
          <cell r="A121">
            <v>36311</v>
          </cell>
          <cell r="B121" t="str">
            <v>E&amp;P Liquids - Count Waste</v>
          </cell>
          <cell r="E121">
            <v>0</v>
          </cell>
          <cell r="F121">
            <v>0</v>
          </cell>
          <cell r="G121">
            <v>0</v>
          </cell>
          <cell r="H121">
            <v>0</v>
          </cell>
          <cell r="I121">
            <v>0</v>
          </cell>
          <cell r="J121">
            <v>0</v>
          </cell>
          <cell r="K121">
            <v>0</v>
          </cell>
          <cell r="L121">
            <v>0</v>
          </cell>
          <cell r="M121">
            <v>0</v>
          </cell>
          <cell r="N121">
            <v>0</v>
          </cell>
          <cell r="O121">
            <v>0</v>
          </cell>
          <cell r="P121">
            <v>0</v>
          </cell>
          <cell r="Q121">
            <v>0</v>
          </cell>
        </row>
        <row r="122">
          <cell r="A122">
            <v>36319</v>
          </cell>
          <cell r="B122" t="str">
            <v>E&amp;P Liquids - Count Waste Intercompany</v>
          </cell>
          <cell r="E122">
            <v>0</v>
          </cell>
          <cell r="F122">
            <v>0</v>
          </cell>
          <cell r="G122">
            <v>0</v>
          </cell>
          <cell r="H122">
            <v>0</v>
          </cell>
          <cell r="I122">
            <v>0</v>
          </cell>
          <cell r="J122">
            <v>0</v>
          </cell>
          <cell r="K122">
            <v>0</v>
          </cell>
          <cell r="L122">
            <v>0</v>
          </cell>
          <cell r="M122">
            <v>0</v>
          </cell>
          <cell r="N122">
            <v>0</v>
          </cell>
          <cell r="O122">
            <v>0</v>
          </cell>
          <cell r="P122">
            <v>0</v>
          </cell>
          <cell r="Q122">
            <v>0</v>
          </cell>
        </row>
        <row r="123">
          <cell r="A123">
            <v>36321</v>
          </cell>
          <cell r="B123" t="str">
            <v>Other Liquids - Non E&amp;P</v>
          </cell>
          <cell r="E123">
            <v>0</v>
          </cell>
          <cell r="F123">
            <v>0</v>
          </cell>
          <cell r="G123">
            <v>0</v>
          </cell>
          <cell r="H123">
            <v>0</v>
          </cell>
          <cell r="I123">
            <v>0</v>
          </cell>
          <cell r="J123">
            <v>0</v>
          </cell>
          <cell r="K123">
            <v>0</v>
          </cell>
          <cell r="L123">
            <v>0</v>
          </cell>
          <cell r="M123">
            <v>0</v>
          </cell>
          <cell r="N123">
            <v>0</v>
          </cell>
          <cell r="O123">
            <v>0</v>
          </cell>
          <cell r="P123">
            <v>0</v>
          </cell>
          <cell r="Q123">
            <v>0</v>
          </cell>
        </row>
        <row r="124">
          <cell r="A124">
            <v>36329</v>
          </cell>
          <cell r="B124" t="str">
            <v>Other Liquids - Non E&amp;P Intercompany</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A125">
            <v>36331</v>
          </cell>
          <cell r="B125" t="str">
            <v>E&amp;P Solids - Count Waste</v>
          </cell>
          <cell r="E125">
            <v>0</v>
          </cell>
          <cell r="F125">
            <v>0</v>
          </cell>
          <cell r="G125">
            <v>0</v>
          </cell>
          <cell r="H125">
            <v>0</v>
          </cell>
          <cell r="I125">
            <v>0</v>
          </cell>
          <cell r="J125">
            <v>0</v>
          </cell>
          <cell r="K125">
            <v>0</v>
          </cell>
          <cell r="L125">
            <v>0</v>
          </cell>
          <cell r="M125">
            <v>0</v>
          </cell>
          <cell r="N125">
            <v>0</v>
          </cell>
          <cell r="O125">
            <v>0</v>
          </cell>
          <cell r="P125">
            <v>0</v>
          </cell>
          <cell r="Q125">
            <v>0</v>
          </cell>
        </row>
        <row r="126">
          <cell r="A126">
            <v>36339</v>
          </cell>
          <cell r="B126" t="str">
            <v>E&amp;P Solids - Count Waste Intercompany</v>
          </cell>
          <cell r="E126">
            <v>0</v>
          </cell>
          <cell r="F126">
            <v>0</v>
          </cell>
          <cell r="G126">
            <v>0</v>
          </cell>
          <cell r="H126">
            <v>0</v>
          </cell>
          <cell r="I126">
            <v>0</v>
          </cell>
          <cell r="J126">
            <v>0</v>
          </cell>
          <cell r="K126">
            <v>0</v>
          </cell>
          <cell r="L126">
            <v>0</v>
          </cell>
          <cell r="M126">
            <v>0</v>
          </cell>
          <cell r="N126">
            <v>0</v>
          </cell>
          <cell r="O126">
            <v>0</v>
          </cell>
          <cell r="P126">
            <v>0</v>
          </cell>
          <cell r="Q126">
            <v>0</v>
          </cell>
        </row>
        <row r="127">
          <cell r="A127" t="str">
            <v>Total Landfill</v>
          </cell>
          <cell r="E127">
            <v>0</v>
          </cell>
          <cell r="F127">
            <v>0</v>
          </cell>
          <cell r="G127">
            <v>0</v>
          </cell>
          <cell r="H127">
            <v>0</v>
          </cell>
          <cell r="I127">
            <v>0</v>
          </cell>
          <cell r="J127">
            <v>0</v>
          </cell>
          <cell r="K127">
            <v>0</v>
          </cell>
          <cell r="L127">
            <v>0</v>
          </cell>
          <cell r="M127">
            <v>0</v>
          </cell>
          <cell r="N127">
            <v>0</v>
          </cell>
          <cell r="O127">
            <v>0</v>
          </cell>
          <cell r="P127">
            <v>0</v>
          </cell>
          <cell r="Q127">
            <v>0</v>
          </cell>
        </row>
        <row r="129">
          <cell r="A129" t="str">
            <v>Intermodal</v>
          </cell>
        </row>
        <row r="130">
          <cell r="A130">
            <v>36101</v>
          </cell>
          <cell r="B130" t="str">
            <v>Rail Drayage Revenue</v>
          </cell>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A131">
            <v>36109</v>
          </cell>
          <cell r="B131" t="str">
            <v>Rail Drayage Revenue - Intercompany</v>
          </cell>
          <cell r="E131">
            <v>0</v>
          </cell>
          <cell r="F131">
            <v>0</v>
          </cell>
          <cell r="G131">
            <v>0</v>
          </cell>
          <cell r="H131">
            <v>0</v>
          </cell>
          <cell r="I131">
            <v>0</v>
          </cell>
          <cell r="J131">
            <v>0</v>
          </cell>
          <cell r="K131">
            <v>0</v>
          </cell>
          <cell r="L131">
            <v>0</v>
          </cell>
          <cell r="M131">
            <v>0</v>
          </cell>
          <cell r="N131">
            <v>0</v>
          </cell>
          <cell r="O131">
            <v>0</v>
          </cell>
          <cell r="P131">
            <v>0</v>
          </cell>
          <cell r="Q131">
            <v>0</v>
          </cell>
        </row>
        <row r="132">
          <cell r="A132">
            <v>36111</v>
          </cell>
          <cell r="B132" t="str">
            <v>Truck Drayage Revenue</v>
          </cell>
          <cell r="E132">
            <v>0</v>
          </cell>
          <cell r="F132">
            <v>0</v>
          </cell>
          <cell r="G132">
            <v>0</v>
          </cell>
          <cell r="H132">
            <v>0</v>
          </cell>
          <cell r="I132">
            <v>0</v>
          </cell>
          <cell r="J132">
            <v>0</v>
          </cell>
          <cell r="K132">
            <v>0</v>
          </cell>
          <cell r="L132">
            <v>0</v>
          </cell>
          <cell r="M132">
            <v>0</v>
          </cell>
          <cell r="N132">
            <v>0</v>
          </cell>
          <cell r="O132">
            <v>0</v>
          </cell>
          <cell r="P132">
            <v>0</v>
          </cell>
          <cell r="Q132">
            <v>0</v>
          </cell>
        </row>
        <row r="133">
          <cell r="A133">
            <v>36119</v>
          </cell>
          <cell r="B133" t="str">
            <v>Truck Drayage Revenue - Intercompany</v>
          </cell>
          <cell r="E133">
            <v>0</v>
          </cell>
          <cell r="F133">
            <v>0</v>
          </cell>
          <cell r="G133">
            <v>0</v>
          </cell>
          <cell r="H133">
            <v>0</v>
          </cell>
          <cell r="I133">
            <v>0</v>
          </cell>
          <cell r="J133">
            <v>0</v>
          </cell>
          <cell r="K133">
            <v>0</v>
          </cell>
          <cell r="L133">
            <v>0</v>
          </cell>
          <cell r="M133">
            <v>0</v>
          </cell>
          <cell r="N133">
            <v>0</v>
          </cell>
          <cell r="O133">
            <v>0</v>
          </cell>
          <cell r="P133">
            <v>0</v>
          </cell>
          <cell r="Q133">
            <v>0</v>
          </cell>
        </row>
        <row r="134">
          <cell r="A134">
            <v>36121</v>
          </cell>
          <cell r="B134" t="str">
            <v>Barge Drayage Revenue</v>
          </cell>
          <cell r="E134">
            <v>0</v>
          </cell>
          <cell r="F134">
            <v>0</v>
          </cell>
          <cell r="G134">
            <v>0</v>
          </cell>
          <cell r="H134">
            <v>0</v>
          </cell>
          <cell r="I134">
            <v>0</v>
          </cell>
          <cell r="J134">
            <v>0</v>
          </cell>
          <cell r="K134">
            <v>0</v>
          </cell>
          <cell r="L134">
            <v>0</v>
          </cell>
          <cell r="M134">
            <v>0</v>
          </cell>
          <cell r="N134">
            <v>0</v>
          </cell>
          <cell r="O134">
            <v>0</v>
          </cell>
          <cell r="P134">
            <v>0</v>
          </cell>
          <cell r="Q134">
            <v>0</v>
          </cell>
        </row>
        <row r="135">
          <cell r="A135">
            <v>36131</v>
          </cell>
          <cell r="B135" t="str">
            <v>Service Labor Revenue</v>
          </cell>
          <cell r="E135">
            <v>0</v>
          </cell>
          <cell r="F135">
            <v>0</v>
          </cell>
          <cell r="G135">
            <v>0</v>
          </cell>
          <cell r="H135">
            <v>0</v>
          </cell>
          <cell r="I135">
            <v>0</v>
          </cell>
          <cell r="J135">
            <v>0</v>
          </cell>
          <cell r="K135">
            <v>0</v>
          </cell>
          <cell r="L135">
            <v>0</v>
          </cell>
          <cell r="M135">
            <v>0</v>
          </cell>
          <cell r="N135">
            <v>0</v>
          </cell>
          <cell r="O135">
            <v>0</v>
          </cell>
          <cell r="P135">
            <v>0</v>
          </cell>
          <cell r="Q135">
            <v>0</v>
          </cell>
        </row>
        <row r="136">
          <cell r="A136">
            <v>36141</v>
          </cell>
          <cell r="B136" t="str">
            <v>Refrigeration Labor Revenue</v>
          </cell>
          <cell r="E136">
            <v>0</v>
          </cell>
          <cell r="F136">
            <v>0</v>
          </cell>
          <cell r="G136">
            <v>0</v>
          </cell>
          <cell r="H136">
            <v>0</v>
          </cell>
          <cell r="I136">
            <v>0</v>
          </cell>
          <cell r="J136">
            <v>0</v>
          </cell>
          <cell r="K136">
            <v>0</v>
          </cell>
          <cell r="L136">
            <v>0</v>
          </cell>
          <cell r="M136">
            <v>0</v>
          </cell>
          <cell r="N136">
            <v>0</v>
          </cell>
          <cell r="O136">
            <v>0</v>
          </cell>
          <cell r="P136">
            <v>0</v>
          </cell>
          <cell r="Q136">
            <v>0</v>
          </cell>
        </row>
        <row r="137">
          <cell r="A137">
            <v>36145</v>
          </cell>
          <cell r="B137" t="str">
            <v>Parts Revenue</v>
          </cell>
          <cell r="E137">
            <v>0</v>
          </cell>
          <cell r="F137">
            <v>0</v>
          </cell>
          <cell r="G137">
            <v>0</v>
          </cell>
          <cell r="H137">
            <v>0</v>
          </cell>
          <cell r="I137">
            <v>0</v>
          </cell>
          <cell r="J137">
            <v>0</v>
          </cell>
          <cell r="K137">
            <v>0</v>
          </cell>
          <cell r="L137">
            <v>0</v>
          </cell>
          <cell r="M137">
            <v>0</v>
          </cell>
          <cell r="N137">
            <v>0</v>
          </cell>
          <cell r="O137">
            <v>0</v>
          </cell>
          <cell r="P137">
            <v>0</v>
          </cell>
          <cell r="Q137">
            <v>0</v>
          </cell>
        </row>
        <row r="138">
          <cell r="A138">
            <v>36151</v>
          </cell>
          <cell r="B138" t="str">
            <v>Container Sales Revenue</v>
          </cell>
          <cell r="E138">
            <v>0</v>
          </cell>
          <cell r="F138">
            <v>0</v>
          </cell>
          <cell r="G138">
            <v>0</v>
          </cell>
          <cell r="H138">
            <v>0</v>
          </cell>
          <cell r="I138">
            <v>0</v>
          </cell>
          <cell r="J138">
            <v>0</v>
          </cell>
          <cell r="K138">
            <v>0</v>
          </cell>
          <cell r="L138">
            <v>0</v>
          </cell>
          <cell r="M138">
            <v>0</v>
          </cell>
          <cell r="N138">
            <v>0</v>
          </cell>
          <cell r="O138">
            <v>0</v>
          </cell>
          <cell r="P138">
            <v>0</v>
          </cell>
          <cell r="Q138">
            <v>0</v>
          </cell>
        </row>
        <row r="139">
          <cell r="A139">
            <v>36161</v>
          </cell>
          <cell r="B139" t="str">
            <v>Container Rental Revenue</v>
          </cell>
          <cell r="E139">
            <v>0</v>
          </cell>
          <cell r="F139">
            <v>0</v>
          </cell>
          <cell r="G139">
            <v>0</v>
          </cell>
          <cell r="H139">
            <v>0</v>
          </cell>
          <cell r="I139">
            <v>0</v>
          </cell>
          <cell r="J139">
            <v>0</v>
          </cell>
          <cell r="K139">
            <v>0</v>
          </cell>
          <cell r="L139">
            <v>0</v>
          </cell>
          <cell r="M139">
            <v>0</v>
          </cell>
          <cell r="N139">
            <v>0</v>
          </cell>
          <cell r="O139">
            <v>0</v>
          </cell>
          <cell r="P139">
            <v>0</v>
          </cell>
          <cell r="Q139">
            <v>0</v>
          </cell>
        </row>
        <row r="140">
          <cell r="A140">
            <v>36171</v>
          </cell>
          <cell r="B140" t="str">
            <v>Intermodal Revenue</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A141">
            <v>36181</v>
          </cell>
          <cell r="B141" t="str">
            <v>Chassis Lease Revenue</v>
          </cell>
          <cell r="E141">
            <v>0</v>
          </cell>
          <cell r="F141">
            <v>0</v>
          </cell>
          <cell r="G141">
            <v>0</v>
          </cell>
          <cell r="H141">
            <v>0</v>
          </cell>
          <cell r="I141">
            <v>0</v>
          </cell>
          <cell r="J141">
            <v>0</v>
          </cell>
          <cell r="K141">
            <v>0</v>
          </cell>
          <cell r="L141">
            <v>0</v>
          </cell>
          <cell r="M141">
            <v>0</v>
          </cell>
          <cell r="N141">
            <v>0</v>
          </cell>
          <cell r="O141">
            <v>0</v>
          </cell>
          <cell r="P141">
            <v>0</v>
          </cell>
          <cell r="Q141">
            <v>0</v>
          </cell>
        </row>
        <row r="142">
          <cell r="A142">
            <v>36191</v>
          </cell>
          <cell r="B142" t="str">
            <v>Interchanges Revenue</v>
          </cell>
          <cell r="E142">
            <v>0</v>
          </cell>
          <cell r="F142">
            <v>0</v>
          </cell>
          <cell r="G142">
            <v>0</v>
          </cell>
          <cell r="H142">
            <v>0</v>
          </cell>
          <cell r="I142">
            <v>0</v>
          </cell>
          <cell r="J142">
            <v>0</v>
          </cell>
          <cell r="K142">
            <v>0</v>
          </cell>
          <cell r="L142">
            <v>0</v>
          </cell>
          <cell r="M142">
            <v>0</v>
          </cell>
          <cell r="N142">
            <v>0</v>
          </cell>
          <cell r="O142">
            <v>0</v>
          </cell>
          <cell r="P142">
            <v>0</v>
          </cell>
          <cell r="Q142">
            <v>0</v>
          </cell>
        </row>
        <row r="143">
          <cell r="A143">
            <v>36201</v>
          </cell>
          <cell r="B143" t="str">
            <v>Storage Revenue</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A144">
            <v>36211</v>
          </cell>
          <cell r="B144" t="str">
            <v>Empty Lifts Revenue</v>
          </cell>
          <cell r="E144">
            <v>0</v>
          </cell>
          <cell r="F144">
            <v>0</v>
          </cell>
          <cell r="G144">
            <v>0</v>
          </cell>
          <cell r="H144">
            <v>0</v>
          </cell>
          <cell r="I144">
            <v>0</v>
          </cell>
          <cell r="J144">
            <v>0</v>
          </cell>
          <cell r="K144">
            <v>0</v>
          </cell>
          <cell r="L144">
            <v>0</v>
          </cell>
          <cell r="M144">
            <v>0</v>
          </cell>
          <cell r="N144">
            <v>0</v>
          </cell>
          <cell r="O144">
            <v>0</v>
          </cell>
          <cell r="P144">
            <v>0</v>
          </cell>
          <cell r="Q144">
            <v>0</v>
          </cell>
        </row>
        <row r="145">
          <cell r="A145">
            <v>36221</v>
          </cell>
          <cell r="B145" t="str">
            <v>Load Lifts Revenue</v>
          </cell>
          <cell r="E145">
            <v>0</v>
          </cell>
          <cell r="F145">
            <v>0</v>
          </cell>
          <cell r="G145">
            <v>0</v>
          </cell>
          <cell r="H145">
            <v>0</v>
          </cell>
          <cell r="I145">
            <v>0</v>
          </cell>
          <cell r="J145">
            <v>0</v>
          </cell>
          <cell r="K145">
            <v>0</v>
          </cell>
          <cell r="L145">
            <v>0</v>
          </cell>
          <cell r="M145">
            <v>0</v>
          </cell>
          <cell r="N145">
            <v>0</v>
          </cell>
          <cell r="O145">
            <v>0</v>
          </cell>
          <cell r="P145">
            <v>0</v>
          </cell>
          <cell r="Q145">
            <v>0</v>
          </cell>
        </row>
        <row r="146">
          <cell r="A146" t="str">
            <v>Total Intermodal</v>
          </cell>
          <cell r="E146">
            <v>0</v>
          </cell>
          <cell r="F146">
            <v>0</v>
          </cell>
          <cell r="G146">
            <v>0</v>
          </cell>
          <cell r="H146">
            <v>0</v>
          </cell>
          <cell r="I146">
            <v>0</v>
          </cell>
          <cell r="J146">
            <v>0</v>
          </cell>
          <cell r="K146">
            <v>0</v>
          </cell>
          <cell r="L146">
            <v>0</v>
          </cell>
          <cell r="M146">
            <v>0</v>
          </cell>
          <cell r="N146">
            <v>0</v>
          </cell>
          <cell r="O146">
            <v>0</v>
          </cell>
          <cell r="P146">
            <v>0</v>
          </cell>
          <cell r="Q146">
            <v>0</v>
          </cell>
        </row>
        <row r="148">
          <cell r="A148" t="str">
            <v>Other Revenue</v>
          </cell>
        </row>
        <row r="149">
          <cell r="A149">
            <v>37001</v>
          </cell>
          <cell r="B149" t="str">
            <v>Sale of Equipment</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A150">
            <v>37010</v>
          </cell>
          <cell r="B150" t="str">
            <v>Tire Processing Revenue</v>
          </cell>
          <cell r="E150">
            <v>0</v>
          </cell>
          <cell r="F150">
            <v>0</v>
          </cell>
          <cell r="G150">
            <v>0</v>
          </cell>
          <cell r="H150">
            <v>0</v>
          </cell>
          <cell r="I150">
            <v>0</v>
          </cell>
          <cell r="J150">
            <v>0</v>
          </cell>
          <cell r="K150">
            <v>0</v>
          </cell>
          <cell r="L150">
            <v>0</v>
          </cell>
          <cell r="M150">
            <v>0</v>
          </cell>
          <cell r="N150">
            <v>0</v>
          </cell>
          <cell r="O150">
            <v>0</v>
          </cell>
          <cell r="P150">
            <v>0</v>
          </cell>
          <cell r="Q150">
            <v>0</v>
          </cell>
        </row>
        <row r="151">
          <cell r="A151">
            <v>37019</v>
          </cell>
          <cell r="B151" t="str">
            <v>Tire Processing Revenue - Intercompany</v>
          </cell>
          <cell r="E151">
            <v>0</v>
          </cell>
          <cell r="F151">
            <v>0</v>
          </cell>
          <cell r="G151">
            <v>0</v>
          </cell>
          <cell r="H151">
            <v>0</v>
          </cell>
          <cell r="I151">
            <v>0</v>
          </cell>
          <cell r="J151">
            <v>0</v>
          </cell>
          <cell r="K151">
            <v>0</v>
          </cell>
          <cell r="L151">
            <v>0</v>
          </cell>
          <cell r="M151">
            <v>0</v>
          </cell>
          <cell r="N151">
            <v>0</v>
          </cell>
          <cell r="O151">
            <v>0</v>
          </cell>
          <cell r="P151">
            <v>0</v>
          </cell>
          <cell r="Q151">
            <v>0</v>
          </cell>
        </row>
        <row r="152">
          <cell r="A152">
            <v>38000</v>
          </cell>
          <cell r="B152" t="str">
            <v>Corporate Other Revenue</v>
          </cell>
          <cell r="E152">
            <v>3459.12</v>
          </cell>
          <cell r="F152">
            <v>7799.57</v>
          </cell>
          <cell r="G152">
            <v>2100.42</v>
          </cell>
          <cell r="H152">
            <v>7267.51</v>
          </cell>
          <cell r="I152">
            <v>3376.39</v>
          </cell>
          <cell r="J152">
            <v>7176.57</v>
          </cell>
          <cell r="K152">
            <v>3493.22</v>
          </cell>
          <cell r="L152">
            <v>8060.32</v>
          </cell>
          <cell r="M152">
            <v>2594</v>
          </cell>
          <cell r="N152">
            <v>7784.1</v>
          </cell>
          <cell r="O152">
            <v>6369.79</v>
          </cell>
          <cell r="P152">
            <v>9281.82</v>
          </cell>
          <cell r="Q152">
            <v>68762.829999999987</v>
          </cell>
        </row>
        <row r="153">
          <cell r="A153">
            <v>38001</v>
          </cell>
          <cell r="B153" t="str">
            <v>P-Card Rebate Revenue</v>
          </cell>
          <cell r="E153">
            <v>0</v>
          </cell>
          <cell r="F153">
            <v>0</v>
          </cell>
          <cell r="G153">
            <v>0</v>
          </cell>
          <cell r="H153">
            <v>0</v>
          </cell>
          <cell r="I153">
            <v>0</v>
          </cell>
          <cell r="J153">
            <v>0</v>
          </cell>
          <cell r="K153">
            <v>0</v>
          </cell>
          <cell r="L153">
            <v>0</v>
          </cell>
          <cell r="M153">
            <v>0</v>
          </cell>
          <cell r="N153">
            <v>0</v>
          </cell>
          <cell r="O153">
            <v>0</v>
          </cell>
          <cell r="P153">
            <v>0</v>
          </cell>
          <cell r="Q153">
            <v>0</v>
          </cell>
        </row>
        <row r="154">
          <cell r="A154" t="str">
            <v>Total Other Revenue</v>
          </cell>
          <cell r="E154">
            <v>3459.12</v>
          </cell>
          <cell r="F154">
            <v>7799.57</v>
          </cell>
          <cell r="G154">
            <v>2100.42</v>
          </cell>
          <cell r="H154">
            <v>7267.51</v>
          </cell>
          <cell r="I154">
            <v>3376.39</v>
          </cell>
          <cell r="J154">
            <v>7176.57</v>
          </cell>
          <cell r="K154">
            <v>3493.22</v>
          </cell>
          <cell r="L154">
            <v>8060.32</v>
          </cell>
          <cell r="M154">
            <v>2594</v>
          </cell>
          <cell r="N154">
            <v>7784.1</v>
          </cell>
          <cell r="O154">
            <v>6369.79</v>
          </cell>
          <cell r="P154">
            <v>9281.82</v>
          </cell>
          <cell r="Q154">
            <v>68762.829999999987</v>
          </cell>
        </row>
        <row r="156">
          <cell r="A156" t="str">
            <v>Total Revenue</v>
          </cell>
          <cell r="E156">
            <v>1389532.61</v>
          </cell>
          <cell r="F156">
            <v>1380077.51</v>
          </cell>
          <cell r="G156">
            <v>1408446.9</v>
          </cell>
          <cell r="H156">
            <v>1419179.07</v>
          </cell>
          <cell r="I156">
            <v>1419577.4599999997</v>
          </cell>
          <cell r="J156">
            <v>1466667.25</v>
          </cell>
          <cell r="K156">
            <v>1465996.93</v>
          </cell>
          <cell r="L156">
            <v>1491957.75</v>
          </cell>
          <cell r="M156">
            <v>1460536.84</v>
          </cell>
          <cell r="N156">
            <v>1419945.4899999998</v>
          </cell>
          <cell r="O156">
            <v>1383569.35</v>
          </cell>
          <cell r="P156">
            <v>1421969.0599999998</v>
          </cell>
          <cell r="Q156">
            <v>17127456.219999995</v>
          </cell>
        </row>
        <row r="158">
          <cell r="A158" t="str">
            <v>Revenue Reductions</v>
          </cell>
        </row>
        <row r="159">
          <cell r="A159" t="str">
            <v>Disposal</v>
          </cell>
        </row>
        <row r="160">
          <cell r="A160">
            <v>40101</v>
          </cell>
          <cell r="B160" t="str">
            <v>Disposal Landfill</v>
          </cell>
          <cell r="E160">
            <v>0</v>
          </cell>
          <cell r="F160">
            <v>0</v>
          </cell>
          <cell r="G160">
            <v>0</v>
          </cell>
          <cell r="H160">
            <v>0</v>
          </cell>
          <cell r="I160">
            <v>0</v>
          </cell>
          <cell r="J160">
            <v>0</v>
          </cell>
          <cell r="K160">
            <v>0</v>
          </cell>
          <cell r="L160">
            <v>0</v>
          </cell>
          <cell r="M160">
            <v>0</v>
          </cell>
          <cell r="N160">
            <v>0</v>
          </cell>
          <cell r="O160">
            <v>0</v>
          </cell>
          <cell r="P160">
            <v>0</v>
          </cell>
          <cell r="Q160">
            <v>0</v>
          </cell>
        </row>
        <row r="161">
          <cell r="A161">
            <v>40109</v>
          </cell>
          <cell r="B161" t="str">
            <v>Disposal Landfill Intercompany</v>
          </cell>
          <cell r="E161">
            <v>0</v>
          </cell>
          <cell r="F161">
            <v>0</v>
          </cell>
          <cell r="G161">
            <v>0</v>
          </cell>
          <cell r="H161">
            <v>0</v>
          </cell>
          <cell r="I161">
            <v>0</v>
          </cell>
          <cell r="J161">
            <v>0</v>
          </cell>
          <cell r="K161">
            <v>0</v>
          </cell>
          <cell r="L161">
            <v>0</v>
          </cell>
          <cell r="M161">
            <v>0</v>
          </cell>
          <cell r="N161">
            <v>0</v>
          </cell>
          <cell r="O161">
            <v>0</v>
          </cell>
          <cell r="P161">
            <v>0</v>
          </cell>
          <cell r="Q161">
            <v>0</v>
          </cell>
        </row>
        <row r="162">
          <cell r="A162">
            <v>40121</v>
          </cell>
          <cell r="B162" t="str">
            <v>Disposal Incineration</v>
          </cell>
          <cell r="E162">
            <v>0</v>
          </cell>
          <cell r="F162">
            <v>0</v>
          </cell>
          <cell r="G162">
            <v>0</v>
          </cell>
          <cell r="H162">
            <v>0</v>
          </cell>
          <cell r="I162">
            <v>0</v>
          </cell>
          <cell r="J162">
            <v>0</v>
          </cell>
          <cell r="K162">
            <v>0</v>
          </cell>
          <cell r="L162">
            <v>0</v>
          </cell>
          <cell r="M162">
            <v>0</v>
          </cell>
          <cell r="N162">
            <v>0</v>
          </cell>
          <cell r="O162">
            <v>0</v>
          </cell>
          <cell r="P162">
            <v>0</v>
          </cell>
          <cell r="Q162">
            <v>0</v>
          </cell>
        </row>
        <row r="163">
          <cell r="A163">
            <v>40122</v>
          </cell>
          <cell r="B163" t="str">
            <v>Disposal Other</v>
          </cell>
          <cell r="E163">
            <v>0</v>
          </cell>
          <cell r="F163">
            <v>0</v>
          </cell>
          <cell r="G163">
            <v>0</v>
          </cell>
          <cell r="H163">
            <v>0</v>
          </cell>
          <cell r="I163">
            <v>0</v>
          </cell>
          <cell r="J163">
            <v>0</v>
          </cell>
          <cell r="K163">
            <v>0</v>
          </cell>
          <cell r="L163">
            <v>0</v>
          </cell>
          <cell r="M163">
            <v>0</v>
          </cell>
          <cell r="N163">
            <v>0</v>
          </cell>
          <cell r="O163">
            <v>0</v>
          </cell>
          <cell r="P163">
            <v>0</v>
          </cell>
          <cell r="Q163">
            <v>0</v>
          </cell>
        </row>
        <row r="164">
          <cell r="A164">
            <v>40129</v>
          </cell>
          <cell r="B164" t="str">
            <v>Disposal Other</v>
          </cell>
          <cell r="E164">
            <v>0</v>
          </cell>
          <cell r="F164">
            <v>0</v>
          </cell>
          <cell r="G164">
            <v>0</v>
          </cell>
          <cell r="H164">
            <v>0</v>
          </cell>
          <cell r="I164">
            <v>0</v>
          </cell>
          <cell r="J164">
            <v>0</v>
          </cell>
          <cell r="K164">
            <v>0</v>
          </cell>
          <cell r="L164">
            <v>0</v>
          </cell>
          <cell r="M164">
            <v>0</v>
          </cell>
          <cell r="N164">
            <v>0</v>
          </cell>
          <cell r="O164">
            <v>0</v>
          </cell>
          <cell r="P164">
            <v>0</v>
          </cell>
          <cell r="Q164">
            <v>0</v>
          </cell>
        </row>
        <row r="165">
          <cell r="A165">
            <v>40131</v>
          </cell>
          <cell r="B165" t="str">
            <v>Disposal Transfer</v>
          </cell>
          <cell r="E165">
            <v>0</v>
          </cell>
          <cell r="F165">
            <v>0</v>
          </cell>
          <cell r="G165">
            <v>0</v>
          </cell>
          <cell r="H165">
            <v>0</v>
          </cell>
          <cell r="I165">
            <v>0</v>
          </cell>
          <cell r="J165">
            <v>0</v>
          </cell>
          <cell r="K165">
            <v>0</v>
          </cell>
          <cell r="L165">
            <v>0</v>
          </cell>
          <cell r="M165">
            <v>0</v>
          </cell>
          <cell r="N165">
            <v>0</v>
          </cell>
          <cell r="O165">
            <v>0</v>
          </cell>
          <cell r="P165">
            <v>0</v>
          </cell>
          <cell r="Q165">
            <v>0</v>
          </cell>
        </row>
        <row r="166">
          <cell r="A166">
            <v>40139</v>
          </cell>
          <cell r="B166" t="str">
            <v>Disposal Transfer Intercompany</v>
          </cell>
          <cell r="E166">
            <v>522940.33</v>
          </cell>
          <cell r="F166">
            <v>473522.39</v>
          </cell>
          <cell r="G166">
            <v>554204.89</v>
          </cell>
          <cell r="H166">
            <v>538277.64</v>
          </cell>
          <cell r="I166">
            <v>535071.71</v>
          </cell>
          <cell r="J166">
            <v>582693.4</v>
          </cell>
          <cell r="K166">
            <v>571614.11</v>
          </cell>
          <cell r="L166">
            <v>571380.55000000005</v>
          </cell>
          <cell r="M166">
            <v>569779.74</v>
          </cell>
          <cell r="N166">
            <v>537814.68999999994</v>
          </cell>
          <cell r="O166">
            <v>530807.82999999996</v>
          </cell>
          <cell r="P166">
            <v>576009.71</v>
          </cell>
          <cell r="Q166">
            <v>6564116.9899999993</v>
          </cell>
        </row>
        <row r="167">
          <cell r="A167" t="str">
            <v>Total Disposal</v>
          </cell>
          <cell r="E167">
            <v>522940.33</v>
          </cell>
          <cell r="F167">
            <v>473522.39</v>
          </cell>
          <cell r="G167">
            <v>554204.89</v>
          </cell>
          <cell r="H167">
            <v>538277.64</v>
          </cell>
          <cell r="I167">
            <v>535071.71</v>
          </cell>
          <cell r="J167">
            <v>582693.4</v>
          </cell>
          <cell r="K167">
            <v>571614.11</v>
          </cell>
          <cell r="L167">
            <v>571380.55000000005</v>
          </cell>
          <cell r="M167">
            <v>569779.74</v>
          </cell>
          <cell r="N167">
            <v>537814.68999999994</v>
          </cell>
          <cell r="O167">
            <v>530807.82999999996</v>
          </cell>
          <cell r="P167">
            <v>576009.71</v>
          </cell>
          <cell r="Q167">
            <v>6564116.9899999993</v>
          </cell>
        </row>
        <row r="169">
          <cell r="A169" t="str">
            <v>MRF Processing</v>
          </cell>
        </row>
        <row r="170">
          <cell r="A170">
            <v>40861</v>
          </cell>
          <cell r="B170" t="str">
            <v>Processing Fees MRF</v>
          </cell>
          <cell r="E170">
            <v>0</v>
          </cell>
          <cell r="F170">
            <v>0</v>
          </cell>
          <cell r="G170">
            <v>0</v>
          </cell>
          <cell r="H170">
            <v>0</v>
          </cell>
          <cell r="I170">
            <v>0</v>
          </cell>
          <cell r="J170">
            <v>0</v>
          </cell>
          <cell r="K170">
            <v>0</v>
          </cell>
          <cell r="L170">
            <v>0</v>
          </cell>
          <cell r="M170">
            <v>0</v>
          </cell>
          <cell r="N170">
            <v>0</v>
          </cell>
          <cell r="O170">
            <v>0</v>
          </cell>
          <cell r="P170">
            <v>0</v>
          </cell>
          <cell r="Q170">
            <v>0</v>
          </cell>
        </row>
        <row r="171">
          <cell r="A171">
            <v>40869</v>
          </cell>
          <cell r="B171" t="str">
            <v>Processing Fees MRF Intercompany</v>
          </cell>
          <cell r="E171">
            <v>0</v>
          </cell>
          <cell r="F171">
            <v>0</v>
          </cell>
          <cell r="G171">
            <v>0</v>
          </cell>
          <cell r="H171">
            <v>0</v>
          </cell>
          <cell r="I171">
            <v>0</v>
          </cell>
          <cell r="J171">
            <v>0</v>
          </cell>
          <cell r="K171">
            <v>0</v>
          </cell>
          <cell r="L171">
            <v>0</v>
          </cell>
          <cell r="M171">
            <v>0</v>
          </cell>
          <cell r="N171">
            <v>0</v>
          </cell>
          <cell r="O171">
            <v>0</v>
          </cell>
          <cell r="P171">
            <v>0</v>
          </cell>
          <cell r="Q171">
            <v>0</v>
          </cell>
        </row>
        <row r="172">
          <cell r="A172" t="str">
            <v>Total MRF Processing</v>
          </cell>
          <cell r="E172">
            <v>0</v>
          </cell>
          <cell r="F172">
            <v>0</v>
          </cell>
          <cell r="G172">
            <v>0</v>
          </cell>
          <cell r="H172">
            <v>0</v>
          </cell>
          <cell r="I172">
            <v>0</v>
          </cell>
          <cell r="J172">
            <v>0</v>
          </cell>
          <cell r="K172">
            <v>0</v>
          </cell>
          <cell r="L172">
            <v>0</v>
          </cell>
          <cell r="M172">
            <v>0</v>
          </cell>
          <cell r="N172">
            <v>0</v>
          </cell>
          <cell r="O172">
            <v>0</v>
          </cell>
          <cell r="P172">
            <v>0</v>
          </cell>
          <cell r="Q172">
            <v>0</v>
          </cell>
        </row>
        <row r="174">
          <cell r="A174" t="str">
            <v>Brokerage, Rebates and Taxes</v>
          </cell>
        </row>
        <row r="175">
          <cell r="A175">
            <v>41121</v>
          </cell>
          <cell r="B175" t="str">
            <v>Brokerage Cost</v>
          </cell>
          <cell r="E175">
            <v>0</v>
          </cell>
          <cell r="F175">
            <v>0</v>
          </cell>
          <cell r="G175">
            <v>0</v>
          </cell>
          <cell r="H175">
            <v>0</v>
          </cell>
          <cell r="I175">
            <v>0</v>
          </cell>
          <cell r="J175">
            <v>0</v>
          </cell>
          <cell r="K175">
            <v>0</v>
          </cell>
          <cell r="L175">
            <v>0</v>
          </cell>
          <cell r="M175">
            <v>0</v>
          </cell>
          <cell r="N175">
            <v>0</v>
          </cell>
          <cell r="O175">
            <v>0</v>
          </cell>
          <cell r="P175">
            <v>0</v>
          </cell>
          <cell r="Q175">
            <v>0</v>
          </cell>
        </row>
        <row r="176">
          <cell r="A176">
            <v>41129</v>
          </cell>
          <cell r="B176" t="str">
            <v>Brokerage Cost Intercompany</v>
          </cell>
          <cell r="E176">
            <v>0</v>
          </cell>
          <cell r="F176">
            <v>0</v>
          </cell>
          <cell r="G176">
            <v>0</v>
          </cell>
          <cell r="H176">
            <v>0</v>
          </cell>
          <cell r="I176">
            <v>0</v>
          </cell>
          <cell r="J176">
            <v>0</v>
          </cell>
          <cell r="K176">
            <v>0</v>
          </cell>
          <cell r="L176">
            <v>0</v>
          </cell>
          <cell r="M176">
            <v>0</v>
          </cell>
          <cell r="N176">
            <v>0</v>
          </cell>
          <cell r="O176">
            <v>0</v>
          </cell>
          <cell r="P176">
            <v>0</v>
          </cell>
          <cell r="Q176">
            <v>0</v>
          </cell>
        </row>
        <row r="177">
          <cell r="A177">
            <v>41131</v>
          </cell>
          <cell r="B177" t="str">
            <v>Rail Drayage Expenses</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A178">
            <v>41135</v>
          </cell>
          <cell r="B178" t="str">
            <v>Resale Parts - Cost of Goods Sold</v>
          </cell>
          <cell r="E178">
            <v>0</v>
          </cell>
          <cell r="F178">
            <v>0</v>
          </cell>
          <cell r="G178">
            <v>0</v>
          </cell>
          <cell r="H178">
            <v>0</v>
          </cell>
          <cell r="I178">
            <v>0</v>
          </cell>
          <cell r="J178">
            <v>0</v>
          </cell>
          <cell r="K178">
            <v>0</v>
          </cell>
          <cell r="L178">
            <v>0</v>
          </cell>
          <cell r="M178">
            <v>0</v>
          </cell>
          <cell r="N178">
            <v>0</v>
          </cell>
          <cell r="O178">
            <v>0</v>
          </cell>
          <cell r="P178">
            <v>0</v>
          </cell>
          <cell r="Q178">
            <v>0</v>
          </cell>
        </row>
        <row r="179">
          <cell r="A179">
            <v>41139</v>
          </cell>
          <cell r="B179" t="str">
            <v>Rail Drayage Expenses - Intercompany</v>
          </cell>
          <cell r="E179">
            <v>0</v>
          </cell>
          <cell r="F179">
            <v>0</v>
          </cell>
          <cell r="G179">
            <v>0</v>
          </cell>
          <cell r="H179">
            <v>0</v>
          </cell>
          <cell r="I179">
            <v>0</v>
          </cell>
          <cell r="J179">
            <v>0</v>
          </cell>
          <cell r="K179">
            <v>0</v>
          </cell>
          <cell r="L179">
            <v>0</v>
          </cell>
          <cell r="M179">
            <v>0</v>
          </cell>
          <cell r="N179">
            <v>0</v>
          </cell>
          <cell r="O179">
            <v>0</v>
          </cell>
          <cell r="P179">
            <v>0</v>
          </cell>
          <cell r="Q179">
            <v>0</v>
          </cell>
        </row>
        <row r="180">
          <cell r="A180">
            <v>41141</v>
          </cell>
          <cell r="B180" t="str">
            <v>Truck Drayage Expenses</v>
          </cell>
          <cell r="E180">
            <v>0</v>
          </cell>
          <cell r="F180">
            <v>0</v>
          </cell>
          <cell r="G180">
            <v>0</v>
          </cell>
          <cell r="H180">
            <v>0</v>
          </cell>
          <cell r="I180">
            <v>0</v>
          </cell>
          <cell r="J180">
            <v>0</v>
          </cell>
          <cell r="K180">
            <v>0</v>
          </cell>
          <cell r="L180">
            <v>0</v>
          </cell>
          <cell r="M180">
            <v>0</v>
          </cell>
          <cell r="N180">
            <v>0</v>
          </cell>
          <cell r="O180">
            <v>0</v>
          </cell>
          <cell r="P180">
            <v>0</v>
          </cell>
          <cell r="Q180">
            <v>0</v>
          </cell>
        </row>
        <row r="181">
          <cell r="A181">
            <v>41149</v>
          </cell>
          <cell r="B181" t="str">
            <v>Truck Drayage Expenses - Intercompany</v>
          </cell>
          <cell r="E181">
            <v>0</v>
          </cell>
          <cell r="F181">
            <v>0</v>
          </cell>
          <cell r="G181">
            <v>0</v>
          </cell>
          <cell r="H181">
            <v>0</v>
          </cell>
          <cell r="I181">
            <v>0</v>
          </cell>
          <cell r="J181">
            <v>0</v>
          </cell>
          <cell r="K181">
            <v>0</v>
          </cell>
          <cell r="L181">
            <v>0</v>
          </cell>
          <cell r="M181">
            <v>0</v>
          </cell>
          <cell r="N181">
            <v>0</v>
          </cell>
          <cell r="O181">
            <v>0</v>
          </cell>
          <cell r="P181">
            <v>0</v>
          </cell>
          <cell r="Q181">
            <v>0</v>
          </cell>
        </row>
        <row r="182">
          <cell r="A182">
            <v>41151</v>
          </cell>
          <cell r="B182" t="str">
            <v>Intermodal Expenses</v>
          </cell>
          <cell r="E182">
            <v>0</v>
          </cell>
          <cell r="F182">
            <v>0</v>
          </cell>
          <cell r="G182">
            <v>0</v>
          </cell>
          <cell r="H182">
            <v>0</v>
          </cell>
          <cell r="I182">
            <v>0</v>
          </cell>
          <cell r="J182">
            <v>0</v>
          </cell>
          <cell r="K182">
            <v>0</v>
          </cell>
          <cell r="L182">
            <v>0</v>
          </cell>
          <cell r="M182">
            <v>0</v>
          </cell>
          <cell r="N182">
            <v>0</v>
          </cell>
          <cell r="O182">
            <v>0</v>
          </cell>
          <cell r="P182">
            <v>0</v>
          </cell>
          <cell r="Q182">
            <v>0</v>
          </cell>
        </row>
        <row r="183">
          <cell r="A183">
            <v>41201</v>
          </cell>
          <cell r="B183" t="str">
            <v>Rebates and Revenue Sharing</v>
          </cell>
          <cell r="E183">
            <v>0</v>
          </cell>
          <cell r="F183">
            <v>0</v>
          </cell>
          <cell r="G183">
            <v>0</v>
          </cell>
          <cell r="H183">
            <v>0</v>
          </cell>
          <cell r="I183">
            <v>0</v>
          </cell>
          <cell r="J183">
            <v>0</v>
          </cell>
          <cell r="K183">
            <v>0</v>
          </cell>
          <cell r="L183">
            <v>0</v>
          </cell>
          <cell r="M183">
            <v>0</v>
          </cell>
          <cell r="N183">
            <v>0</v>
          </cell>
          <cell r="O183">
            <v>0</v>
          </cell>
          <cell r="P183">
            <v>0</v>
          </cell>
          <cell r="Q183">
            <v>0</v>
          </cell>
        </row>
        <row r="184">
          <cell r="A184">
            <v>43001</v>
          </cell>
          <cell r="B184" t="str">
            <v>Taxes and Pass Thru Fees</v>
          </cell>
          <cell r="E184">
            <v>21087.73</v>
          </cell>
          <cell r="F184">
            <v>20959.080000000002</v>
          </cell>
          <cell r="G184">
            <v>21310.05</v>
          </cell>
          <cell r="H184">
            <v>15944.56</v>
          </cell>
          <cell r="I184">
            <v>23292.27</v>
          </cell>
          <cell r="J184">
            <v>26639.14</v>
          </cell>
          <cell r="K184">
            <v>26629.39</v>
          </cell>
          <cell r="L184">
            <v>27074.49</v>
          </cell>
          <cell r="M184">
            <v>26539.13</v>
          </cell>
          <cell r="N184">
            <v>25799.21</v>
          </cell>
          <cell r="O184">
            <v>25079.16</v>
          </cell>
          <cell r="P184">
            <v>25860.43</v>
          </cell>
          <cell r="Q184">
            <v>286214.64</v>
          </cell>
        </row>
        <row r="185">
          <cell r="A185">
            <v>43002</v>
          </cell>
          <cell r="B185" t="str">
            <v>WUTC Taxes</v>
          </cell>
          <cell r="E185">
            <v>5546.62</v>
          </cell>
          <cell r="F185">
            <v>5496.04</v>
          </cell>
          <cell r="G185">
            <v>5619.91</v>
          </cell>
          <cell r="H185">
            <v>5691.97</v>
          </cell>
          <cell r="I185">
            <v>5646.5</v>
          </cell>
          <cell r="J185">
            <v>5841.42</v>
          </cell>
          <cell r="K185">
            <v>5857.81</v>
          </cell>
          <cell r="L185">
            <v>5948.97</v>
          </cell>
          <cell r="M185">
            <v>5802.43</v>
          </cell>
          <cell r="N185">
            <v>5678.9</v>
          </cell>
          <cell r="O185">
            <v>5511.15</v>
          </cell>
          <cell r="P185">
            <v>5695</v>
          </cell>
          <cell r="Q185">
            <v>68336.72</v>
          </cell>
        </row>
        <row r="186">
          <cell r="A186">
            <v>43090</v>
          </cell>
          <cell r="B186" t="str">
            <v>Pass Through Expenses</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A187">
            <v>43099</v>
          </cell>
          <cell r="B187" t="str">
            <v>Pass Through Expenses Intercompany</v>
          </cell>
          <cell r="E187">
            <v>0</v>
          </cell>
          <cell r="F187">
            <v>0</v>
          </cell>
          <cell r="G187">
            <v>0</v>
          </cell>
          <cell r="H187">
            <v>0</v>
          </cell>
          <cell r="I187">
            <v>0</v>
          </cell>
          <cell r="J187">
            <v>0</v>
          </cell>
          <cell r="K187">
            <v>0</v>
          </cell>
          <cell r="L187">
            <v>0</v>
          </cell>
          <cell r="M187">
            <v>0</v>
          </cell>
          <cell r="N187">
            <v>0</v>
          </cell>
          <cell r="O187">
            <v>0</v>
          </cell>
          <cell r="P187">
            <v>0</v>
          </cell>
          <cell r="Q187">
            <v>0</v>
          </cell>
        </row>
        <row r="188">
          <cell r="A188" t="str">
            <v>Total Brokerage, Rebates and Taxes</v>
          </cell>
          <cell r="E188">
            <v>26634.35</v>
          </cell>
          <cell r="F188">
            <v>26455.120000000003</v>
          </cell>
          <cell r="G188">
            <v>26929.96</v>
          </cell>
          <cell r="H188">
            <v>21636.53</v>
          </cell>
          <cell r="I188">
            <v>28938.77</v>
          </cell>
          <cell r="J188">
            <v>32480.559999999998</v>
          </cell>
          <cell r="K188">
            <v>32487.200000000001</v>
          </cell>
          <cell r="L188">
            <v>33023.46</v>
          </cell>
          <cell r="M188">
            <v>32341.56</v>
          </cell>
          <cell r="N188">
            <v>31478.11</v>
          </cell>
          <cell r="O188">
            <v>30590.309999999998</v>
          </cell>
          <cell r="P188">
            <v>31555.43</v>
          </cell>
          <cell r="Q188">
            <v>354551.36</v>
          </cell>
        </row>
        <row r="190">
          <cell r="A190" t="str">
            <v>Recycling Materials Expense</v>
          </cell>
        </row>
        <row r="191">
          <cell r="A191">
            <v>44161</v>
          </cell>
          <cell r="B191" t="str">
            <v>Cost of Materials - OCC</v>
          </cell>
          <cell r="E191">
            <v>0</v>
          </cell>
          <cell r="F191">
            <v>0</v>
          </cell>
          <cell r="G191">
            <v>0</v>
          </cell>
          <cell r="H191">
            <v>0</v>
          </cell>
          <cell r="I191">
            <v>0</v>
          </cell>
          <cell r="J191">
            <v>0</v>
          </cell>
          <cell r="K191">
            <v>0</v>
          </cell>
          <cell r="L191">
            <v>0</v>
          </cell>
          <cell r="M191">
            <v>0</v>
          </cell>
          <cell r="N191">
            <v>0</v>
          </cell>
          <cell r="O191">
            <v>0</v>
          </cell>
          <cell r="P191">
            <v>0</v>
          </cell>
          <cell r="Q191">
            <v>0</v>
          </cell>
        </row>
        <row r="192">
          <cell r="A192">
            <v>44162</v>
          </cell>
          <cell r="B192" t="str">
            <v>Cost of Materials - ONP</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v>44163</v>
          </cell>
          <cell r="B193" t="str">
            <v>Cost of Materials - Other Paper</v>
          </cell>
          <cell r="E193">
            <v>0</v>
          </cell>
          <cell r="F193">
            <v>0</v>
          </cell>
          <cell r="G193">
            <v>0</v>
          </cell>
          <cell r="H193">
            <v>0</v>
          </cell>
          <cell r="I193">
            <v>0</v>
          </cell>
          <cell r="J193">
            <v>0</v>
          </cell>
          <cell r="K193">
            <v>0</v>
          </cell>
          <cell r="L193">
            <v>0</v>
          </cell>
          <cell r="M193">
            <v>0</v>
          </cell>
          <cell r="N193">
            <v>0</v>
          </cell>
          <cell r="O193">
            <v>0</v>
          </cell>
          <cell r="P193">
            <v>0</v>
          </cell>
          <cell r="Q193">
            <v>0</v>
          </cell>
        </row>
        <row r="194">
          <cell r="A194">
            <v>44164</v>
          </cell>
          <cell r="B194" t="str">
            <v>Cost of Materials - Aluminum</v>
          </cell>
          <cell r="E194">
            <v>0</v>
          </cell>
          <cell r="F194">
            <v>0</v>
          </cell>
          <cell r="G194">
            <v>0</v>
          </cell>
          <cell r="H194">
            <v>0</v>
          </cell>
          <cell r="I194">
            <v>0</v>
          </cell>
          <cell r="J194">
            <v>0</v>
          </cell>
          <cell r="K194">
            <v>0</v>
          </cell>
          <cell r="L194">
            <v>0</v>
          </cell>
          <cell r="M194">
            <v>0</v>
          </cell>
          <cell r="N194">
            <v>0</v>
          </cell>
          <cell r="O194">
            <v>0</v>
          </cell>
          <cell r="P194">
            <v>0</v>
          </cell>
          <cell r="Q194">
            <v>0</v>
          </cell>
        </row>
        <row r="195">
          <cell r="A195">
            <v>44165</v>
          </cell>
          <cell r="B195" t="str">
            <v>Cost of Materials - Metal</v>
          </cell>
          <cell r="E195">
            <v>0</v>
          </cell>
          <cell r="F195">
            <v>0</v>
          </cell>
          <cell r="G195">
            <v>0</v>
          </cell>
          <cell r="H195">
            <v>0</v>
          </cell>
          <cell r="I195">
            <v>0</v>
          </cell>
          <cell r="J195">
            <v>0</v>
          </cell>
          <cell r="K195">
            <v>0</v>
          </cell>
          <cell r="L195">
            <v>0</v>
          </cell>
          <cell r="M195">
            <v>0</v>
          </cell>
          <cell r="N195">
            <v>0</v>
          </cell>
          <cell r="O195">
            <v>0</v>
          </cell>
          <cell r="P195">
            <v>0</v>
          </cell>
          <cell r="Q195">
            <v>0</v>
          </cell>
        </row>
        <row r="196">
          <cell r="A196">
            <v>44166</v>
          </cell>
          <cell r="B196" t="str">
            <v>Cost of Materials - Glass</v>
          </cell>
          <cell r="E196">
            <v>0</v>
          </cell>
          <cell r="F196">
            <v>0</v>
          </cell>
          <cell r="G196">
            <v>0</v>
          </cell>
          <cell r="H196">
            <v>0</v>
          </cell>
          <cell r="I196">
            <v>0</v>
          </cell>
          <cell r="J196">
            <v>0</v>
          </cell>
          <cell r="K196">
            <v>0</v>
          </cell>
          <cell r="L196">
            <v>0</v>
          </cell>
          <cell r="M196">
            <v>0</v>
          </cell>
          <cell r="N196">
            <v>0</v>
          </cell>
          <cell r="O196">
            <v>0</v>
          </cell>
          <cell r="P196">
            <v>0</v>
          </cell>
          <cell r="Q196">
            <v>0</v>
          </cell>
        </row>
        <row r="197">
          <cell r="A197">
            <v>44167</v>
          </cell>
          <cell r="B197" t="str">
            <v>Cost of Materials - Plastic</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v>44168</v>
          </cell>
          <cell r="B198" t="str">
            <v>Cost of Materials - Other Recyclables</v>
          </cell>
          <cell r="E198">
            <v>0</v>
          </cell>
          <cell r="F198">
            <v>0</v>
          </cell>
          <cell r="G198">
            <v>0</v>
          </cell>
          <cell r="H198">
            <v>0</v>
          </cell>
          <cell r="I198">
            <v>0</v>
          </cell>
          <cell r="J198">
            <v>0</v>
          </cell>
          <cell r="K198">
            <v>0</v>
          </cell>
          <cell r="L198">
            <v>0</v>
          </cell>
          <cell r="M198">
            <v>0</v>
          </cell>
          <cell r="N198">
            <v>0</v>
          </cell>
          <cell r="O198">
            <v>0</v>
          </cell>
          <cell r="P198">
            <v>0</v>
          </cell>
          <cell r="Q198">
            <v>0</v>
          </cell>
        </row>
        <row r="199">
          <cell r="A199">
            <v>44169</v>
          </cell>
          <cell r="B199" t="str">
            <v>Cost of Materials - Intercompany</v>
          </cell>
          <cell r="E199">
            <v>0</v>
          </cell>
          <cell r="F199">
            <v>0</v>
          </cell>
          <cell r="G199">
            <v>0</v>
          </cell>
          <cell r="H199">
            <v>0</v>
          </cell>
          <cell r="I199">
            <v>0</v>
          </cell>
          <cell r="J199">
            <v>0</v>
          </cell>
          <cell r="K199">
            <v>0</v>
          </cell>
          <cell r="L199">
            <v>0</v>
          </cell>
          <cell r="M199">
            <v>0</v>
          </cell>
          <cell r="N199">
            <v>0</v>
          </cell>
          <cell r="O199">
            <v>0</v>
          </cell>
          <cell r="P199">
            <v>0</v>
          </cell>
          <cell r="Q199">
            <v>0</v>
          </cell>
        </row>
        <row r="200">
          <cell r="A200">
            <v>44261</v>
          </cell>
          <cell r="B200" t="str">
            <v>Cost of Materials - Organics</v>
          </cell>
          <cell r="E200">
            <v>0</v>
          </cell>
          <cell r="F200">
            <v>0</v>
          </cell>
          <cell r="G200">
            <v>0</v>
          </cell>
          <cell r="H200">
            <v>0</v>
          </cell>
          <cell r="I200">
            <v>0</v>
          </cell>
          <cell r="J200">
            <v>0</v>
          </cell>
          <cell r="K200">
            <v>0</v>
          </cell>
          <cell r="L200">
            <v>0</v>
          </cell>
          <cell r="M200">
            <v>0</v>
          </cell>
          <cell r="N200">
            <v>0</v>
          </cell>
          <cell r="O200">
            <v>0</v>
          </cell>
          <cell r="P200">
            <v>0</v>
          </cell>
          <cell r="Q200">
            <v>0</v>
          </cell>
        </row>
        <row r="201">
          <cell r="A201">
            <v>44262</v>
          </cell>
          <cell r="B201" t="str">
            <v>Cost of Materials - Clean Wood</v>
          </cell>
          <cell r="E201">
            <v>0</v>
          </cell>
          <cell r="F201">
            <v>0</v>
          </cell>
          <cell r="G201">
            <v>0</v>
          </cell>
          <cell r="H201">
            <v>0</v>
          </cell>
          <cell r="I201">
            <v>0</v>
          </cell>
          <cell r="J201">
            <v>0</v>
          </cell>
          <cell r="K201">
            <v>0</v>
          </cell>
          <cell r="L201">
            <v>0</v>
          </cell>
          <cell r="M201">
            <v>0</v>
          </cell>
          <cell r="N201">
            <v>0</v>
          </cell>
          <cell r="O201">
            <v>0</v>
          </cell>
          <cell r="P201">
            <v>0</v>
          </cell>
          <cell r="Q201">
            <v>0</v>
          </cell>
        </row>
        <row r="202">
          <cell r="A202">
            <v>44263</v>
          </cell>
          <cell r="B202" t="str">
            <v>Cost of Materials - Landscaping Materials</v>
          </cell>
          <cell r="E202">
            <v>0</v>
          </cell>
          <cell r="F202">
            <v>0</v>
          </cell>
          <cell r="G202">
            <v>0</v>
          </cell>
          <cell r="H202">
            <v>0</v>
          </cell>
          <cell r="I202">
            <v>0</v>
          </cell>
          <cell r="J202">
            <v>0</v>
          </cell>
          <cell r="K202">
            <v>0</v>
          </cell>
          <cell r="L202">
            <v>0</v>
          </cell>
          <cell r="M202">
            <v>0</v>
          </cell>
          <cell r="N202">
            <v>0</v>
          </cell>
          <cell r="O202">
            <v>0</v>
          </cell>
          <cell r="P202">
            <v>0</v>
          </cell>
          <cell r="Q202">
            <v>0</v>
          </cell>
        </row>
        <row r="203">
          <cell r="A203" t="str">
            <v>Total Recycling Materials Expense</v>
          </cell>
          <cell r="E203">
            <v>0</v>
          </cell>
          <cell r="F203">
            <v>0</v>
          </cell>
          <cell r="G203">
            <v>0</v>
          </cell>
          <cell r="H203">
            <v>0</v>
          </cell>
          <cell r="I203">
            <v>0</v>
          </cell>
          <cell r="J203">
            <v>0</v>
          </cell>
          <cell r="K203">
            <v>0</v>
          </cell>
          <cell r="L203">
            <v>0</v>
          </cell>
          <cell r="M203">
            <v>0</v>
          </cell>
          <cell r="N203">
            <v>0</v>
          </cell>
          <cell r="O203">
            <v>0</v>
          </cell>
          <cell r="P203">
            <v>0</v>
          </cell>
          <cell r="Q203">
            <v>0</v>
          </cell>
        </row>
        <row r="205">
          <cell r="A205" t="str">
            <v>Other Expense</v>
          </cell>
        </row>
        <row r="206">
          <cell r="A206">
            <v>47000</v>
          </cell>
          <cell r="B206" t="str">
            <v>Cost of Containers Sold</v>
          </cell>
          <cell r="E206">
            <v>0</v>
          </cell>
          <cell r="F206">
            <v>0</v>
          </cell>
          <cell r="G206">
            <v>0</v>
          </cell>
          <cell r="H206">
            <v>0</v>
          </cell>
          <cell r="I206">
            <v>0</v>
          </cell>
          <cell r="J206">
            <v>0</v>
          </cell>
          <cell r="K206">
            <v>0</v>
          </cell>
          <cell r="L206">
            <v>0</v>
          </cell>
          <cell r="M206">
            <v>0</v>
          </cell>
          <cell r="N206">
            <v>0</v>
          </cell>
          <cell r="O206">
            <v>0</v>
          </cell>
          <cell r="P206">
            <v>0</v>
          </cell>
          <cell r="Q206">
            <v>0</v>
          </cell>
        </row>
        <row r="207">
          <cell r="A207">
            <v>47001</v>
          </cell>
          <cell r="B207" t="str">
            <v>Cost of Equipment Sold</v>
          </cell>
          <cell r="E207">
            <v>0</v>
          </cell>
          <cell r="F207">
            <v>0</v>
          </cell>
          <cell r="G207">
            <v>0</v>
          </cell>
          <cell r="H207">
            <v>0</v>
          </cell>
          <cell r="I207">
            <v>0</v>
          </cell>
          <cell r="J207">
            <v>0</v>
          </cell>
          <cell r="K207">
            <v>0</v>
          </cell>
          <cell r="L207">
            <v>0</v>
          </cell>
          <cell r="M207">
            <v>0</v>
          </cell>
          <cell r="N207">
            <v>0</v>
          </cell>
          <cell r="O207">
            <v>0</v>
          </cell>
          <cell r="P207">
            <v>0</v>
          </cell>
          <cell r="Q207">
            <v>0</v>
          </cell>
        </row>
        <row r="208">
          <cell r="A208">
            <v>47010</v>
          </cell>
          <cell r="B208" t="str">
            <v>Tire Processing Expenses</v>
          </cell>
          <cell r="E208">
            <v>0</v>
          </cell>
          <cell r="F208">
            <v>0</v>
          </cell>
          <cell r="G208">
            <v>0</v>
          </cell>
          <cell r="H208">
            <v>0</v>
          </cell>
          <cell r="I208">
            <v>0</v>
          </cell>
          <cell r="J208">
            <v>0</v>
          </cell>
          <cell r="K208">
            <v>0</v>
          </cell>
          <cell r="L208">
            <v>0</v>
          </cell>
          <cell r="M208">
            <v>0</v>
          </cell>
          <cell r="N208">
            <v>0</v>
          </cell>
          <cell r="O208">
            <v>0</v>
          </cell>
          <cell r="P208">
            <v>0</v>
          </cell>
          <cell r="Q208">
            <v>0</v>
          </cell>
        </row>
        <row r="209">
          <cell r="A209">
            <v>47019</v>
          </cell>
          <cell r="B209" t="str">
            <v>Tire Processing Expenses - Intercompany</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Total Other Expense</v>
          </cell>
          <cell r="E210">
            <v>0</v>
          </cell>
          <cell r="F210">
            <v>0</v>
          </cell>
          <cell r="G210">
            <v>0</v>
          </cell>
          <cell r="H210">
            <v>0</v>
          </cell>
          <cell r="I210">
            <v>0</v>
          </cell>
          <cell r="J210">
            <v>0</v>
          </cell>
          <cell r="K210">
            <v>0</v>
          </cell>
          <cell r="L210">
            <v>0</v>
          </cell>
          <cell r="M210">
            <v>0</v>
          </cell>
          <cell r="N210">
            <v>0</v>
          </cell>
          <cell r="O210">
            <v>0</v>
          </cell>
          <cell r="P210">
            <v>0</v>
          </cell>
          <cell r="Q210">
            <v>0</v>
          </cell>
        </row>
        <row r="212">
          <cell r="A212" t="str">
            <v>Total Revenue Reductions</v>
          </cell>
          <cell r="E212">
            <v>549574.68000000005</v>
          </cell>
          <cell r="F212">
            <v>499977.51</v>
          </cell>
          <cell r="G212">
            <v>581134.85</v>
          </cell>
          <cell r="H212">
            <v>559914.17000000004</v>
          </cell>
          <cell r="I212">
            <v>564010.48</v>
          </cell>
          <cell r="J212">
            <v>615173.96</v>
          </cell>
          <cell r="K212">
            <v>604101.30999999994</v>
          </cell>
          <cell r="L212">
            <v>604404.01</v>
          </cell>
          <cell r="M212">
            <v>602121.30000000005</v>
          </cell>
          <cell r="N212">
            <v>569292.79999999993</v>
          </cell>
          <cell r="O212">
            <v>561398.1399999999</v>
          </cell>
          <cell r="P212">
            <v>607565.14</v>
          </cell>
          <cell r="Q212">
            <v>6918668.3499999996</v>
          </cell>
        </row>
        <row r="214">
          <cell r="A214" t="str">
            <v>Net Revenue</v>
          </cell>
          <cell r="E214">
            <v>839957.93</v>
          </cell>
          <cell r="F214">
            <v>880100</v>
          </cell>
          <cell r="G214">
            <v>827312.04999999993</v>
          </cell>
          <cell r="H214">
            <v>859264.9</v>
          </cell>
          <cell r="I214">
            <v>855566.97999999975</v>
          </cell>
          <cell r="J214">
            <v>851493.29</v>
          </cell>
          <cell r="K214">
            <v>861895.62</v>
          </cell>
          <cell r="L214">
            <v>887553.74</v>
          </cell>
          <cell r="M214">
            <v>858415.54</v>
          </cell>
          <cell r="N214">
            <v>850652.68999999983</v>
          </cell>
          <cell r="O214">
            <v>822171.2100000002</v>
          </cell>
          <cell r="P214">
            <v>814403.91999999981</v>
          </cell>
          <cell r="Q214">
            <v>10208787.869999995</v>
          </cell>
        </row>
        <row r="216">
          <cell r="A216" t="str">
            <v>Cost of Operations</v>
          </cell>
        </row>
        <row r="217">
          <cell r="A217" t="str">
            <v>Labor</v>
          </cell>
        </row>
        <row r="218">
          <cell r="A218">
            <v>50010</v>
          </cell>
          <cell r="B218" t="str">
            <v>Salaries</v>
          </cell>
          <cell r="E218">
            <v>0</v>
          </cell>
          <cell r="F218">
            <v>0</v>
          </cell>
          <cell r="G218">
            <v>0</v>
          </cell>
          <cell r="H218">
            <v>0</v>
          </cell>
          <cell r="I218">
            <v>0</v>
          </cell>
          <cell r="J218">
            <v>0</v>
          </cell>
          <cell r="K218">
            <v>0</v>
          </cell>
          <cell r="L218">
            <v>0</v>
          </cell>
          <cell r="M218">
            <v>0</v>
          </cell>
          <cell r="N218">
            <v>0</v>
          </cell>
          <cell r="O218">
            <v>0</v>
          </cell>
          <cell r="P218">
            <v>0</v>
          </cell>
          <cell r="Q218">
            <v>0</v>
          </cell>
        </row>
        <row r="219">
          <cell r="A219">
            <v>50020</v>
          </cell>
          <cell r="B219" t="str">
            <v>Wages Regular</v>
          </cell>
          <cell r="E219">
            <v>148506.62</v>
          </cell>
          <cell r="F219">
            <v>147781.52000000002</v>
          </cell>
          <cell r="G219">
            <v>162872.48000000001</v>
          </cell>
          <cell r="H219">
            <v>152426.56</v>
          </cell>
          <cell r="I219">
            <v>133250.6</v>
          </cell>
          <cell r="J219">
            <v>141014.94</v>
          </cell>
          <cell r="K219">
            <v>138800.41999999998</v>
          </cell>
          <cell r="L219">
            <v>144467.28999999998</v>
          </cell>
          <cell r="M219">
            <v>139411.4</v>
          </cell>
          <cell r="N219">
            <v>131255.16</v>
          </cell>
          <cell r="O219">
            <v>135440.33000000002</v>
          </cell>
          <cell r="P219">
            <v>141049.91999999998</v>
          </cell>
          <cell r="Q219">
            <v>1716277.2399999998</v>
          </cell>
        </row>
        <row r="220">
          <cell r="A220">
            <v>50025</v>
          </cell>
          <cell r="B220" t="str">
            <v>Wages O.T.</v>
          </cell>
          <cell r="E220">
            <v>22975.54</v>
          </cell>
          <cell r="F220">
            <v>6810.35</v>
          </cell>
          <cell r="G220">
            <v>14008.81</v>
          </cell>
          <cell r="H220">
            <v>20795.96</v>
          </cell>
          <cell r="I220">
            <v>28625.24</v>
          </cell>
          <cell r="J220">
            <v>22652.750000000004</v>
          </cell>
          <cell r="K220">
            <v>20035.850000000002</v>
          </cell>
          <cell r="L220">
            <v>20754.88</v>
          </cell>
          <cell r="M220">
            <v>29699.32</v>
          </cell>
          <cell r="N220">
            <v>20332.329999999998</v>
          </cell>
          <cell r="O220">
            <v>32459.590000000004</v>
          </cell>
          <cell r="P220">
            <v>20007.580000000002</v>
          </cell>
          <cell r="Q220">
            <v>259158.2</v>
          </cell>
        </row>
        <row r="221">
          <cell r="A221">
            <v>50035</v>
          </cell>
          <cell r="B221" t="str">
            <v>Safety Bonuses</v>
          </cell>
          <cell r="E221">
            <v>3200</v>
          </cell>
          <cell r="F221">
            <v>3200</v>
          </cell>
          <cell r="G221">
            <v>3200</v>
          </cell>
          <cell r="H221">
            <v>3200</v>
          </cell>
          <cell r="I221">
            <v>3950</v>
          </cell>
          <cell r="J221">
            <v>3950</v>
          </cell>
          <cell r="K221">
            <v>3950</v>
          </cell>
          <cell r="L221">
            <v>3950</v>
          </cell>
          <cell r="M221">
            <v>2000</v>
          </cell>
          <cell r="N221">
            <v>2000</v>
          </cell>
          <cell r="O221">
            <v>3200</v>
          </cell>
          <cell r="P221">
            <v>0</v>
          </cell>
          <cell r="Q221">
            <v>35800</v>
          </cell>
        </row>
        <row r="222">
          <cell r="A222">
            <v>50036</v>
          </cell>
          <cell r="B222" t="str">
            <v>Other Bonus/Commission - Non-Safety</v>
          </cell>
          <cell r="E222">
            <v>0</v>
          </cell>
          <cell r="F222">
            <v>0</v>
          </cell>
          <cell r="G222">
            <v>1125</v>
          </cell>
          <cell r="H222">
            <v>0</v>
          </cell>
          <cell r="I222">
            <v>0</v>
          </cell>
          <cell r="J222">
            <v>0</v>
          </cell>
          <cell r="K222">
            <v>0</v>
          </cell>
          <cell r="L222">
            <v>0</v>
          </cell>
          <cell r="M222">
            <v>0</v>
          </cell>
          <cell r="N222">
            <v>0</v>
          </cell>
          <cell r="O222">
            <v>0</v>
          </cell>
          <cell r="P222">
            <v>0</v>
          </cell>
          <cell r="Q222">
            <v>1125</v>
          </cell>
        </row>
        <row r="223">
          <cell r="A223">
            <v>50045</v>
          </cell>
          <cell r="B223" t="str">
            <v>Contract Labor</v>
          </cell>
          <cell r="E223">
            <v>0</v>
          </cell>
          <cell r="F223">
            <v>0</v>
          </cell>
          <cell r="G223">
            <v>0</v>
          </cell>
          <cell r="H223">
            <v>0</v>
          </cell>
          <cell r="I223">
            <v>0</v>
          </cell>
          <cell r="J223">
            <v>0</v>
          </cell>
          <cell r="K223">
            <v>0</v>
          </cell>
          <cell r="L223">
            <v>0</v>
          </cell>
          <cell r="M223">
            <v>0</v>
          </cell>
          <cell r="N223">
            <v>0</v>
          </cell>
          <cell r="O223">
            <v>0</v>
          </cell>
          <cell r="P223">
            <v>0</v>
          </cell>
          <cell r="Q223">
            <v>0</v>
          </cell>
        </row>
        <row r="224">
          <cell r="A224">
            <v>50050</v>
          </cell>
          <cell r="B224" t="str">
            <v>Payroll Taxes</v>
          </cell>
          <cell r="E224">
            <v>21085.43</v>
          </cell>
          <cell r="F224">
            <v>16517.190000000002</v>
          </cell>
          <cell r="G224">
            <v>17618.89</v>
          </cell>
          <cell r="H224">
            <v>17201.14</v>
          </cell>
          <cell r="I224">
            <v>16035.320000000002</v>
          </cell>
          <cell r="J224">
            <v>17468.87</v>
          </cell>
          <cell r="K224">
            <v>16392.41</v>
          </cell>
          <cell r="L224">
            <v>16351.01</v>
          </cell>
          <cell r="M224">
            <v>17217.28</v>
          </cell>
          <cell r="N224">
            <v>14701.12</v>
          </cell>
          <cell r="O224">
            <v>17942.59</v>
          </cell>
          <cell r="P224">
            <v>10482.15</v>
          </cell>
          <cell r="Q224">
            <v>199013.4</v>
          </cell>
        </row>
        <row r="225">
          <cell r="A225">
            <v>50060</v>
          </cell>
          <cell r="B225" t="str">
            <v>Group Insurance</v>
          </cell>
          <cell r="E225">
            <v>1330</v>
          </cell>
          <cell r="F225">
            <v>1226</v>
          </cell>
          <cell r="G225">
            <v>729.5</v>
          </cell>
          <cell r="H225">
            <v>1026.5</v>
          </cell>
          <cell r="I225">
            <v>878</v>
          </cell>
          <cell r="J225">
            <v>878</v>
          </cell>
          <cell r="K225">
            <v>878.77</v>
          </cell>
          <cell r="L225">
            <v>826</v>
          </cell>
          <cell r="M225">
            <v>1077.5</v>
          </cell>
          <cell r="N225">
            <v>1826.5</v>
          </cell>
          <cell r="O225">
            <v>1678.77</v>
          </cell>
          <cell r="P225">
            <v>1088.4199999999998</v>
          </cell>
          <cell r="Q225">
            <v>13443.960000000001</v>
          </cell>
        </row>
        <row r="226">
          <cell r="A226">
            <v>50065</v>
          </cell>
          <cell r="B226" t="str">
            <v>Vacation Pay</v>
          </cell>
          <cell r="E226">
            <v>13381.59</v>
          </cell>
          <cell r="F226">
            <v>8706.9500000000007</v>
          </cell>
          <cell r="G226">
            <v>9543.1899999999987</v>
          </cell>
          <cell r="H226">
            <v>7013.4</v>
          </cell>
          <cell r="I226">
            <v>14309.95</v>
          </cell>
          <cell r="J226">
            <v>8179.11</v>
          </cell>
          <cell r="K226">
            <v>14227.68</v>
          </cell>
          <cell r="L226">
            <v>7288.4699999999993</v>
          </cell>
          <cell r="M226">
            <v>15009.16</v>
          </cell>
          <cell r="N226">
            <v>10400.879999999999</v>
          </cell>
          <cell r="O226">
            <v>16702.490000000002</v>
          </cell>
          <cell r="P226">
            <v>14167.710000000001</v>
          </cell>
          <cell r="Q226">
            <v>138930.58000000002</v>
          </cell>
        </row>
        <row r="227">
          <cell r="A227">
            <v>50070</v>
          </cell>
          <cell r="B227" t="str">
            <v>Sick Pay</v>
          </cell>
          <cell r="E227">
            <v>510.84</v>
          </cell>
          <cell r="F227">
            <v>-249.9</v>
          </cell>
          <cell r="G227">
            <v>257.39999999999998</v>
          </cell>
          <cell r="H227">
            <v>14.4</v>
          </cell>
          <cell r="I227">
            <v>0</v>
          </cell>
          <cell r="J227">
            <v>722.88</v>
          </cell>
          <cell r="K227">
            <v>80.319999999999993</v>
          </cell>
          <cell r="L227">
            <v>92</v>
          </cell>
          <cell r="M227">
            <v>0</v>
          </cell>
          <cell r="N227">
            <v>200.8</v>
          </cell>
          <cell r="O227">
            <v>156.4</v>
          </cell>
          <cell r="P227">
            <v>27.6</v>
          </cell>
          <cell r="Q227">
            <v>1812.7399999999998</v>
          </cell>
        </row>
        <row r="228">
          <cell r="A228">
            <v>50086</v>
          </cell>
          <cell r="B228" t="str">
            <v>Safety and Training</v>
          </cell>
          <cell r="E228">
            <v>52.5</v>
          </cell>
          <cell r="F228">
            <v>57.5</v>
          </cell>
          <cell r="G228">
            <v>269.42</v>
          </cell>
          <cell r="H228">
            <v>-147.5</v>
          </cell>
          <cell r="I228">
            <v>423.2</v>
          </cell>
          <cell r="J228">
            <v>0</v>
          </cell>
          <cell r="K228">
            <v>0</v>
          </cell>
          <cell r="L228">
            <v>0</v>
          </cell>
          <cell r="M228">
            <v>1724.48</v>
          </cell>
          <cell r="N228">
            <v>1092.78</v>
          </cell>
          <cell r="O228">
            <v>642.78</v>
          </cell>
          <cell r="P228">
            <v>0</v>
          </cell>
          <cell r="Q228">
            <v>4115.16</v>
          </cell>
        </row>
        <row r="229">
          <cell r="A229">
            <v>50087</v>
          </cell>
          <cell r="B229" t="str">
            <v>Drug Testing</v>
          </cell>
          <cell r="E229">
            <v>60</v>
          </cell>
          <cell r="F229">
            <v>0</v>
          </cell>
          <cell r="G229">
            <v>0</v>
          </cell>
          <cell r="H229">
            <v>240</v>
          </cell>
          <cell r="I229">
            <v>120</v>
          </cell>
          <cell r="J229">
            <v>240</v>
          </cell>
          <cell r="K229">
            <v>694</v>
          </cell>
          <cell r="L229">
            <v>180</v>
          </cell>
          <cell r="M229">
            <v>420</v>
          </cell>
          <cell r="N229">
            <v>60</v>
          </cell>
          <cell r="O229">
            <v>360</v>
          </cell>
          <cell r="P229">
            <v>60</v>
          </cell>
          <cell r="Q229">
            <v>2434</v>
          </cell>
        </row>
        <row r="230">
          <cell r="A230">
            <v>50090</v>
          </cell>
          <cell r="B230" t="str">
            <v>Uniforms</v>
          </cell>
          <cell r="E230">
            <v>6868.59</v>
          </cell>
          <cell r="F230">
            <v>9292.77</v>
          </cell>
          <cell r="G230">
            <v>8124.38</v>
          </cell>
          <cell r="H230">
            <v>7694.95</v>
          </cell>
          <cell r="I230">
            <v>4128.24</v>
          </cell>
          <cell r="J230">
            <v>12100.73</v>
          </cell>
          <cell r="K230">
            <v>9167.7900000000009</v>
          </cell>
          <cell r="L230">
            <v>12042.49</v>
          </cell>
          <cell r="M230">
            <v>8237.0400000000009</v>
          </cell>
          <cell r="N230">
            <v>8038.55</v>
          </cell>
          <cell r="O230">
            <v>7814.48</v>
          </cell>
          <cell r="P230">
            <v>9358.16</v>
          </cell>
          <cell r="Q230">
            <v>102868.17000000001</v>
          </cell>
        </row>
        <row r="231">
          <cell r="A231">
            <v>50115</v>
          </cell>
          <cell r="B231" t="str">
            <v>Pension and Profit Sharing</v>
          </cell>
          <cell r="E231">
            <v>20881.310000000001</v>
          </cell>
          <cell r="F231">
            <v>19908.310000000001</v>
          </cell>
          <cell r="G231">
            <v>22571.059999999998</v>
          </cell>
          <cell r="H231">
            <v>20908.93</v>
          </cell>
          <cell r="I231">
            <v>20644.87</v>
          </cell>
          <cell r="J231">
            <v>20431.82</v>
          </cell>
          <cell r="K231">
            <v>19793.68</v>
          </cell>
          <cell r="L231">
            <v>25409.94</v>
          </cell>
          <cell r="M231">
            <v>19345.43</v>
          </cell>
          <cell r="N231">
            <v>18963.18</v>
          </cell>
          <cell r="O231">
            <v>19131.61</v>
          </cell>
          <cell r="P231">
            <v>16610.04</v>
          </cell>
          <cell r="Q231">
            <v>244600.17999999996</v>
          </cell>
        </row>
        <row r="232">
          <cell r="A232">
            <v>50116</v>
          </cell>
          <cell r="B232" t="str">
            <v>Union Benefit Expense</v>
          </cell>
          <cell r="E232">
            <v>55955.6</v>
          </cell>
          <cell r="F232">
            <v>54981.08</v>
          </cell>
          <cell r="G232">
            <v>57124.76</v>
          </cell>
          <cell r="H232">
            <v>59521.61</v>
          </cell>
          <cell r="I232">
            <v>55020.61</v>
          </cell>
          <cell r="J232">
            <v>53907.77</v>
          </cell>
          <cell r="K232">
            <v>51487.79</v>
          </cell>
          <cell r="L232">
            <v>50364.490000000005</v>
          </cell>
          <cell r="M232">
            <v>51135.950000000004</v>
          </cell>
          <cell r="N232">
            <v>51271.57</v>
          </cell>
          <cell r="O232">
            <v>52010.640000000007</v>
          </cell>
          <cell r="P232">
            <v>49943.11</v>
          </cell>
          <cell r="Q232">
            <v>642724.98</v>
          </cell>
        </row>
        <row r="233">
          <cell r="A233">
            <v>50117</v>
          </cell>
          <cell r="B233" t="str">
            <v>Union Pension</v>
          </cell>
          <cell r="E233">
            <v>0</v>
          </cell>
          <cell r="F233">
            <v>0</v>
          </cell>
          <cell r="G233">
            <v>0</v>
          </cell>
          <cell r="H233">
            <v>0</v>
          </cell>
          <cell r="I233">
            <v>0</v>
          </cell>
          <cell r="J233">
            <v>0</v>
          </cell>
          <cell r="K233">
            <v>0</v>
          </cell>
          <cell r="L233">
            <v>0</v>
          </cell>
          <cell r="M233">
            <v>0</v>
          </cell>
          <cell r="N233">
            <v>0</v>
          </cell>
          <cell r="O233">
            <v>0</v>
          </cell>
          <cell r="P233">
            <v>0</v>
          </cell>
          <cell r="Q233">
            <v>0</v>
          </cell>
        </row>
        <row r="234">
          <cell r="A234">
            <v>50148</v>
          </cell>
          <cell r="B234" t="str">
            <v>Allocated Exp In - District</v>
          </cell>
          <cell r="E234">
            <v>0</v>
          </cell>
          <cell r="F234">
            <v>0</v>
          </cell>
          <cell r="G234">
            <v>0</v>
          </cell>
          <cell r="H234">
            <v>0</v>
          </cell>
          <cell r="I234">
            <v>0</v>
          </cell>
          <cell r="J234">
            <v>0</v>
          </cell>
          <cell r="K234">
            <v>0</v>
          </cell>
          <cell r="L234">
            <v>0</v>
          </cell>
          <cell r="M234">
            <v>0</v>
          </cell>
          <cell r="N234">
            <v>0</v>
          </cell>
          <cell r="O234">
            <v>0</v>
          </cell>
          <cell r="P234">
            <v>0</v>
          </cell>
          <cell r="Q234">
            <v>0</v>
          </cell>
        </row>
        <row r="235">
          <cell r="A235">
            <v>50149</v>
          </cell>
          <cell r="B235" t="str">
            <v>Allocated Exp In Out - District</v>
          </cell>
          <cell r="E235">
            <v>0</v>
          </cell>
          <cell r="F235">
            <v>0</v>
          </cell>
          <cell r="G235">
            <v>0</v>
          </cell>
          <cell r="H235">
            <v>0</v>
          </cell>
          <cell r="I235">
            <v>0</v>
          </cell>
          <cell r="J235">
            <v>0</v>
          </cell>
          <cell r="K235">
            <v>0</v>
          </cell>
          <cell r="L235">
            <v>0</v>
          </cell>
          <cell r="M235">
            <v>0</v>
          </cell>
          <cell r="N235">
            <v>0</v>
          </cell>
          <cell r="O235">
            <v>0</v>
          </cell>
          <cell r="P235">
            <v>0</v>
          </cell>
          <cell r="Q235">
            <v>0</v>
          </cell>
        </row>
        <row r="236">
          <cell r="A236">
            <v>50335</v>
          </cell>
          <cell r="B236" t="str">
            <v>Miscellaneous</v>
          </cell>
          <cell r="E236">
            <v>0</v>
          </cell>
          <cell r="F236">
            <v>0</v>
          </cell>
          <cell r="G236">
            <v>0</v>
          </cell>
          <cell r="H236">
            <v>0</v>
          </cell>
          <cell r="I236">
            <v>0</v>
          </cell>
          <cell r="J236">
            <v>0</v>
          </cell>
          <cell r="K236">
            <v>0</v>
          </cell>
          <cell r="L236">
            <v>0</v>
          </cell>
          <cell r="M236">
            <v>0</v>
          </cell>
          <cell r="N236">
            <v>0</v>
          </cell>
          <cell r="O236">
            <v>0</v>
          </cell>
          <cell r="P236">
            <v>0</v>
          </cell>
          <cell r="Q236">
            <v>0</v>
          </cell>
        </row>
        <row r="237">
          <cell r="A237">
            <v>50900</v>
          </cell>
          <cell r="B237" t="str">
            <v>Capitalized Costs</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A238">
            <v>50998</v>
          </cell>
          <cell r="B238" t="str">
            <v>Allocation Out - District</v>
          </cell>
          <cell r="E238">
            <v>0</v>
          </cell>
          <cell r="F238">
            <v>0</v>
          </cell>
          <cell r="G238">
            <v>0</v>
          </cell>
          <cell r="H238">
            <v>0</v>
          </cell>
          <cell r="I238">
            <v>0</v>
          </cell>
          <cell r="J238">
            <v>0</v>
          </cell>
          <cell r="K238">
            <v>0</v>
          </cell>
          <cell r="L238">
            <v>0</v>
          </cell>
          <cell r="M238">
            <v>0</v>
          </cell>
          <cell r="N238">
            <v>0</v>
          </cell>
          <cell r="O238">
            <v>0</v>
          </cell>
          <cell r="P238">
            <v>0</v>
          </cell>
          <cell r="Q238">
            <v>0</v>
          </cell>
        </row>
        <row r="239">
          <cell r="A239">
            <v>50999</v>
          </cell>
          <cell r="B239" t="str">
            <v>Allocation Out - Out District</v>
          </cell>
          <cell r="E239">
            <v>0</v>
          </cell>
          <cell r="F239">
            <v>0</v>
          </cell>
          <cell r="G239">
            <v>0</v>
          </cell>
          <cell r="H239">
            <v>0</v>
          </cell>
          <cell r="I239">
            <v>0</v>
          </cell>
          <cell r="J239">
            <v>0</v>
          </cell>
          <cell r="K239">
            <v>0</v>
          </cell>
          <cell r="L239">
            <v>0</v>
          </cell>
          <cell r="M239">
            <v>0</v>
          </cell>
          <cell r="N239">
            <v>0</v>
          </cell>
          <cell r="O239">
            <v>0</v>
          </cell>
          <cell r="P239">
            <v>0</v>
          </cell>
          <cell r="Q239">
            <v>0</v>
          </cell>
        </row>
        <row r="240">
          <cell r="A240" t="str">
            <v>Total Labor</v>
          </cell>
          <cell r="E240">
            <v>294808.01999999996</v>
          </cell>
          <cell r="F240">
            <v>268231.77</v>
          </cell>
          <cell r="G240">
            <v>297444.89</v>
          </cell>
          <cell r="H240">
            <v>289895.94999999995</v>
          </cell>
          <cell r="I240">
            <v>277386.03000000003</v>
          </cell>
          <cell r="J240">
            <v>281546.87</v>
          </cell>
          <cell r="K240">
            <v>275508.70999999996</v>
          </cell>
          <cell r="L240">
            <v>281726.57</v>
          </cell>
          <cell r="M240">
            <v>285277.56</v>
          </cell>
          <cell r="N240">
            <v>260142.86999999997</v>
          </cell>
          <cell r="O240">
            <v>287539.68</v>
          </cell>
          <cell r="P240">
            <v>262794.69</v>
          </cell>
          <cell r="Q240">
            <v>3362303.6100000003</v>
          </cell>
        </row>
        <row r="242">
          <cell r="A242" t="str">
            <v>Truck Fixed Expenses</v>
          </cell>
        </row>
        <row r="243">
          <cell r="A243">
            <v>51148</v>
          </cell>
          <cell r="B243" t="str">
            <v>Allocation In - District</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A244">
            <v>51149</v>
          </cell>
          <cell r="B244" t="str">
            <v>Allocation In - Out District</v>
          </cell>
          <cell r="E244">
            <v>0</v>
          </cell>
          <cell r="F244">
            <v>0</v>
          </cell>
          <cell r="G244">
            <v>0</v>
          </cell>
          <cell r="H244">
            <v>0</v>
          </cell>
          <cell r="I244">
            <v>0</v>
          </cell>
          <cell r="J244">
            <v>0</v>
          </cell>
          <cell r="K244">
            <v>0</v>
          </cell>
          <cell r="L244">
            <v>0</v>
          </cell>
          <cell r="M244">
            <v>0</v>
          </cell>
          <cell r="N244">
            <v>0</v>
          </cell>
          <cell r="O244">
            <v>0</v>
          </cell>
          <cell r="P244">
            <v>0</v>
          </cell>
          <cell r="Q244">
            <v>0</v>
          </cell>
        </row>
        <row r="245">
          <cell r="A245">
            <v>51175</v>
          </cell>
          <cell r="B245" t="str">
            <v>Equipment/Vehicle Rental</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A246">
            <v>51275</v>
          </cell>
          <cell r="B246" t="str">
            <v>Property Taxes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A247">
            <v>51295</v>
          </cell>
          <cell r="B247" t="str">
            <v>Licenses</v>
          </cell>
          <cell r="E247">
            <v>2602.56</v>
          </cell>
          <cell r="F247">
            <v>2531.56</v>
          </cell>
          <cell r="G247">
            <v>2595.5500000000002</v>
          </cell>
          <cell r="H247">
            <v>2489.9299999999998</v>
          </cell>
          <cell r="I247">
            <v>2160.58</v>
          </cell>
          <cell r="J247">
            <v>2256.83</v>
          </cell>
          <cell r="K247">
            <v>2128.83</v>
          </cell>
          <cell r="L247">
            <v>2085.83</v>
          </cell>
          <cell r="M247">
            <v>2085.83</v>
          </cell>
          <cell r="N247">
            <v>2190.83</v>
          </cell>
          <cell r="O247">
            <v>2085.83</v>
          </cell>
          <cell r="P247">
            <v>2550.89</v>
          </cell>
          <cell r="Q247">
            <v>27765.050000000003</v>
          </cell>
        </row>
        <row r="248">
          <cell r="A248">
            <v>51335</v>
          </cell>
          <cell r="B248" t="str">
            <v>Miscellaneous</v>
          </cell>
          <cell r="E248">
            <v>0</v>
          </cell>
          <cell r="F248">
            <v>0</v>
          </cell>
          <cell r="G248">
            <v>0</v>
          </cell>
          <cell r="H248">
            <v>0</v>
          </cell>
          <cell r="I248">
            <v>0</v>
          </cell>
          <cell r="J248">
            <v>0</v>
          </cell>
          <cell r="K248">
            <v>0</v>
          </cell>
          <cell r="L248">
            <v>0</v>
          </cell>
          <cell r="M248">
            <v>0</v>
          </cell>
          <cell r="N248">
            <v>0</v>
          </cell>
          <cell r="O248">
            <v>0</v>
          </cell>
          <cell r="P248">
            <v>0</v>
          </cell>
          <cell r="Q248">
            <v>0</v>
          </cell>
        </row>
        <row r="249">
          <cell r="A249">
            <v>51998</v>
          </cell>
          <cell r="B249" t="str">
            <v>Allocation Out - District</v>
          </cell>
          <cell r="E249">
            <v>0</v>
          </cell>
          <cell r="F249">
            <v>0</v>
          </cell>
          <cell r="G249">
            <v>0</v>
          </cell>
          <cell r="H249">
            <v>0</v>
          </cell>
          <cell r="I249">
            <v>0</v>
          </cell>
          <cell r="J249">
            <v>0</v>
          </cell>
          <cell r="K249">
            <v>0</v>
          </cell>
          <cell r="L249">
            <v>0</v>
          </cell>
          <cell r="M249">
            <v>0</v>
          </cell>
          <cell r="N249">
            <v>0</v>
          </cell>
          <cell r="O249">
            <v>0</v>
          </cell>
          <cell r="P249">
            <v>0</v>
          </cell>
          <cell r="Q249">
            <v>0</v>
          </cell>
        </row>
        <row r="250">
          <cell r="A250">
            <v>51999</v>
          </cell>
          <cell r="B250" t="str">
            <v>Allocation Out - Out District</v>
          </cell>
          <cell r="E250">
            <v>0</v>
          </cell>
          <cell r="F250">
            <v>0</v>
          </cell>
          <cell r="G250">
            <v>0</v>
          </cell>
          <cell r="H250">
            <v>0</v>
          </cell>
          <cell r="I250">
            <v>0</v>
          </cell>
          <cell r="J250">
            <v>0</v>
          </cell>
          <cell r="K250">
            <v>0</v>
          </cell>
          <cell r="L250">
            <v>0</v>
          </cell>
          <cell r="M250">
            <v>0</v>
          </cell>
          <cell r="N250">
            <v>0</v>
          </cell>
          <cell r="O250">
            <v>0</v>
          </cell>
          <cell r="P250">
            <v>0</v>
          </cell>
          <cell r="Q250">
            <v>0</v>
          </cell>
        </row>
        <row r="251">
          <cell r="A251" t="str">
            <v>Total Truck Fixed Expenses</v>
          </cell>
          <cell r="E251">
            <v>2602.56</v>
          </cell>
          <cell r="F251">
            <v>2531.56</v>
          </cell>
          <cell r="G251">
            <v>2595.5500000000002</v>
          </cell>
          <cell r="H251">
            <v>2489.9299999999998</v>
          </cell>
          <cell r="I251">
            <v>2160.58</v>
          </cell>
          <cell r="J251">
            <v>2256.83</v>
          </cell>
          <cell r="K251">
            <v>2128.83</v>
          </cell>
          <cell r="L251">
            <v>2085.83</v>
          </cell>
          <cell r="M251">
            <v>2085.83</v>
          </cell>
          <cell r="N251">
            <v>2190.83</v>
          </cell>
          <cell r="O251">
            <v>2085.83</v>
          </cell>
          <cell r="P251">
            <v>2550.89</v>
          </cell>
          <cell r="Q251">
            <v>27765.050000000003</v>
          </cell>
        </row>
        <row r="253">
          <cell r="A253" t="str">
            <v>Truck Variable Expenses</v>
          </cell>
        </row>
        <row r="254">
          <cell r="A254">
            <v>52010</v>
          </cell>
          <cell r="B254" t="str">
            <v>Salaries</v>
          </cell>
          <cell r="E254">
            <v>6209.13</v>
          </cell>
          <cell r="F254">
            <v>5913.46</v>
          </cell>
          <cell r="G254">
            <v>6800.48</v>
          </cell>
          <cell r="H254">
            <v>6504.81</v>
          </cell>
          <cell r="I254">
            <v>6209.13</v>
          </cell>
          <cell r="J254">
            <v>6504.8</v>
          </cell>
          <cell r="K254">
            <v>6504.81</v>
          </cell>
          <cell r="L254">
            <v>6504.81</v>
          </cell>
          <cell r="M254">
            <v>6504.8</v>
          </cell>
          <cell r="N254">
            <v>6209.14</v>
          </cell>
          <cell r="O254">
            <v>6504.8</v>
          </cell>
          <cell r="P254">
            <v>6800.48</v>
          </cell>
          <cell r="Q254">
            <v>77170.649999999994</v>
          </cell>
        </row>
        <row r="255">
          <cell r="A255">
            <v>52020</v>
          </cell>
          <cell r="B255" t="str">
            <v>Wages Regular</v>
          </cell>
          <cell r="E255">
            <v>11640.62</v>
          </cell>
          <cell r="F255">
            <v>14929.71</v>
          </cell>
          <cell r="G255">
            <v>14082.73</v>
          </cell>
          <cell r="H255">
            <v>13654.74</v>
          </cell>
          <cell r="I255">
            <v>14918.37</v>
          </cell>
          <cell r="J255">
            <v>14754.95</v>
          </cell>
          <cell r="K255">
            <v>12181.44</v>
          </cell>
          <cell r="L255">
            <v>11315.17</v>
          </cell>
          <cell r="M255">
            <v>11931.83</v>
          </cell>
          <cell r="N255">
            <v>11946.65</v>
          </cell>
          <cell r="O255">
            <v>12371.33</v>
          </cell>
          <cell r="P255">
            <v>15662.7</v>
          </cell>
          <cell r="Q255">
            <v>159390.24</v>
          </cell>
        </row>
        <row r="256">
          <cell r="A256">
            <v>52025</v>
          </cell>
          <cell r="B256" t="str">
            <v>Wages O.T.</v>
          </cell>
          <cell r="E256">
            <v>2614.52</v>
          </cell>
          <cell r="F256">
            <v>2473.63</v>
          </cell>
          <cell r="G256">
            <v>2117.09</v>
          </cell>
          <cell r="H256">
            <v>2164.7199999999998</v>
          </cell>
          <cell r="I256">
            <v>2848.44</v>
          </cell>
          <cell r="J256">
            <v>3075.19</v>
          </cell>
          <cell r="K256">
            <v>3378.52</v>
          </cell>
          <cell r="L256">
            <v>1747.37</v>
          </cell>
          <cell r="M256">
            <v>2402.91</v>
          </cell>
          <cell r="N256">
            <v>2322.34</v>
          </cell>
          <cell r="O256">
            <v>3755.06</v>
          </cell>
          <cell r="P256">
            <v>2288.11</v>
          </cell>
          <cell r="Q256">
            <v>31187.9</v>
          </cell>
        </row>
        <row r="257">
          <cell r="A257">
            <v>52035</v>
          </cell>
          <cell r="B257" t="str">
            <v>Safety Bonuses</v>
          </cell>
          <cell r="E257">
            <v>833</v>
          </cell>
          <cell r="F257">
            <v>833</v>
          </cell>
          <cell r="G257">
            <v>833</v>
          </cell>
          <cell r="H257">
            <v>833</v>
          </cell>
          <cell r="I257">
            <v>1583</v>
          </cell>
          <cell r="J257">
            <v>1583</v>
          </cell>
          <cell r="K257">
            <v>1583</v>
          </cell>
          <cell r="L257">
            <v>1583</v>
          </cell>
          <cell r="M257">
            <v>500</v>
          </cell>
          <cell r="N257">
            <v>500</v>
          </cell>
          <cell r="O257">
            <v>1000</v>
          </cell>
          <cell r="P257">
            <v>0</v>
          </cell>
          <cell r="Q257">
            <v>11664</v>
          </cell>
        </row>
        <row r="258">
          <cell r="A258">
            <v>52036</v>
          </cell>
          <cell r="B258" t="str">
            <v>Other Bonus/Commission - Non-Safety</v>
          </cell>
          <cell r="E258">
            <v>0</v>
          </cell>
          <cell r="F258">
            <v>0</v>
          </cell>
          <cell r="G258">
            <v>0</v>
          </cell>
          <cell r="H258">
            <v>0</v>
          </cell>
          <cell r="I258">
            <v>0</v>
          </cell>
          <cell r="J258">
            <v>0</v>
          </cell>
          <cell r="K258">
            <v>0</v>
          </cell>
          <cell r="L258">
            <v>0</v>
          </cell>
          <cell r="M258">
            <v>0</v>
          </cell>
          <cell r="N258">
            <v>0</v>
          </cell>
          <cell r="O258">
            <v>0</v>
          </cell>
          <cell r="P258">
            <v>0</v>
          </cell>
          <cell r="Q258">
            <v>0</v>
          </cell>
        </row>
        <row r="259">
          <cell r="A259">
            <v>52045</v>
          </cell>
          <cell r="B259" t="str">
            <v>Contract Labor</v>
          </cell>
          <cell r="E259">
            <v>0</v>
          </cell>
          <cell r="F259">
            <v>0</v>
          </cell>
          <cell r="G259">
            <v>0</v>
          </cell>
          <cell r="H259">
            <v>0</v>
          </cell>
          <cell r="I259">
            <v>0</v>
          </cell>
          <cell r="J259">
            <v>0</v>
          </cell>
          <cell r="K259">
            <v>0</v>
          </cell>
          <cell r="L259">
            <v>0</v>
          </cell>
          <cell r="M259">
            <v>0</v>
          </cell>
          <cell r="N259">
            <v>0</v>
          </cell>
          <cell r="O259">
            <v>0</v>
          </cell>
          <cell r="P259">
            <v>0</v>
          </cell>
          <cell r="Q259">
            <v>0</v>
          </cell>
        </row>
        <row r="260">
          <cell r="A260">
            <v>52050</v>
          </cell>
          <cell r="B260" t="str">
            <v>Payroll Taxes</v>
          </cell>
          <cell r="E260">
            <v>2869.35</v>
          </cell>
          <cell r="F260">
            <v>2242.16</v>
          </cell>
          <cell r="G260">
            <v>2468.5100000000002</v>
          </cell>
          <cell r="H260">
            <v>2064.63</v>
          </cell>
          <cell r="I260">
            <v>2186.88</v>
          </cell>
          <cell r="J260">
            <v>2344.56</v>
          </cell>
          <cell r="K260">
            <v>1962.2</v>
          </cell>
          <cell r="L260">
            <v>1763.36</v>
          </cell>
          <cell r="M260">
            <v>1881.81</v>
          </cell>
          <cell r="N260">
            <v>1731.74</v>
          </cell>
          <cell r="O260">
            <v>2453.91</v>
          </cell>
          <cell r="P260">
            <v>1757.74</v>
          </cell>
          <cell r="Q260">
            <v>25726.850000000006</v>
          </cell>
        </row>
        <row r="261">
          <cell r="A261">
            <v>52060</v>
          </cell>
          <cell r="B261" t="str">
            <v>Group Insurance</v>
          </cell>
          <cell r="E261">
            <v>1441</v>
          </cell>
          <cell r="F261">
            <v>1441</v>
          </cell>
          <cell r="G261">
            <v>561.5</v>
          </cell>
          <cell r="H261">
            <v>720.5</v>
          </cell>
          <cell r="I261">
            <v>641</v>
          </cell>
          <cell r="J261">
            <v>641</v>
          </cell>
          <cell r="K261">
            <v>641</v>
          </cell>
          <cell r="L261">
            <v>641</v>
          </cell>
          <cell r="M261">
            <v>561.5</v>
          </cell>
          <cell r="N261">
            <v>720.5</v>
          </cell>
          <cell r="O261">
            <v>641</v>
          </cell>
          <cell r="P261">
            <v>583.48</v>
          </cell>
          <cell r="Q261">
            <v>9234.48</v>
          </cell>
        </row>
        <row r="262">
          <cell r="A262">
            <v>52065</v>
          </cell>
          <cell r="B262" t="str">
            <v>Vacation Pay</v>
          </cell>
          <cell r="E262">
            <v>1511.38</v>
          </cell>
          <cell r="F262">
            <v>-838.54</v>
          </cell>
          <cell r="G262">
            <v>2800.68</v>
          </cell>
          <cell r="H262">
            <v>381.27</v>
          </cell>
          <cell r="I262">
            <v>800.29</v>
          </cell>
          <cell r="J262">
            <v>1912.65</v>
          </cell>
          <cell r="K262">
            <v>745.69</v>
          </cell>
          <cell r="L262">
            <v>1755.74</v>
          </cell>
          <cell r="M262">
            <v>996.88</v>
          </cell>
          <cell r="N262">
            <v>1492.04</v>
          </cell>
          <cell r="O262">
            <v>2476.17</v>
          </cell>
          <cell r="P262">
            <v>1846.32</v>
          </cell>
          <cell r="Q262">
            <v>15880.569999999998</v>
          </cell>
        </row>
        <row r="263">
          <cell r="A263">
            <v>52070</v>
          </cell>
          <cell r="B263" t="str">
            <v>Sick Pay</v>
          </cell>
          <cell r="E263">
            <v>0</v>
          </cell>
          <cell r="F263">
            <v>0</v>
          </cell>
          <cell r="G263">
            <v>0</v>
          </cell>
          <cell r="H263">
            <v>0</v>
          </cell>
          <cell r="I263">
            <v>0</v>
          </cell>
          <cell r="J263">
            <v>0</v>
          </cell>
          <cell r="K263">
            <v>0</v>
          </cell>
          <cell r="L263">
            <v>0</v>
          </cell>
          <cell r="M263">
            <v>0</v>
          </cell>
          <cell r="N263">
            <v>0</v>
          </cell>
          <cell r="O263">
            <v>0</v>
          </cell>
          <cell r="P263">
            <v>0</v>
          </cell>
          <cell r="Q263">
            <v>0</v>
          </cell>
        </row>
        <row r="264">
          <cell r="A264">
            <v>52086</v>
          </cell>
          <cell r="B264" t="str">
            <v>Safety and Training</v>
          </cell>
          <cell r="E264">
            <v>104.55</v>
          </cell>
          <cell r="F264">
            <v>112.64</v>
          </cell>
          <cell r="G264">
            <v>154.71</v>
          </cell>
          <cell r="H264">
            <v>299.60000000000002</v>
          </cell>
          <cell r="I264">
            <v>846.98</v>
          </cell>
          <cell r="J264">
            <v>185.38</v>
          </cell>
          <cell r="K264">
            <v>78.989999999999995</v>
          </cell>
          <cell r="L264">
            <v>145.65</v>
          </cell>
          <cell r="M264">
            <v>0</v>
          </cell>
          <cell r="N264">
            <v>876.33</v>
          </cell>
          <cell r="O264">
            <v>-395.59</v>
          </cell>
          <cell r="P264">
            <v>1720.49</v>
          </cell>
          <cell r="Q264">
            <v>4129.7300000000005</v>
          </cell>
        </row>
        <row r="265">
          <cell r="A265">
            <v>52087</v>
          </cell>
          <cell r="B265" t="str">
            <v>Drug Screening</v>
          </cell>
          <cell r="E265">
            <v>0</v>
          </cell>
          <cell r="F265">
            <v>0</v>
          </cell>
          <cell r="G265">
            <v>0</v>
          </cell>
          <cell r="H265">
            <v>0</v>
          </cell>
          <cell r="I265">
            <v>0</v>
          </cell>
          <cell r="J265">
            <v>0</v>
          </cell>
          <cell r="K265">
            <v>0</v>
          </cell>
          <cell r="L265">
            <v>0</v>
          </cell>
          <cell r="M265">
            <v>0</v>
          </cell>
          <cell r="N265">
            <v>0</v>
          </cell>
          <cell r="O265">
            <v>0</v>
          </cell>
          <cell r="P265">
            <v>0</v>
          </cell>
          <cell r="Q265">
            <v>0</v>
          </cell>
        </row>
        <row r="266">
          <cell r="A266">
            <v>52090</v>
          </cell>
          <cell r="B266" t="str">
            <v>Uniforms</v>
          </cell>
          <cell r="E266">
            <v>1040.42</v>
          </cell>
          <cell r="F266">
            <v>1033.9000000000001</v>
          </cell>
          <cell r="G266">
            <v>1397.48</v>
          </cell>
          <cell r="H266">
            <v>1377.31</v>
          </cell>
          <cell r="I266">
            <v>475.1</v>
          </cell>
          <cell r="J266">
            <v>1617.7</v>
          </cell>
          <cell r="K266">
            <v>910.5</v>
          </cell>
          <cell r="L266">
            <v>1633.6</v>
          </cell>
          <cell r="M266">
            <v>1021.73</v>
          </cell>
          <cell r="N266">
            <v>756.54</v>
          </cell>
          <cell r="O266">
            <v>828.81</v>
          </cell>
          <cell r="P266">
            <v>987.61</v>
          </cell>
          <cell r="Q266">
            <v>13080.699999999999</v>
          </cell>
        </row>
        <row r="267">
          <cell r="A267">
            <v>52115</v>
          </cell>
          <cell r="B267" t="str">
            <v>Pension and Profit Sharing</v>
          </cell>
          <cell r="E267">
            <v>2995.29</v>
          </cell>
          <cell r="F267">
            <v>2862.61</v>
          </cell>
          <cell r="G267">
            <v>3299.63</v>
          </cell>
          <cell r="H267">
            <v>2999.06</v>
          </cell>
          <cell r="I267">
            <v>2963.05</v>
          </cell>
          <cell r="J267">
            <v>2934</v>
          </cell>
          <cell r="K267">
            <v>2846.98</v>
          </cell>
          <cell r="L267">
            <v>2774.57</v>
          </cell>
          <cell r="M267">
            <v>2785.85</v>
          </cell>
          <cell r="N267">
            <v>2807.65</v>
          </cell>
          <cell r="O267">
            <v>2756.7</v>
          </cell>
          <cell r="P267">
            <v>2412.85</v>
          </cell>
          <cell r="Q267">
            <v>34438.239999999998</v>
          </cell>
        </row>
        <row r="268">
          <cell r="A268">
            <v>52116</v>
          </cell>
          <cell r="B268" t="str">
            <v>Union Benefit Expense</v>
          </cell>
          <cell r="E268">
            <v>7876.76</v>
          </cell>
          <cell r="F268">
            <v>7880.62</v>
          </cell>
          <cell r="G268">
            <v>7872.8</v>
          </cell>
          <cell r="H268">
            <v>7884.58</v>
          </cell>
          <cell r="I268">
            <v>7878.69</v>
          </cell>
          <cell r="J268">
            <v>7878.69</v>
          </cell>
          <cell r="K268">
            <v>7881.97</v>
          </cell>
          <cell r="L268">
            <v>6752.1</v>
          </cell>
          <cell r="M268">
            <v>6747.85</v>
          </cell>
          <cell r="N268">
            <v>6756.35</v>
          </cell>
          <cell r="O268">
            <v>7182.94</v>
          </cell>
          <cell r="P268">
            <v>7779.69</v>
          </cell>
          <cell r="Q268">
            <v>90373.040000000023</v>
          </cell>
        </row>
        <row r="269">
          <cell r="A269">
            <v>52117</v>
          </cell>
          <cell r="B269" t="str">
            <v>Union Pension</v>
          </cell>
          <cell r="E269">
            <v>0</v>
          </cell>
          <cell r="F269">
            <v>0</v>
          </cell>
          <cell r="G269">
            <v>0</v>
          </cell>
          <cell r="H269">
            <v>0</v>
          </cell>
          <cell r="I269">
            <v>0</v>
          </cell>
          <cell r="J269">
            <v>0</v>
          </cell>
          <cell r="K269">
            <v>0</v>
          </cell>
          <cell r="L269">
            <v>0</v>
          </cell>
          <cell r="M269">
            <v>0</v>
          </cell>
          <cell r="N269">
            <v>0</v>
          </cell>
          <cell r="O269">
            <v>0</v>
          </cell>
          <cell r="P269">
            <v>0</v>
          </cell>
          <cell r="Q269">
            <v>0</v>
          </cell>
        </row>
        <row r="270">
          <cell r="A270">
            <v>52120</v>
          </cell>
          <cell r="B270" t="str">
            <v>Parts and Materials</v>
          </cell>
          <cell r="E270">
            <v>13715.59</v>
          </cell>
          <cell r="F270">
            <v>21102.71</v>
          </cell>
          <cell r="G270">
            <v>18678.920000000006</v>
          </cell>
          <cell r="H270">
            <v>30064.99</v>
          </cell>
          <cell r="I270">
            <v>11133.51</v>
          </cell>
          <cell r="J270">
            <v>9706.94</v>
          </cell>
          <cell r="K270">
            <v>12873.069999999998</v>
          </cell>
          <cell r="L270">
            <v>12811.720000000001</v>
          </cell>
          <cell r="M270">
            <v>13514.23</v>
          </cell>
          <cell r="N270">
            <v>8953.7200000000012</v>
          </cell>
          <cell r="O270">
            <v>16547.27</v>
          </cell>
          <cell r="P270">
            <v>15817.25</v>
          </cell>
          <cell r="Q270">
            <v>184919.91999999998</v>
          </cell>
        </row>
        <row r="271">
          <cell r="A271">
            <v>52125</v>
          </cell>
          <cell r="B271" t="str">
            <v>Operating Supplies</v>
          </cell>
          <cell r="E271">
            <v>568.15</v>
          </cell>
          <cell r="F271">
            <v>288.02999999999997</v>
          </cell>
          <cell r="G271">
            <v>385.62</v>
          </cell>
          <cell r="H271">
            <v>179.18</v>
          </cell>
          <cell r="I271">
            <v>339.98</v>
          </cell>
          <cell r="J271">
            <v>264.08</v>
          </cell>
          <cell r="K271">
            <v>131.13</v>
          </cell>
          <cell r="L271">
            <v>13.55</v>
          </cell>
          <cell r="M271">
            <v>9.8699999999999992</v>
          </cell>
          <cell r="N271">
            <v>372.92</v>
          </cell>
          <cell r="O271">
            <v>819.61</v>
          </cell>
          <cell r="P271">
            <v>414.71</v>
          </cell>
          <cell r="Q271">
            <v>3786.8300000000004</v>
          </cell>
        </row>
        <row r="272">
          <cell r="A272">
            <v>52135</v>
          </cell>
          <cell r="B272" t="str">
            <v>Equipment and Maint Repair</v>
          </cell>
          <cell r="E272">
            <v>0</v>
          </cell>
          <cell r="F272">
            <v>0</v>
          </cell>
          <cell r="G272">
            <v>149.16</v>
          </cell>
          <cell r="H272">
            <v>681.98</v>
          </cell>
          <cell r="I272">
            <v>545.25</v>
          </cell>
          <cell r="J272">
            <v>332.59</v>
          </cell>
          <cell r="K272">
            <v>984.37</v>
          </cell>
          <cell r="L272">
            <v>173.37</v>
          </cell>
          <cell r="M272">
            <v>0</v>
          </cell>
          <cell r="N272">
            <v>156.19999999999999</v>
          </cell>
          <cell r="O272">
            <v>-156.19999999999999</v>
          </cell>
          <cell r="P272">
            <v>27.01</v>
          </cell>
          <cell r="Q272">
            <v>2893.73</v>
          </cell>
        </row>
        <row r="273">
          <cell r="A273">
            <v>52140</v>
          </cell>
          <cell r="B273" t="str">
            <v>Tires</v>
          </cell>
          <cell r="E273">
            <v>11282.69</v>
          </cell>
          <cell r="F273">
            <v>1664.63</v>
          </cell>
          <cell r="G273">
            <v>5175.3999999999996</v>
          </cell>
          <cell r="H273">
            <v>8753.43</v>
          </cell>
          <cell r="I273">
            <v>9084.64</v>
          </cell>
          <cell r="J273">
            <v>1370.04</v>
          </cell>
          <cell r="K273">
            <v>8864.5</v>
          </cell>
          <cell r="L273">
            <v>438.2</v>
          </cell>
          <cell r="M273">
            <v>5010.1400000000003</v>
          </cell>
          <cell r="N273">
            <v>1896.06</v>
          </cell>
          <cell r="O273">
            <v>7161.25</v>
          </cell>
          <cell r="P273">
            <v>3395.56</v>
          </cell>
          <cell r="Q273">
            <v>64096.539999999994</v>
          </cell>
        </row>
        <row r="274">
          <cell r="A274">
            <v>52142</v>
          </cell>
          <cell r="B274" t="str">
            <v>Fuel Expense</v>
          </cell>
          <cell r="E274">
            <v>54158.289999999994</v>
          </cell>
          <cell r="F274">
            <v>50956.94</v>
          </cell>
          <cell r="G274">
            <v>60111.49</v>
          </cell>
          <cell r="H274">
            <v>62505</v>
          </cell>
          <cell r="I274">
            <v>58155.18</v>
          </cell>
          <cell r="J274">
            <v>61304.36</v>
          </cell>
          <cell r="K274">
            <v>60908.59</v>
          </cell>
          <cell r="L274">
            <v>64096.240000000005</v>
          </cell>
          <cell r="M274">
            <v>63144.08</v>
          </cell>
          <cell r="N274">
            <v>63868.340000000004</v>
          </cell>
          <cell r="O274">
            <v>56605.93</v>
          </cell>
          <cell r="P274">
            <v>67191.64</v>
          </cell>
          <cell r="Q274">
            <v>723006.08</v>
          </cell>
        </row>
        <row r="275">
          <cell r="A275">
            <v>52143</v>
          </cell>
          <cell r="B275" t="str">
            <v>Transmontagne Fuel</v>
          </cell>
          <cell r="E275">
            <v>0</v>
          </cell>
          <cell r="F275">
            <v>0</v>
          </cell>
          <cell r="G275">
            <v>0</v>
          </cell>
          <cell r="H275">
            <v>0</v>
          </cell>
          <cell r="I275">
            <v>0</v>
          </cell>
          <cell r="J275">
            <v>0</v>
          </cell>
          <cell r="K275">
            <v>0</v>
          </cell>
          <cell r="L275">
            <v>0</v>
          </cell>
          <cell r="M275">
            <v>0</v>
          </cell>
          <cell r="N275">
            <v>0</v>
          </cell>
          <cell r="O275">
            <v>0</v>
          </cell>
          <cell r="P275">
            <v>0</v>
          </cell>
          <cell r="Q275">
            <v>0</v>
          </cell>
        </row>
        <row r="276">
          <cell r="A276">
            <v>52144</v>
          </cell>
          <cell r="B276" t="str">
            <v>Urea Expense</v>
          </cell>
          <cell r="E276">
            <v>0</v>
          </cell>
          <cell r="F276">
            <v>0</v>
          </cell>
          <cell r="G276">
            <v>0</v>
          </cell>
          <cell r="H276">
            <v>0</v>
          </cell>
          <cell r="I276">
            <v>0</v>
          </cell>
          <cell r="J276">
            <v>0</v>
          </cell>
          <cell r="K276">
            <v>0</v>
          </cell>
          <cell r="L276">
            <v>0</v>
          </cell>
          <cell r="M276">
            <v>0</v>
          </cell>
          <cell r="N276">
            <v>0</v>
          </cell>
          <cell r="O276">
            <v>0</v>
          </cell>
          <cell r="P276">
            <v>0</v>
          </cell>
          <cell r="Q276">
            <v>0</v>
          </cell>
        </row>
        <row r="277">
          <cell r="A277">
            <v>52146</v>
          </cell>
          <cell r="B277" t="str">
            <v>Oil and Grease</v>
          </cell>
          <cell r="E277">
            <v>3179.71</v>
          </cell>
          <cell r="F277">
            <v>7401.66</v>
          </cell>
          <cell r="G277">
            <v>5696.15</v>
          </cell>
          <cell r="H277">
            <v>6990.25</v>
          </cell>
          <cell r="I277">
            <v>4918.58</v>
          </cell>
          <cell r="J277">
            <v>3341.27</v>
          </cell>
          <cell r="K277">
            <v>1599.94</v>
          </cell>
          <cell r="L277">
            <v>9095.31</v>
          </cell>
          <cell r="M277">
            <v>5629.35</v>
          </cell>
          <cell r="N277">
            <v>4937.97</v>
          </cell>
          <cell r="O277">
            <v>5285.37</v>
          </cell>
          <cell r="P277">
            <v>5402.36</v>
          </cell>
          <cell r="Q277">
            <v>63477.919999999998</v>
          </cell>
        </row>
        <row r="278">
          <cell r="A278">
            <v>52147</v>
          </cell>
          <cell r="B278" t="str">
            <v>Outside Repairs</v>
          </cell>
          <cell r="E278">
            <v>2520.1099999999997</v>
          </cell>
          <cell r="F278">
            <v>148.44</v>
          </cell>
          <cell r="G278">
            <v>4753.75</v>
          </cell>
          <cell r="H278">
            <v>2049.4</v>
          </cell>
          <cell r="I278">
            <v>568.04999999999995</v>
          </cell>
          <cell r="J278">
            <v>4319.34</v>
          </cell>
          <cell r="K278">
            <v>3088.65</v>
          </cell>
          <cell r="L278">
            <v>4131.92</v>
          </cell>
          <cell r="M278">
            <v>939.12</v>
          </cell>
          <cell r="N278">
            <v>4227.5600000000004</v>
          </cell>
          <cell r="O278">
            <v>38.909999999999997</v>
          </cell>
          <cell r="P278">
            <v>448.88</v>
          </cell>
          <cell r="Q278">
            <v>27234.129999999997</v>
          </cell>
        </row>
        <row r="279">
          <cell r="A279">
            <v>52148</v>
          </cell>
          <cell r="B279" t="str">
            <v>Allocated Exp In - District</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A280">
            <v>52149</v>
          </cell>
          <cell r="B280" t="str">
            <v>Allocated Exp In Out - District</v>
          </cell>
          <cell r="E280">
            <v>0</v>
          </cell>
          <cell r="F280">
            <v>0</v>
          </cell>
          <cell r="G280">
            <v>0</v>
          </cell>
          <cell r="H280">
            <v>0</v>
          </cell>
          <cell r="I280">
            <v>0</v>
          </cell>
          <cell r="J280">
            <v>0</v>
          </cell>
          <cell r="K280">
            <v>0</v>
          </cell>
          <cell r="L280">
            <v>0</v>
          </cell>
          <cell r="M280">
            <v>0</v>
          </cell>
          <cell r="N280">
            <v>0</v>
          </cell>
          <cell r="O280">
            <v>0</v>
          </cell>
          <cell r="P280">
            <v>0</v>
          </cell>
          <cell r="Q280">
            <v>0</v>
          </cell>
        </row>
        <row r="281">
          <cell r="A281">
            <v>52150</v>
          </cell>
          <cell r="B281" t="str">
            <v>Utilities</v>
          </cell>
          <cell r="E281">
            <v>1060.3800000000001</v>
          </cell>
          <cell r="F281">
            <v>764.22</v>
          </cell>
          <cell r="G281">
            <v>713.08</v>
          </cell>
          <cell r="H281">
            <v>617.6</v>
          </cell>
          <cell r="I281">
            <v>412.22</v>
          </cell>
          <cell r="J281">
            <v>355.41</v>
          </cell>
          <cell r="K281">
            <v>1187.46</v>
          </cell>
          <cell r="L281">
            <v>314.74</v>
          </cell>
          <cell r="M281">
            <v>291.92</v>
          </cell>
          <cell r="N281">
            <v>296.52999999999997</v>
          </cell>
          <cell r="O281">
            <v>545.01</v>
          </cell>
          <cell r="P281">
            <v>997.3</v>
          </cell>
          <cell r="Q281">
            <v>7555.87</v>
          </cell>
        </row>
        <row r="282">
          <cell r="A282">
            <v>52165</v>
          </cell>
          <cell r="B282" t="str">
            <v>Communications</v>
          </cell>
          <cell r="E282">
            <v>497.52</v>
          </cell>
          <cell r="F282">
            <v>509.58</v>
          </cell>
          <cell r="G282">
            <v>521.71</v>
          </cell>
          <cell r="H282">
            <v>497.47</v>
          </cell>
          <cell r="I282">
            <v>622.69000000000005</v>
          </cell>
          <cell r="J282">
            <v>534.09</v>
          </cell>
          <cell r="K282">
            <v>-388.32</v>
          </cell>
          <cell r="L282">
            <v>662.93</v>
          </cell>
          <cell r="M282">
            <v>678.76</v>
          </cell>
          <cell r="N282">
            <v>509.78</v>
          </cell>
          <cell r="O282">
            <v>678.67</v>
          </cell>
          <cell r="P282">
            <v>546.71</v>
          </cell>
          <cell r="Q282">
            <v>5871.59</v>
          </cell>
        </row>
        <row r="283">
          <cell r="A283">
            <v>52170</v>
          </cell>
          <cell r="B283" t="str">
            <v>Real Estate Rentals</v>
          </cell>
          <cell r="E283">
            <v>0</v>
          </cell>
          <cell r="F283">
            <v>0</v>
          </cell>
          <cell r="G283">
            <v>0</v>
          </cell>
          <cell r="H283">
            <v>0</v>
          </cell>
          <cell r="I283">
            <v>0</v>
          </cell>
          <cell r="J283">
            <v>0</v>
          </cell>
          <cell r="K283">
            <v>0</v>
          </cell>
          <cell r="L283">
            <v>0</v>
          </cell>
          <cell r="M283">
            <v>0</v>
          </cell>
          <cell r="N283">
            <v>0</v>
          </cell>
          <cell r="O283">
            <v>0</v>
          </cell>
          <cell r="P283">
            <v>0</v>
          </cell>
          <cell r="Q283">
            <v>0</v>
          </cell>
        </row>
        <row r="284">
          <cell r="A284">
            <v>52172</v>
          </cell>
          <cell r="B284" t="str">
            <v>Chassis Lease Expense</v>
          </cell>
          <cell r="E284">
            <v>0</v>
          </cell>
          <cell r="F284">
            <v>0</v>
          </cell>
          <cell r="G284">
            <v>0</v>
          </cell>
          <cell r="H284">
            <v>0</v>
          </cell>
          <cell r="I284">
            <v>0</v>
          </cell>
          <cell r="J284">
            <v>0</v>
          </cell>
          <cell r="K284">
            <v>0</v>
          </cell>
          <cell r="L284">
            <v>0</v>
          </cell>
          <cell r="M284">
            <v>0</v>
          </cell>
          <cell r="N284">
            <v>0</v>
          </cell>
          <cell r="O284">
            <v>0</v>
          </cell>
          <cell r="P284">
            <v>0</v>
          </cell>
          <cell r="Q284">
            <v>0</v>
          </cell>
        </row>
        <row r="285">
          <cell r="A285">
            <v>52175</v>
          </cell>
          <cell r="B285" t="str">
            <v>Equip/Vehicle Rental</v>
          </cell>
          <cell r="E285">
            <v>0</v>
          </cell>
          <cell r="F285">
            <v>0</v>
          </cell>
          <cell r="G285">
            <v>0</v>
          </cell>
          <cell r="H285">
            <v>0</v>
          </cell>
          <cell r="I285">
            <v>0</v>
          </cell>
          <cell r="J285">
            <v>0</v>
          </cell>
          <cell r="K285">
            <v>0</v>
          </cell>
          <cell r="L285">
            <v>0</v>
          </cell>
          <cell r="M285">
            <v>0</v>
          </cell>
          <cell r="N285">
            <v>0</v>
          </cell>
          <cell r="O285">
            <v>0</v>
          </cell>
          <cell r="P285">
            <v>0</v>
          </cell>
          <cell r="Q285">
            <v>0</v>
          </cell>
        </row>
        <row r="286">
          <cell r="A286">
            <v>52181</v>
          </cell>
          <cell r="B286" t="str">
            <v>Freight</v>
          </cell>
          <cell r="E286">
            <v>0</v>
          </cell>
          <cell r="F286">
            <v>0</v>
          </cell>
          <cell r="G286">
            <v>0</v>
          </cell>
          <cell r="H286">
            <v>0</v>
          </cell>
          <cell r="I286">
            <v>0</v>
          </cell>
          <cell r="J286">
            <v>0</v>
          </cell>
          <cell r="K286">
            <v>0</v>
          </cell>
          <cell r="L286">
            <v>0</v>
          </cell>
          <cell r="M286">
            <v>0</v>
          </cell>
          <cell r="N286">
            <v>0</v>
          </cell>
          <cell r="O286">
            <v>0</v>
          </cell>
          <cell r="P286">
            <v>0</v>
          </cell>
          <cell r="Q286">
            <v>0</v>
          </cell>
        </row>
        <row r="287">
          <cell r="A287">
            <v>52182</v>
          </cell>
          <cell r="B287" t="str">
            <v>Towing Expense</v>
          </cell>
          <cell r="E287">
            <v>243.9</v>
          </cell>
          <cell r="F287">
            <v>678.32</v>
          </cell>
          <cell r="G287">
            <v>518.41999999999996</v>
          </cell>
          <cell r="H287">
            <v>0</v>
          </cell>
          <cell r="I287">
            <v>0</v>
          </cell>
          <cell r="J287">
            <v>271</v>
          </cell>
          <cell r="K287">
            <v>0</v>
          </cell>
          <cell r="L287">
            <v>211.38</v>
          </cell>
          <cell r="M287">
            <v>563.67999999999995</v>
          </cell>
          <cell r="N287">
            <v>0</v>
          </cell>
          <cell r="O287">
            <v>0</v>
          </cell>
          <cell r="P287">
            <v>243.9</v>
          </cell>
          <cell r="Q287">
            <v>2730.6</v>
          </cell>
        </row>
        <row r="288">
          <cell r="A288">
            <v>52185</v>
          </cell>
          <cell r="B288" t="str">
            <v>Travel</v>
          </cell>
          <cell r="E288">
            <v>0</v>
          </cell>
          <cell r="F288">
            <v>0</v>
          </cell>
          <cell r="G288">
            <v>0</v>
          </cell>
          <cell r="H288">
            <v>0</v>
          </cell>
          <cell r="I288">
            <v>0</v>
          </cell>
          <cell r="J288">
            <v>0</v>
          </cell>
          <cell r="K288">
            <v>0</v>
          </cell>
          <cell r="L288">
            <v>0</v>
          </cell>
          <cell r="M288">
            <v>0</v>
          </cell>
          <cell r="N288">
            <v>397.98</v>
          </cell>
          <cell r="O288">
            <v>-397.98</v>
          </cell>
          <cell r="P288">
            <v>0</v>
          </cell>
          <cell r="Q288">
            <v>0</v>
          </cell>
        </row>
        <row r="289">
          <cell r="A289">
            <v>52200</v>
          </cell>
          <cell r="B289" t="str">
            <v>Office Supply and Equip</v>
          </cell>
          <cell r="E289">
            <v>100.76</v>
          </cell>
          <cell r="F289">
            <v>168.31</v>
          </cell>
          <cell r="G289">
            <v>81.760000000000005</v>
          </cell>
          <cell r="H289">
            <v>538.53</v>
          </cell>
          <cell r="I289">
            <v>50.95</v>
          </cell>
          <cell r="J289">
            <v>51.81</v>
          </cell>
          <cell r="K289">
            <v>0</v>
          </cell>
          <cell r="L289">
            <v>226.01</v>
          </cell>
          <cell r="M289">
            <v>51.5</v>
          </cell>
          <cell r="N289">
            <v>0</v>
          </cell>
          <cell r="O289">
            <v>556.91</v>
          </cell>
          <cell r="P289">
            <v>324.24</v>
          </cell>
          <cell r="Q289">
            <v>2150.7799999999997</v>
          </cell>
        </row>
        <row r="290">
          <cell r="A290">
            <v>52275</v>
          </cell>
          <cell r="B290" t="str">
            <v>Property Taxes</v>
          </cell>
          <cell r="E290">
            <v>0</v>
          </cell>
          <cell r="F290">
            <v>0</v>
          </cell>
          <cell r="G290">
            <v>0</v>
          </cell>
          <cell r="H290">
            <v>0</v>
          </cell>
          <cell r="I290">
            <v>0</v>
          </cell>
          <cell r="J290">
            <v>0</v>
          </cell>
          <cell r="K290">
            <v>0</v>
          </cell>
          <cell r="L290">
            <v>0</v>
          </cell>
          <cell r="M290">
            <v>0</v>
          </cell>
          <cell r="N290">
            <v>0</v>
          </cell>
          <cell r="O290">
            <v>0</v>
          </cell>
          <cell r="P290">
            <v>0</v>
          </cell>
          <cell r="Q290">
            <v>0</v>
          </cell>
        </row>
        <row r="291">
          <cell r="A291">
            <v>52335</v>
          </cell>
          <cell r="B291" t="str">
            <v>Miscellaneous</v>
          </cell>
          <cell r="E291">
            <v>9</v>
          </cell>
          <cell r="F291">
            <v>0</v>
          </cell>
          <cell r="G291">
            <v>4.5</v>
          </cell>
          <cell r="H291">
            <v>0</v>
          </cell>
          <cell r="I291">
            <v>0</v>
          </cell>
          <cell r="J291">
            <v>0</v>
          </cell>
          <cell r="K291">
            <v>0</v>
          </cell>
          <cell r="L291">
            <v>0</v>
          </cell>
          <cell r="M291">
            <v>0</v>
          </cell>
          <cell r="N291">
            <v>0</v>
          </cell>
          <cell r="O291">
            <v>0</v>
          </cell>
          <cell r="P291">
            <v>0</v>
          </cell>
          <cell r="Q291">
            <v>13.5</v>
          </cell>
        </row>
        <row r="292">
          <cell r="A292">
            <v>52900</v>
          </cell>
          <cell r="B292" t="str">
            <v>Capitalized Costs</v>
          </cell>
          <cell r="E292">
            <v>0</v>
          </cell>
          <cell r="F292">
            <v>0</v>
          </cell>
          <cell r="G292">
            <v>0</v>
          </cell>
          <cell r="H292">
            <v>0</v>
          </cell>
          <cell r="I292">
            <v>0</v>
          </cell>
          <cell r="J292">
            <v>0</v>
          </cell>
          <cell r="K292">
            <v>0</v>
          </cell>
          <cell r="L292">
            <v>0</v>
          </cell>
          <cell r="M292">
            <v>0</v>
          </cell>
          <cell r="N292">
            <v>0</v>
          </cell>
          <cell r="O292">
            <v>0</v>
          </cell>
          <cell r="P292">
            <v>0</v>
          </cell>
          <cell r="Q292">
            <v>0</v>
          </cell>
        </row>
        <row r="293">
          <cell r="A293">
            <v>52901</v>
          </cell>
          <cell r="B293" t="str">
            <v>Costs Awaiting Capitilization</v>
          </cell>
          <cell r="E293">
            <v>0</v>
          </cell>
          <cell r="F293">
            <v>0</v>
          </cell>
          <cell r="G293">
            <v>0</v>
          </cell>
          <cell r="H293">
            <v>0</v>
          </cell>
          <cell r="I293">
            <v>0</v>
          </cell>
          <cell r="J293">
            <v>0</v>
          </cell>
          <cell r="K293">
            <v>0</v>
          </cell>
          <cell r="L293">
            <v>0</v>
          </cell>
          <cell r="M293">
            <v>0</v>
          </cell>
          <cell r="N293">
            <v>0</v>
          </cell>
          <cell r="O293">
            <v>0</v>
          </cell>
          <cell r="P293">
            <v>0</v>
          </cell>
          <cell r="Q293">
            <v>0</v>
          </cell>
        </row>
        <row r="294">
          <cell r="A294">
            <v>52998</v>
          </cell>
          <cell r="B294" t="str">
            <v>Allocation Out - District</v>
          </cell>
          <cell r="E294">
            <v>0</v>
          </cell>
          <cell r="F294">
            <v>0</v>
          </cell>
          <cell r="G294">
            <v>0</v>
          </cell>
          <cell r="H294">
            <v>0</v>
          </cell>
          <cell r="I294">
            <v>0</v>
          </cell>
          <cell r="J294">
            <v>0</v>
          </cell>
          <cell r="K294">
            <v>0</v>
          </cell>
          <cell r="L294">
            <v>0</v>
          </cell>
          <cell r="M294">
            <v>0</v>
          </cell>
          <cell r="N294">
            <v>0</v>
          </cell>
          <cell r="O294">
            <v>0</v>
          </cell>
          <cell r="P294">
            <v>0</v>
          </cell>
          <cell r="Q294">
            <v>0</v>
          </cell>
        </row>
        <row r="295">
          <cell r="A295">
            <v>52999</v>
          </cell>
          <cell r="B295" t="str">
            <v>Allocation Out - Out District</v>
          </cell>
          <cell r="E295">
            <v>0</v>
          </cell>
          <cell r="F295">
            <v>0</v>
          </cell>
          <cell r="G295">
            <v>0</v>
          </cell>
          <cell r="H295">
            <v>0</v>
          </cell>
          <cell r="I295">
            <v>0</v>
          </cell>
          <cell r="J295">
            <v>0</v>
          </cell>
          <cell r="K295">
            <v>0</v>
          </cell>
          <cell r="L295">
            <v>0</v>
          </cell>
          <cell r="M295">
            <v>0</v>
          </cell>
          <cell r="N295">
            <v>0</v>
          </cell>
          <cell r="O295">
            <v>0</v>
          </cell>
          <cell r="P295">
            <v>0</v>
          </cell>
          <cell r="Q295">
            <v>0</v>
          </cell>
        </row>
        <row r="296">
          <cell r="A296" t="str">
            <v>Total Truck Variable</v>
          </cell>
          <cell r="E296">
            <v>126472.12</v>
          </cell>
          <cell r="F296">
            <v>122567.03000000001</v>
          </cell>
          <cell r="G296">
            <v>139178.57</v>
          </cell>
          <cell r="H296">
            <v>151762.04999999999</v>
          </cell>
          <cell r="I296">
            <v>127181.98000000001</v>
          </cell>
          <cell r="J296">
            <v>125282.85</v>
          </cell>
          <cell r="K296">
            <v>127964.48999999999</v>
          </cell>
          <cell r="L296">
            <v>128791.74</v>
          </cell>
          <cell r="M296">
            <v>125167.81</v>
          </cell>
          <cell r="N296">
            <v>121736.34</v>
          </cell>
          <cell r="O296">
            <v>127259.88000000002</v>
          </cell>
          <cell r="P296">
            <v>136649.02999999997</v>
          </cell>
          <cell r="Q296">
            <v>1560013.8900000001</v>
          </cell>
        </row>
        <row r="298">
          <cell r="A298" t="str">
            <v>Container</v>
          </cell>
        </row>
        <row r="299">
          <cell r="A299">
            <v>54148</v>
          </cell>
          <cell r="B299" t="str">
            <v>Allocation In - District</v>
          </cell>
          <cell r="E299">
            <v>0</v>
          </cell>
          <cell r="F299">
            <v>0</v>
          </cell>
          <cell r="G299">
            <v>0</v>
          </cell>
          <cell r="H299">
            <v>0</v>
          </cell>
          <cell r="I299">
            <v>0</v>
          </cell>
          <cell r="J299">
            <v>0</v>
          </cell>
          <cell r="K299">
            <v>0</v>
          </cell>
          <cell r="L299">
            <v>0</v>
          </cell>
          <cell r="M299">
            <v>0</v>
          </cell>
          <cell r="N299">
            <v>0</v>
          </cell>
          <cell r="O299">
            <v>0</v>
          </cell>
          <cell r="P299">
            <v>0</v>
          </cell>
          <cell r="Q299">
            <v>0</v>
          </cell>
        </row>
        <row r="300">
          <cell r="A300">
            <v>54149</v>
          </cell>
          <cell r="B300" t="str">
            <v>Allocation In - Out District</v>
          </cell>
          <cell r="E300">
            <v>0</v>
          </cell>
          <cell r="F300">
            <v>0</v>
          </cell>
          <cell r="G300">
            <v>0</v>
          </cell>
          <cell r="H300">
            <v>0</v>
          </cell>
          <cell r="I300">
            <v>0</v>
          </cell>
          <cell r="J300">
            <v>0</v>
          </cell>
          <cell r="K300">
            <v>0</v>
          </cell>
          <cell r="L300">
            <v>0</v>
          </cell>
          <cell r="M300">
            <v>0</v>
          </cell>
          <cell r="N300">
            <v>0</v>
          </cell>
          <cell r="O300">
            <v>0</v>
          </cell>
          <cell r="P300">
            <v>0</v>
          </cell>
          <cell r="Q300">
            <v>0</v>
          </cell>
        </row>
        <row r="301">
          <cell r="A301">
            <v>54175</v>
          </cell>
          <cell r="B301" t="str">
            <v>Equipment/Vehicle Rental</v>
          </cell>
          <cell r="E301">
            <v>0</v>
          </cell>
          <cell r="F301">
            <v>0</v>
          </cell>
          <cell r="G301">
            <v>0</v>
          </cell>
          <cell r="H301">
            <v>0</v>
          </cell>
          <cell r="I301">
            <v>0</v>
          </cell>
          <cell r="J301">
            <v>0</v>
          </cell>
          <cell r="K301">
            <v>0</v>
          </cell>
          <cell r="L301">
            <v>0</v>
          </cell>
          <cell r="M301">
            <v>0</v>
          </cell>
          <cell r="N301">
            <v>0</v>
          </cell>
          <cell r="O301">
            <v>0</v>
          </cell>
          <cell r="P301">
            <v>0</v>
          </cell>
          <cell r="Q301">
            <v>0</v>
          </cell>
        </row>
        <row r="302">
          <cell r="A302">
            <v>54275</v>
          </cell>
          <cell r="B302" t="str">
            <v>Property Taxes</v>
          </cell>
          <cell r="E302">
            <v>0</v>
          </cell>
          <cell r="F302">
            <v>0</v>
          </cell>
          <cell r="G302">
            <v>0</v>
          </cell>
          <cell r="H302">
            <v>0</v>
          </cell>
          <cell r="I302">
            <v>0</v>
          </cell>
          <cell r="J302">
            <v>0</v>
          </cell>
          <cell r="K302">
            <v>0</v>
          </cell>
          <cell r="L302">
            <v>0</v>
          </cell>
          <cell r="M302">
            <v>0</v>
          </cell>
          <cell r="N302">
            <v>0</v>
          </cell>
          <cell r="O302">
            <v>0</v>
          </cell>
          <cell r="P302">
            <v>0</v>
          </cell>
          <cell r="Q302">
            <v>0</v>
          </cell>
        </row>
        <row r="303">
          <cell r="A303">
            <v>54335</v>
          </cell>
          <cell r="B303" t="str">
            <v>Miscellaneous</v>
          </cell>
          <cell r="E303">
            <v>0</v>
          </cell>
          <cell r="F303">
            <v>0</v>
          </cell>
          <cell r="G303">
            <v>0</v>
          </cell>
          <cell r="H303">
            <v>0</v>
          </cell>
          <cell r="I303">
            <v>0</v>
          </cell>
          <cell r="J303">
            <v>0</v>
          </cell>
          <cell r="K303">
            <v>0</v>
          </cell>
          <cell r="L303">
            <v>0</v>
          </cell>
          <cell r="M303">
            <v>0</v>
          </cell>
          <cell r="N303">
            <v>0</v>
          </cell>
          <cell r="O303">
            <v>0</v>
          </cell>
          <cell r="P303">
            <v>0</v>
          </cell>
          <cell r="Q303">
            <v>0</v>
          </cell>
        </row>
        <row r="304">
          <cell r="A304">
            <v>54998</v>
          </cell>
          <cell r="B304" t="str">
            <v>Allocation Out - District</v>
          </cell>
          <cell r="E304">
            <v>0</v>
          </cell>
          <cell r="F304">
            <v>0</v>
          </cell>
          <cell r="G304">
            <v>0</v>
          </cell>
          <cell r="H304">
            <v>0</v>
          </cell>
          <cell r="I304">
            <v>0</v>
          </cell>
          <cell r="J304">
            <v>0</v>
          </cell>
          <cell r="K304">
            <v>0</v>
          </cell>
          <cell r="L304">
            <v>0</v>
          </cell>
          <cell r="M304">
            <v>0</v>
          </cell>
          <cell r="N304">
            <v>0</v>
          </cell>
          <cell r="O304">
            <v>0</v>
          </cell>
          <cell r="P304">
            <v>0</v>
          </cell>
          <cell r="Q304">
            <v>0</v>
          </cell>
        </row>
        <row r="305">
          <cell r="A305">
            <v>54999</v>
          </cell>
          <cell r="B305" t="str">
            <v>Allocation Out - Out District</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A306">
            <v>55010</v>
          </cell>
          <cell r="B306" t="str">
            <v>Salaries</v>
          </cell>
          <cell r="E306">
            <v>0</v>
          </cell>
          <cell r="F306">
            <v>0</v>
          </cell>
          <cell r="G306">
            <v>0</v>
          </cell>
          <cell r="H306">
            <v>0</v>
          </cell>
          <cell r="I306">
            <v>0</v>
          </cell>
          <cell r="J306">
            <v>0</v>
          </cell>
          <cell r="K306">
            <v>0</v>
          </cell>
          <cell r="L306">
            <v>0</v>
          </cell>
          <cell r="M306">
            <v>0</v>
          </cell>
          <cell r="N306">
            <v>0</v>
          </cell>
          <cell r="O306">
            <v>0</v>
          </cell>
          <cell r="P306">
            <v>0</v>
          </cell>
          <cell r="Q306">
            <v>0</v>
          </cell>
        </row>
        <row r="307">
          <cell r="A307">
            <v>55020</v>
          </cell>
          <cell r="B307" t="str">
            <v>Wages Regular</v>
          </cell>
          <cell r="E307">
            <v>10121.69</v>
          </cell>
          <cell r="F307">
            <v>8242.4699999999993</v>
          </cell>
          <cell r="G307">
            <v>12061.67</v>
          </cell>
          <cell r="H307">
            <v>10915.7</v>
          </cell>
          <cell r="I307">
            <v>8008.44</v>
          </cell>
          <cell r="J307">
            <v>8531.7900000000009</v>
          </cell>
          <cell r="K307">
            <v>9525.08</v>
          </cell>
          <cell r="L307">
            <v>11641.49</v>
          </cell>
          <cell r="M307">
            <v>9358.9</v>
          </cell>
          <cell r="N307">
            <v>9463.3700000000008</v>
          </cell>
          <cell r="O307">
            <v>10355.24</v>
          </cell>
          <cell r="P307">
            <v>9802.01</v>
          </cell>
          <cell r="Q307">
            <v>118027.84999999999</v>
          </cell>
        </row>
        <row r="308">
          <cell r="A308">
            <v>55025</v>
          </cell>
          <cell r="B308" t="str">
            <v>Wages O.T.</v>
          </cell>
          <cell r="E308">
            <v>636.62</v>
          </cell>
          <cell r="F308">
            <v>425.9</v>
          </cell>
          <cell r="G308">
            <v>278.45999999999998</v>
          </cell>
          <cell r="H308">
            <v>1269.6099999999999</v>
          </cell>
          <cell r="I308">
            <v>580.07000000000005</v>
          </cell>
          <cell r="J308">
            <v>803.54</v>
          </cell>
          <cell r="K308">
            <v>467.98</v>
          </cell>
          <cell r="L308">
            <v>832.02</v>
          </cell>
          <cell r="M308">
            <v>17.989999999999998</v>
          </cell>
          <cell r="N308">
            <v>412.16</v>
          </cell>
          <cell r="O308">
            <v>650.38</v>
          </cell>
          <cell r="P308">
            <v>65.599999999999994</v>
          </cell>
          <cell r="Q308">
            <v>6440.3300000000008</v>
          </cell>
        </row>
        <row r="309">
          <cell r="A309">
            <v>55035</v>
          </cell>
          <cell r="B309" t="str">
            <v>Safety Bonuses</v>
          </cell>
          <cell r="E309">
            <v>0</v>
          </cell>
          <cell r="F309">
            <v>0</v>
          </cell>
          <cell r="G309">
            <v>0</v>
          </cell>
          <cell r="H309">
            <v>0</v>
          </cell>
          <cell r="I309">
            <v>0</v>
          </cell>
          <cell r="J309">
            <v>0</v>
          </cell>
          <cell r="K309">
            <v>0</v>
          </cell>
          <cell r="L309">
            <v>0</v>
          </cell>
          <cell r="M309">
            <v>0</v>
          </cell>
          <cell r="N309">
            <v>0</v>
          </cell>
          <cell r="O309">
            <v>0</v>
          </cell>
          <cell r="P309">
            <v>0</v>
          </cell>
          <cell r="Q309">
            <v>0</v>
          </cell>
        </row>
        <row r="310">
          <cell r="A310">
            <v>55036</v>
          </cell>
          <cell r="B310" t="str">
            <v>Other Bonus/Commission - Non-Safety</v>
          </cell>
          <cell r="E310">
            <v>0</v>
          </cell>
          <cell r="F310">
            <v>0</v>
          </cell>
          <cell r="G310">
            <v>0</v>
          </cell>
          <cell r="H310">
            <v>0</v>
          </cell>
          <cell r="I310">
            <v>0</v>
          </cell>
          <cell r="J310">
            <v>0</v>
          </cell>
          <cell r="K310">
            <v>0</v>
          </cell>
          <cell r="L310">
            <v>0</v>
          </cell>
          <cell r="M310">
            <v>0</v>
          </cell>
          <cell r="N310">
            <v>0</v>
          </cell>
          <cell r="O310">
            <v>0</v>
          </cell>
          <cell r="P310">
            <v>0</v>
          </cell>
          <cell r="Q310">
            <v>0</v>
          </cell>
        </row>
        <row r="311">
          <cell r="A311">
            <v>55045</v>
          </cell>
          <cell r="B311" t="str">
            <v>Contract Labor</v>
          </cell>
          <cell r="E311">
            <v>0</v>
          </cell>
          <cell r="F311">
            <v>0</v>
          </cell>
          <cell r="G311">
            <v>0</v>
          </cell>
          <cell r="H311">
            <v>0</v>
          </cell>
          <cell r="I311">
            <v>0</v>
          </cell>
          <cell r="J311">
            <v>0</v>
          </cell>
          <cell r="K311">
            <v>0</v>
          </cell>
          <cell r="L311">
            <v>0</v>
          </cell>
          <cell r="M311">
            <v>0</v>
          </cell>
          <cell r="N311">
            <v>0</v>
          </cell>
          <cell r="O311">
            <v>0</v>
          </cell>
          <cell r="P311">
            <v>0</v>
          </cell>
          <cell r="Q311">
            <v>0</v>
          </cell>
        </row>
        <row r="312">
          <cell r="A312">
            <v>55050</v>
          </cell>
          <cell r="B312" t="str">
            <v>Payroll Taxes</v>
          </cell>
          <cell r="E312">
            <v>1302.32</v>
          </cell>
          <cell r="F312">
            <v>934.4</v>
          </cell>
          <cell r="G312">
            <v>1150.47</v>
          </cell>
          <cell r="H312">
            <v>1167.9000000000001</v>
          </cell>
          <cell r="I312">
            <v>860.19</v>
          </cell>
          <cell r="J312">
            <v>884.97</v>
          </cell>
          <cell r="K312">
            <v>1058.24</v>
          </cell>
          <cell r="L312">
            <v>1180.19</v>
          </cell>
          <cell r="M312">
            <v>1055.3399999999999</v>
          </cell>
          <cell r="N312">
            <v>1038.93</v>
          </cell>
          <cell r="O312">
            <v>1185.43</v>
          </cell>
          <cell r="P312">
            <v>525.12</v>
          </cell>
          <cell r="Q312">
            <v>12343.500000000002</v>
          </cell>
        </row>
        <row r="313">
          <cell r="A313">
            <v>55060</v>
          </cell>
          <cell r="B313" t="str">
            <v>Group Insurance</v>
          </cell>
          <cell r="E313">
            <v>2215</v>
          </cell>
          <cell r="F313">
            <v>2215</v>
          </cell>
          <cell r="G313">
            <v>1935</v>
          </cell>
          <cell r="H313">
            <v>2495</v>
          </cell>
          <cell r="I313">
            <v>2215</v>
          </cell>
          <cell r="J313">
            <v>1919</v>
          </cell>
          <cell r="K313">
            <v>1919</v>
          </cell>
          <cell r="L313">
            <v>1919</v>
          </cell>
          <cell r="M313">
            <v>1691</v>
          </cell>
          <cell r="N313">
            <v>2147</v>
          </cell>
          <cell r="O313">
            <v>1711</v>
          </cell>
          <cell r="P313">
            <v>2215</v>
          </cell>
          <cell r="Q313">
            <v>24596</v>
          </cell>
        </row>
        <row r="314">
          <cell r="A314">
            <v>55065</v>
          </cell>
          <cell r="B314" t="str">
            <v>Vacation Pay</v>
          </cell>
          <cell r="E314">
            <v>303.81</v>
          </cell>
          <cell r="F314">
            <v>1016.29</v>
          </cell>
          <cell r="G314">
            <v>-198.06</v>
          </cell>
          <cell r="H314">
            <v>1145.3599999999999</v>
          </cell>
          <cell r="I314">
            <v>1042.8699999999999</v>
          </cell>
          <cell r="J314">
            <v>-719.54</v>
          </cell>
          <cell r="K314">
            <v>1222.3399999999999</v>
          </cell>
          <cell r="L314">
            <v>925.15</v>
          </cell>
          <cell r="M314">
            <v>1907.53</v>
          </cell>
          <cell r="N314">
            <v>789.75</v>
          </cell>
          <cell r="O314">
            <v>394.38</v>
          </cell>
          <cell r="P314">
            <v>930.27</v>
          </cell>
          <cell r="Q314">
            <v>8760.15</v>
          </cell>
        </row>
        <row r="315">
          <cell r="A315">
            <v>55070</v>
          </cell>
          <cell r="B315" t="str">
            <v>Sick Pay</v>
          </cell>
          <cell r="E315">
            <v>255.74</v>
          </cell>
          <cell r="F315">
            <v>163.92</v>
          </cell>
          <cell r="G315">
            <v>253.25</v>
          </cell>
          <cell r="H315">
            <v>-42.31</v>
          </cell>
          <cell r="I315">
            <v>0</v>
          </cell>
          <cell r="J315">
            <v>317.39999999999998</v>
          </cell>
          <cell r="K315">
            <v>165.6</v>
          </cell>
          <cell r="L315">
            <v>-138</v>
          </cell>
          <cell r="M315">
            <v>138</v>
          </cell>
          <cell r="N315">
            <v>216.36</v>
          </cell>
          <cell r="O315">
            <v>0</v>
          </cell>
          <cell r="P315">
            <v>317.60000000000002</v>
          </cell>
          <cell r="Q315">
            <v>1647.56</v>
          </cell>
        </row>
        <row r="316">
          <cell r="A316">
            <v>55086</v>
          </cell>
          <cell r="B316" t="str">
            <v>Safety and Training</v>
          </cell>
          <cell r="E316">
            <v>0</v>
          </cell>
          <cell r="F316">
            <v>0</v>
          </cell>
          <cell r="G316">
            <v>0</v>
          </cell>
          <cell r="H316">
            <v>34.299999999999997</v>
          </cell>
          <cell r="I316">
            <v>29.01</v>
          </cell>
          <cell r="J316">
            <v>0</v>
          </cell>
          <cell r="K316">
            <v>0</v>
          </cell>
          <cell r="L316">
            <v>1292.83</v>
          </cell>
          <cell r="M316">
            <v>425.23</v>
          </cell>
          <cell r="N316">
            <v>50</v>
          </cell>
          <cell r="O316">
            <v>0</v>
          </cell>
          <cell r="P316">
            <v>0</v>
          </cell>
          <cell r="Q316">
            <v>1831.37</v>
          </cell>
        </row>
        <row r="317">
          <cell r="A317">
            <v>55090</v>
          </cell>
          <cell r="B317" t="str">
            <v>Uniforms</v>
          </cell>
          <cell r="E317">
            <v>711.08</v>
          </cell>
          <cell r="F317">
            <v>516.91999999999996</v>
          </cell>
          <cell r="G317">
            <v>548.66</v>
          </cell>
          <cell r="H317">
            <v>420.37</v>
          </cell>
          <cell r="I317">
            <v>237.53</v>
          </cell>
          <cell r="J317">
            <v>620.41999999999996</v>
          </cell>
          <cell r="K317">
            <v>488.2</v>
          </cell>
          <cell r="L317">
            <v>1071.5999999999999</v>
          </cell>
          <cell r="M317">
            <v>360.8</v>
          </cell>
          <cell r="N317">
            <v>378.21</v>
          </cell>
          <cell r="O317">
            <v>414.33</v>
          </cell>
          <cell r="P317">
            <v>378.31</v>
          </cell>
          <cell r="Q317">
            <v>6146.43</v>
          </cell>
        </row>
        <row r="318">
          <cell r="A318">
            <v>55115</v>
          </cell>
          <cell r="B318" t="str">
            <v>Pension and Profit Sharing</v>
          </cell>
          <cell r="E318">
            <v>75.61</v>
          </cell>
          <cell r="F318">
            <v>80.2</v>
          </cell>
          <cell r="G318">
            <v>115.17</v>
          </cell>
          <cell r="H318">
            <v>81.77</v>
          </cell>
          <cell r="I318">
            <v>90.46</v>
          </cell>
          <cell r="J318">
            <v>86.97</v>
          </cell>
          <cell r="K318">
            <v>86.46</v>
          </cell>
          <cell r="L318">
            <v>85.09</v>
          </cell>
          <cell r="M318">
            <v>75.69</v>
          </cell>
          <cell r="N318">
            <v>120.4</v>
          </cell>
          <cell r="O318">
            <v>78.64</v>
          </cell>
          <cell r="P318">
            <v>73.08</v>
          </cell>
          <cell r="Q318">
            <v>1049.54</v>
          </cell>
        </row>
        <row r="319">
          <cell r="A319">
            <v>55116</v>
          </cell>
          <cell r="B319" t="str">
            <v>Union Benefit Expense</v>
          </cell>
          <cell r="E319">
            <v>0</v>
          </cell>
          <cell r="F319">
            <v>0</v>
          </cell>
          <cell r="G319">
            <v>0</v>
          </cell>
          <cell r="H319">
            <v>0</v>
          </cell>
          <cell r="I319">
            <v>0</v>
          </cell>
          <cell r="J319">
            <v>0</v>
          </cell>
          <cell r="K319">
            <v>0</v>
          </cell>
          <cell r="L319">
            <v>0</v>
          </cell>
          <cell r="M319">
            <v>0</v>
          </cell>
          <cell r="N319">
            <v>0</v>
          </cell>
          <cell r="O319">
            <v>0</v>
          </cell>
          <cell r="P319">
            <v>0</v>
          </cell>
          <cell r="Q319">
            <v>0</v>
          </cell>
        </row>
        <row r="320">
          <cell r="A320">
            <v>55117</v>
          </cell>
          <cell r="B320" t="str">
            <v>Union Pension</v>
          </cell>
          <cell r="E320">
            <v>0</v>
          </cell>
          <cell r="F320">
            <v>0</v>
          </cell>
          <cell r="G320">
            <v>0</v>
          </cell>
          <cell r="H320">
            <v>0</v>
          </cell>
          <cell r="I320">
            <v>0</v>
          </cell>
          <cell r="J320">
            <v>0</v>
          </cell>
          <cell r="K320">
            <v>0</v>
          </cell>
          <cell r="L320">
            <v>0</v>
          </cell>
          <cell r="M320">
            <v>0</v>
          </cell>
          <cell r="N320">
            <v>0</v>
          </cell>
          <cell r="O320">
            <v>0</v>
          </cell>
          <cell r="P320">
            <v>0</v>
          </cell>
          <cell r="Q320">
            <v>0</v>
          </cell>
        </row>
        <row r="321">
          <cell r="A321">
            <v>55120</v>
          </cell>
          <cell r="B321" t="str">
            <v>Parts and Materials</v>
          </cell>
          <cell r="E321">
            <v>6822.4</v>
          </cell>
          <cell r="F321">
            <v>7408.98</v>
          </cell>
          <cell r="G321">
            <v>6676.59</v>
          </cell>
          <cell r="H321">
            <v>10883.54</v>
          </cell>
          <cell r="I321">
            <v>6756.74</v>
          </cell>
          <cell r="J321">
            <v>6992.66</v>
          </cell>
          <cell r="K321">
            <v>7598.15</v>
          </cell>
          <cell r="L321">
            <v>6124.07</v>
          </cell>
          <cell r="M321">
            <v>6075.32</v>
          </cell>
          <cell r="N321">
            <v>1985.95</v>
          </cell>
          <cell r="O321">
            <v>4110.71</v>
          </cell>
          <cell r="P321">
            <v>5007.25</v>
          </cell>
          <cell r="Q321">
            <v>76442.360000000015</v>
          </cell>
        </row>
        <row r="322">
          <cell r="A322">
            <v>55125</v>
          </cell>
          <cell r="B322" t="str">
            <v>Operating Supplies</v>
          </cell>
          <cell r="E322">
            <v>208.43</v>
          </cell>
          <cell r="F322">
            <v>96</v>
          </cell>
          <cell r="G322">
            <v>0</v>
          </cell>
          <cell r="H322">
            <v>269.91000000000003</v>
          </cell>
          <cell r="I322">
            <v>134.9</v>
          </cell>
          <cell r="J322">
            <v>0</v>
          </cell>
          <cell r="K322">
            <v>0</v>
          </cell>
          <cell r="L322">
            <v>242.16</v>
          </cell>
          <cell r="M322">
            <v>0</v>
          </cell>
          <cell r="N322">
            <v>0</v>
          </cell>
          <cell r="O322">
            <v>0</v>
          </cell>
          <cell r="P322">
            <v>0</v>
          </cell>
          <cell r="Q322">
            <v>951.4</v>
          </cell>
        </row>
        <row r="323">
          <cell r="A323">
            <v>55135</v>
          </cell>
          <cell r="B323" t="str">
            <v>Equipment and Maint Repair</v>
          </cell>
          <cell r="E323">
            <v>0</v>
          </cell>
          <cell r="F323">
            <v>107.12</v>
          </cell>
          <cell r="G323">
            <v>103.06</v>
          </cell>
          <cell r="H323">
            <v>127.6</v>
          </cell>
          <cell r="I323">
            <v>177.2</v>
          </cell>
          <cell r="J323">
            <v>0</v>
          </cell>
          <cell r="K323">
            <v>402.9</v>
          </cell>
          <cell r="L323">
            <v>0</v>
          </cell>
          <cell r="M323">
            <v>1045.6400000000001</v>
          </cell>
          <cell r="N323">
            <v>613.79999999999995</v>
          </cell>
          <cell r="O323">
            <v>0.01</v>
          </cell>
          <cell r="P323">
            <v>0</v>
          </cell>
          <cell r="Q323">
            <v>2577.33</v>
          </cell>
        </row>
        <row r="324">
          <cell r="A324">
            <v>55140</v>
          </cell>
          <cell r="B324" t="str">
            <v>Tires</v>
          </cell>
          <cell r="E324">
            <v>0</v>
          </cell>
          <cell r="F324">
            <v>0</v>
          </cell>
          <cell r="G324">
            <v>0</v>
          </cell>
          <cell r="H324">
            <v>0</v>
          </cell>
          <cell r="I324">
            <v>0</v>
          </cell>
          <cell r="J324">
            <v>0</v>
          </cell>
          <cell r="K324">
            <v>0</v>
          </cell>
          <cell r="L324">
            <v>0</v>
          </cell>
          <cell r="M324">
            <v>0</v>
          </cell>
          <cell r="N324">
            <v>0</v>
          </cell>
          <cell r="O324">
            <v>0</v>
          </cell>
          <cell r="P324">
            <v>0</v>
          </cell>
          <cell r="Q324">
            <v>0</v>
          </cell>
        </row>
        <row r="325">
          <cell r="A325">
            <v>55142</v>
          </cell>
          <cell r="B325" t="str">
            <v>Fuel Expense</v>
          </cell>
          <cell r="E325">
            <v>0</v>
          </cell>
          <cell r="F325">
            <v>0</v>
          </cell>
          <cell r="G325">
            <v>0</v>
          </cell>
          <cell r="H325">
            <v>0</v>
          </cell>
          <cell r="I325">
            <v>0</v>
          </cell>
          <cell r="J325">
            <v>0</v>
          </cell>
          <cell r="K325">
            <v>0</v>
          </cell>
          <cell r="L325">
            <v>0</v>
          </cell>
          <cell r="M325">
            <v>0</v>
          </cell>
          <cell r="N325">
            <v>0</v>
          </cell>
          <cell r="O325">
            <v>0</v>
          </cell>
          <cell r="P325">
            <v>0</v>
          </cell>
          <cell r="Q325">
            <v>0</v>
          </cell>
        </row>
        <row r="326">
          <cell r="A326">
            <v>55143</v>
          </cell>
          <cell r="B326" t="str">
            <v>Corporate Medical Waste Supplies</v>
          </cell>
          <cell r="E326">
            <v>0</v>
          </cell>
          <cell r="F326">
            <v>0</v>
          </cell>
          <cell r="G326">
            <v>0</v>
          </cell>
          <cell r="H326">
            <v>0</v>
          </cell>
          <cell r="I326">
            <v>0</v>
          </cell>
          <cell r="J326">
            <v>0</v>
          </cell>
          <cell r="K326">
            <v>0</v>
          </cell>
          <cell r="L326">
            <v>0</v>
          </cell>
          <cell r="M326">
            <v>0</v>
          </cell>
          <cell r="N326">
            <v>0</v>
          </cell>
          <cell r="O326">
            <v>0</v>
          </cell>
          <cell r="P326">
            <v>0</v>
          </cell>
          <cell r="Q326">
            <v>0</v>
          </cell>
        </row>
        <row r="327">
          <cell r="A327">
            <v>55146</v>
          </cell>
          <cell r="B327" t="str">
            <v>Oil and Grease</v>
          </cell>
          <cell r="E327">
            <v>0</v>
          </cell>
          <cell r="F327">
            <v>0</v>
          </cell>
          <cell r="G327">
            <v>0</v>
          </cell>
          <cell r="H327">
            <v>0</v>
          </cell>
          <cell r="I327">
            <v>0</v>
          </cell>
          <cell r="J327">
            <v>0</v>
          </cell>
          <cell r="K327">
            <v>0</v>
          </cell>
          <cell r="L327">
            <v>0</v>
          </cell>
          <cell r="M327">
            <v>0</v>
          </cell>
          <cell r="N327">
            <v>0</v>
          </cell>
          <cell r="O327">
            <v>0</v>
          </cell>
          <cell r="P327">
            <v>0</v>
          </cell>
          <cell r="Q327">
            <v>0</v>
          </cell>
        </row>
        <row r="328">
          <cell r="A328">
            <v>55147</v>
          </cell>
          <cell r="B328" t="str">
            <v>Outside Repairs</v>
          </cell>
          <cell r="E328">
            <v>0</v>
          </cell>
          <cell r="F328">
            <v>0</v>
          </cell>
          <cell r="G328">
            <v>0</v>
          </cell>
          <cell r="H328">
            <v>0</v>
          </cell>
          <cell r="I328">
            <v>0</v>
          </cell>
          <cell r="J328">
            <v>0</v>
          </cell>
          <cell r="K328">
            <v>0</v>
          </cell>
          <cell r="L328">
            <v>0</v>
          </cell>
          <cell r="M328">
            <v>0</v>
          </cell>
          <cell r="N328">
            <v>0</v>
          </cell>
          <cell r="O328">
            <v>0</v>
          </cell>
          <cell r="P328">
            <v>0</v>
          </cell>
          <cell r="Q328">
            <v>0</v>
          </cell>
        </row>
        <row r="329">
          <cell r="A329">
            <v>55148</v>
          </cell>
          <cell r="B329" t="str">
            <v>Allocated Exp In - District</v>
          </cell>
          <cell r="E329">
            <v>0</v>
          </cell>
          <cell r="F329">
            <v>0</v>
          </cell>
          <cell r="G329">
            <v>0</v>
          </cell>
          <cell r="H329">
            <v>0</v>
          </cell>
          <cell r="I329">
            <v>0</v>
          </cell>
          <cell r="J329">
            <v>0</v>
          </cell>
          <cell r="K329">
            <v>0</v>
          </cell>
          <cell r="L329">
            <v>0</v>
          </cell>
          <cell r="M329">
            <v>0</v>
          </cell>
          <cell r="N329">
            <v>0</v>
          </cell>
          <cell r="O329">
            <v>0</v>
          </cell>
          <cell r="P329">
            <v>0</v>
          </cell>
          <cell r="Q329">
            <v>0</v>
          </cell>
        </row>
        <row r="330">
          <cell r="A330">
            <v>55149</v>
          </cell>
          <cell r="B330" t="str">
            <v>Allocated Exp In Out - District</v>
          </cell>
          <cell r="E330">
            <v>0</v>
          </cell>
          <cell r="F330">
            <v>0</v>
          </cell>
          <cell r="G330">
            <v>0</v>
          </cell>
          <cell r="H330">
            <v>0</v>
          </cell>
          <cell r="I330">
            <v>0</v>
          </cell>
          <cell r="J330">
            <v>0</v>
          </cell>
          <cell r="K330">
            <v>0</v>
          </cell>
          <cell r="L330">
            <v>0</v>
          </cell>
          <cell r="M330">
            <v>0</v>
          </cell>
          <cell r="N330">
            <v>0</v>
          </cell>
          <cell r="O330">
            <v>0</v>
          </cell>
          <cell r="P330">
            <v>0</v>
          </cell>
          <cell r="Q330">
            <v>0</v>
          </cell>
        </row>
        <row r="331">
          <cell r="A331">
            <v>55150</v>
          </cell>
          <cell r="B331" t="str">
            <v>Utilities</v>
          </cell>
          <cell r="E331">
            <v>145.91</v>
          </cell>
          <cell r="F331">
            <v>170</v>
          </cell>
          <cell r="G331">
            <v>160.13999999999999</v>
          </cell>
          <cell r="H331">
            <v>153.57</v>
          </cell>
          <cell r="I331">
            <v>132.77000000000001</v>
          </cell>
          <cell r="J331">
            <v>124.01</v>
          </cell>
          <cell r="K331">
            <v>109.77</v>
          </cell>
          <cell r="L331">
            <v>522.32000000000005</v>
          </cell>
          <cell r="M331">
            <v>123.5</v>
          </cell>
          <cell r="N331">
            <v>114.69</v>
          </cell>
          <cell r="O331">
            <v>122.68</v>
          </cell>
          <cell r="P331">
            <v>122.68</v>
          </cell>
          <cell r="Q331">
            <v>2002.04</v>
          </cell>
        </row>
        <row r="332">
          <cell r="A332">
            <v>55181</v>
          </cell>
          <cell r="B332" t="str">
            <v>Freight</v>
          </cell>
          <cell r="E332">
            <v>0</v>
          </cell>
          <cell r="F332">
            <v>0</v>
          </cell>
          <cell r="G332">
            <v>0</v>
          </cell>
          <cell r="H332">
            <v>0</v>
          </cell>
          <cell r="I332">
            <v>0</v>
          </cell>
          <cell r="J332">
            <v>0</v>
          </cell>
          <cell r="K332">
            <v>0</v>
          </cell>
          <cell r="L332">
            <v>0</v>
          </cell>
          <cell r="M332">
            <v>0</v>
          </cell>
          <cell r="N332">
            <v>0</v>
          </cell>
          <cell r="O332">
            <v>0</v>
          </cell>
          <cell r="P332">
            <v>0</v>
          </cell>
          <cell r="Q332">
            <v>0</v>
          </cell>
        </row>
        <row r="333">
          <cell r="A333">
            <v>55335</v>
          </cell>
          <cell r="B333" t="str">
            <v>Miscellaneous</v>
          </cell>
          <cell r="E333">
            <v>0</v>
          </cell>
          <cell r="F333">
            <v>0</v>
          </cell>
          <cell r="G333">
            <v>0</v>
          </cell>
          <cell r="H333">
            <v>0</v>
          </cell>
          <cell r="I333">
            <v>0</v>
          </cell>
          <cell r="J333">
            <v>0</v>
          </cell>
          <cell r="K333">
            <v>0</v>
          </cell>
          <cell r="L333">
            <v>0</v>
          </cell>
          <cell r="M333">
            <v>0</v>
          </cell>
          <cell r="N333">
            <v>0</v>
          </cell>
          <cell r="O333">
            <v>0</v>
          </cell>
          <cell r="P333">
            <v>0</v>
          </cell>
          <cell r="Q333">
            <v>0</v>
          </cell>
        </row>
        <row r="334">
          <cell r="A334">
            <v>55900</v>
          </cell>
          <cell r="B334" t="str">
            <v>Capitalized Costs</v>
          </cell>
          <cell r="E334">
            <v>0</v>
          </cell>
          <cell r="F334">
            <v>0</v>
          </cell>
          <cell r="G334">
            <v>0</v>
          </cell>
          <cell r="H334">
            <v>0</v>
          </cell>
          <cell r="I334">
            <v>0</v>
          </cell>
          <cell r="J334">
            <v>0</v>
          </cell>
          <cell r="K334">
            <v>0</v>
          </cell>
          <cell r="L334">
            <v>0</v>
          </cell>
          <cell r="M334">
            <v>0</v>
          </cell>
          <cell r="N334">
            <v>0</v>
          </cell>
          <cell r="O334">
            <v>0</v>
          </cell>
          <cell r="P334">
            <v>0</v>
          </cell>
          <cell r="Q334">
            <v>0</v>
          </cell>
        </row>
        <row r="335">
          <cell r="A335">
            <v>55998</v>
          </cell>
          <cell r="B335" t="str">
            <v>Allocation Out - District</v>
          </cell>
          <cell r="E335">
            <v>0</v>
          </cell>
          <cell r="F335">
            <v>0</v>
          </cell>
          <cell r="G335">
            <v>0</v>
          </cell>
          <cell r="H335">
            <v>0</v>
          </cell>
          <cell r="I335">
            <v>0</v>
          </cell>
          <cell r="J335">
            <v>0</v>
          </cell>
          <cell r="K335">
            <v>0</v>
          </cell>
          <cell r="L335">
            <v>0</v>
          </cell>
          <cell r="M335">
            <v>0</v>
          </cell>
          <cell r="N335">
            <v>0</v>
          </cell>
          <cell r="O335">
            <v>0</v>
          </cell>
          <cell r="P335">
            <v>0</v>
          </cell>
          <cell r="Q335">
            <v>0</v>
          </cell>
        </row>
        <row r="336">
          <cell r="A336">
            <v>55999</v>
          </cell>
          <cell r="B336" t="str">
            <v>Allocation Out - Out District</v>
          </cell>
          <cell r="E336">
            <v>0</v>
          </cell>
          <cell r="F336">
            <v>0</v>
          </cell>
          <cell r="G336">
            <v>0</v>
          </cell>
          <cell r="H336">
            <v>0</v>
          </cell>
          <cell r="I336">
            <v>0</v>
          </cell>
          <cell r="J336">
            <v>0</v>
          </cell>
          <cell r="K336">
            <v>0</v>
          </cell>
          <cell r="L336">
            <v>0</v>
          </cell>
          <cell r="M336">
            <v>0</v>
          </cell>
          <cell r="N336">
            <v>0</v>
          </cell>
          <cell r="O336">
            <v>0</v>
          </cell>
          <cell r="P336">
            <v>0</v>
          </cell>
          <cell r="Q336">
            <v>0</v>
          </cell>
        </row>
        <row r="337">
          <cell r="A337" t="str">
            <v>Total Container</v>
          </cell>
          <cell r="E337">
            <v>22798.61</v>
          </cell>
          <cell r="F337">
            <v>21377.199999999997</v>
          </cell>
          <cell r="G337">
            <v>23084.41</v>
          </cell>
          <cell r="H337">
            <v>28922.319999999996</v>
          </cell>
          <cell r="I337">
            <v>20265.18</v>
          </cell>
          <cell r="J337">
            <v>19561.219999999998</v>
          </cell>
          <cell r="K337">
            <v>23043.72</v>
          </cell>
          <cell r="L337">
            <v>25697.919999999998</v>
          </cell>
          <cell r="M337">
            <v>22274.94</v>
          </cell>
          <cell r="N337">
            <v>17330.62</v>
          </cell>
          <cell r="O337">
            <v>19022.799999999996</v>
          </cell>
          <cell r="P337">
            <v>19436.920000000002</v>
          </cell>
          <cell r="Q337">
            <v>262815.86</v>
          </cell>
        </row>
        <row r="339">
          <cell r="A339" t="str">
            <v>Supervisor</v>
          </cell>
        </row>
        <row r="340">
          <cell r="A340">
            <v>56010</v>
          </cell>
          <cell r="B340" t="str">
            <v>Salaries</v>
          </cell>
          <cell r="E340">
            <v>21484.6</v>
          </cell>
          <cell r="F340">
            <v>20461.52</v>
          </cell>
          <cell r="G340">
            <v>23530.74</v>
          </cell>
          <cell r="H340">
            <v>22507.68</v>
          </cell>
          <cell r="I340">
            <v>21484.6</v>
          </cell>
          <cell r="J340">
            <v>22507.66</v>
          </cell>
          <cell r="K340">
            <v>22636.52</v>
          </cell>
          <cell r="L340">
            <v>22649.4</v>
          </cell>
          <cell r="M340">
            <v>22649.39</v>
          </cell>
          <cell r="N340">
            <v>21768.59</v>
          </cell>
          <cell r="O340">
            <v>22733.7</v>
          </cell>
          <cell r="P340">
            <v>23898.34</v>
          </cell>
          <cell r="Q340">
            <v>268312.74</v>
          </cell>
        </row>
        <row r="341">
          <cell r="A341">
            <v>56020</v>
          </cell>
          <cell r="B341" t="str">
            <v>Wages Regular</v>
          </cell>
          <cell r="E341">
            <v>4948.7299999999996</v>
          </cell>
          <cell r="F341">
            <v>4243.8599999999997</v>
          </cell>
          <cell r="G341">
            <v>5249.43</v>
          </cell>
          <cell r="H341">
            <v>5618.66</v>
          </cell>
          <cell r="I341">
            <v>4920.93</v>
          </cell>
          <cell r="J341">
            <v>5799.39</v>
          </cell>
          <cell r="K341">
            <v>5404.71</v>
          </cell>
          <cell r="L341">
            <v>5365.56</v>
          </cell>
          <cell r="M341">
            <v>4903.59</v>
          </cell>
          <cell r="N341">
            <v>5263.01</v>
          </cell>
          <cell r="O341">
            <v>5800.6</v>
          </cell>
          <cell r="P341">
            <v>5428.54</v>
          </cell>
          <cell r="Q341">
            <v>62947.01</v>
          </cell>
        </row>
        <row r="342">
          <cell r="A342">
            <v>56025</v>
          </cell>
          <cell r="B342" t="str">
            <v>Wages O.T.</v>
          </cell>
          <cell r="E342">
            <v>515.38</v>
          </cell>
          <cell r="F342">
            <v>23.34</v>
          </cell>
          <cell r="G342">
            <v>199.47</v>
          </cell>
          <cell r="H342">
            <v>439.74</v>
          </cell>
          <cell r="I342">
            <v>937.69</v>
          </cell>
          <cell r="J342">
            <v>676.04</v>
          </cell>
          <cell r="K342">
            <v>89.23</v>
          </cell>
          <cell r="L342">
            <v>691.05</v>
          </cell>
          <cell r="M342">
            <v>707.32</v>
          </cell>
          <cell r="N342">
            <v>322.20999999999998</v>
          </cell>
          <cell r="O342">
            <v>737.63</v>
          </cell>
          <cell r="P342">
            <v>791.29</v>
          </cell>
          <cell r="Q342">
            <v>6130.3899999999994</v>
          </cell>
        </row>
        <row r="343">
          <cell r="A343">
            <v>56035</v>
          </cell>
          <cell r="B343" t="str">
            <v>Safety Bonuses</v>
          </cell>
          <cell r="E343">
            <v>0</v>
          </cell>
          <cell r="F343">
            <v>0</v>
          </cell>
          <cell r="G343">
            <v>0</v>
          </cell>
          <cell r="H343">
            <v>0</v>
          </cell>
          <cell r="I343">
            <v>0</v>
          </cell>
          <cell r="J343">
            <v>0</v>
          </cell>
          <cell r="K343">
            <v>0</v>
          </cell>
          <cell r="L343">
            <v>0</v>
          </cell>
          <cell r="M343">
            <v>0</v>
          </cell>
          <cell r="N343">
            <v>0</v>
          </cell>
          <cell r="O343">
            <v>0</v>
          </cell>
          <cell r="P343">
            <v>0</v>
          </cell>
          <cell r="Q343">
            <v>0</v>
          </cell>
        </row>
        <row r="344">
          <cell r="A344">
            <v>56036</v>
          </cell>
          <cell r="B344" t="str">
            <v>Other Bonus/Commission - Non-Safety</v>
          </cell>
          <cell r="E344">
            <v>0</v>
          </cell>
          <cell r="F344">
            <v>0</v>
          </cell>
          <cell r="G344">
            <v>0</v>
          </cell>
          <cell r="H344">
            <v>0</v>
          </cell>
          <cell r="I344">
            <v>0</v>
          </cell>
          <cell r="J344">
            <v>0</v>
          </cell>
          <cell r="K344">
            <v>0</v>
          </cell>
          <cell r="L344">
            <v>0</v>
          </cell>
          <cell r="M344">
            <v>0</v>
          </cell>
          <cell r="N344">
            <v>0</v>
          </cell>
          <cell r="O344">
            <v>0</v>
          </cell>
          <cell r="P344">
            <v>0</v>
          </cell>
          <cell r="Q344">
            <v>0</v>
          </cell>
        </row>
        <row r="345">
          <cell r="A345">
            <v>56037</v>
          </cell>
          <cell r="B345" t="str">
            <v>Termination Pay</v>
          </cell>
          <cell r="E345">
            <v>0</v>
          </cell>
          <cell r="F345">
            <v>0</v>
          </cell>
          <cell r="G345">
            <v>0</v>
          </cell>
          <cell r="H345">
            <v>0</v>
          </cell>
          <cell r="I345">
            <v>0</v>
          </cell>
          <cell r="J345">
            <v>0</v>
          </cell>
          <cell r="K345">
            <v>0</v>
          </cell>
          <cell r="L345">
            <v>0</v>
          </cell>
          <cell r="M345">
            <v>0</v>
          </cell>
          <cell r="N345">
            <v>0</v>
          </cell>
          <cell r="O345">
            <v>0</v>
          </cell>
          <cell r="P345">
            <v>0</v>
          </cell>
          <cell r="Q345">
            <v>0</v>
          </cell>
        </row>
        <row r="346">
          <cell r="A346">
            <v>56045</v>
          </cell>
          <cell r="B346" t="str">
            <v>Contract Labor</v>
          </cell>
          <cell r="E346">
            <v>0</v>
          </cell>
          <cell r="F346">
            <v>0</v>
          </cell>
          <cell r="G346">
            <v>0</v>
          </cell>
          <cell r="H346">
            <v>0</v>
          </cell>
          <cell r="I346">
            <v>0</v>
          </cell>
          <cell r="J346">
            <v>0</v>
          </cell>
          <cell r="K346">
            <v>0</v>
          </cell>
          <cell r="L346">
            <v>0</v>
          </cell>
          <cell r="M346">
            <v>0</v>
          </cell>
          <cell r="N346">
            <v>0</v>
          </cell>
          <cell r="O346">
            <v>0</v>
          </cell>
          <cell r="P346">
            <v>0</v>
          </cell>
          <cell r="Q346">
            <v>0</v>
          </cell>
        </row>
        <row r="347">
          <cell r="A347">
            <v>56050</v>
          </cell>
          <cell r="B347" t="str">
            <v>Payroll Taxes</v>
          </cell>
          <cell r="E347">
            <v>3178.64</v>
          </cell>
          <cell r="F347">
            <v>2251.66</v>
          </cell>
          <cell r="G347">
            <v>2524.9499999999998</v>
          </cell>
          <cell r="H347">
            <v>2497.5100000000002</v>
          </cell>
          <cell r="I347">
            <v>2309.15</v>
          </cell>
          <cell r="J347">
            <v>2588.5</v>
          </cell>
          <cell r="K347">
            <v>2219.94</v>
          </cell>
          <cell r="L347">
            <v>1586.57</v>
          </cell>
          <cell r="M347">
            <v>1804.92</v>
          </cell>
          <cell r="N347">
            <v>1787.26</v>
          </cell>
          <cell r="O347">
            <v>1971.2</v>
          </cell>
          <cell r="P347">
            <v>1725.76</v>
          </cell>
          <cell r="Q347">
            <v>26446.059999999994</v>
          </cell>
        </row>
        <row r="348">
          <cell r="A348">
            <v>56060</v>
          </cell>
          <cell r="B348" t="str">
            <v>Group Insurance</v>
          </cell>
          <cell r="E348">
            <v>2508.5</v>
          </cell>
          <cell r="F348">
            <v>2315.5</v>
          </cell>
          <cell r="G348">
            <v>2043</v>
          </cell>
          <cell r="H348">
            <v>2781</v>
          </cell>
          <cell r="I348">
            <v>2412</v>
          </cell>
          <cell r="J348">
            <v>1237</v>
          </cell>
          <cell r="K348">
            <v>1237</v>
          </cell>
          <cell r="L348">
            <v>1237</v>
          </cell>
          <cell r="M348">
            <v>868</v>
          </cell>
          <cell r="N348">
            <v>1606</v>
          </cell>
          <cell r="O348">
            <v>1237</v>
          </cell>
          <cell r="P348">
            <v>1237</v>
          </cell>
          <cell r="Q348">
            <v>20719</v>
          </cell>
        </row>
        <row r="349">
          <cell r="A349">
            <v>56065</v>
          </cell>
          <cell r="B349" t="str">
            <v>Vacation Pay</v>
          </cell>
          <cell r="E349">
            <v>2015.83</v>
          </cell>
          <cell r="F349">
            <v>1112.7</v>
          </cell>
          <cell r="G349">
            <v>1240.4000000000001</v>
          </cell>
          <cell r="H349">
            <v>1221.3699999999999</v>
          </cell>
          <cell r="I349">
            <v>1789.21</v>
          </cell>
          <cell r="J349">
            <v>2096.9899999999998</v>
          </cell>
          <cell r="K349">
            <v>-3773.2</v>
          </cell>
          <cell r="L349">
            <v>-940.29</v>
          </cell>
          <cell r="M349">
            <v>2549.7399999999998</v>
          </cell>
          <cell r="N349">
            <v>360.95</v>
          </cell>
          <cell r="O349">
            <v>2162.4499999999998</v>
          </cell>
          <cell r="P349">
            <v>2200.5700000000002</v>
          </cell>
          <cell r="Q349">
            <v>12036.72</v>
          </cell>
        </row>
        <row r="350">
          <cell r="A350">
            <v>56070</v>
          </cell>
          <cell r="B350" t="str">
            <v>Sick Pay</v>
          </cell>
          <cell r="E350">
            <v>-88.92</v>
          </cell>
          <cell r="F350">
            <v>208.16</v>
          </cell>
          <cell r="G350">
            <v>-102.08</v>
          </cell>
          <cell r="H350">
            <v>0</v>
          </cell>
          <cell r="I350">
            <v>487.17</v>
          </cell>
          <cell r="J350">
            <v>-182.69</v>
          </cell>
          <cell r="K350">
            <v>304.48</v>
          </cell>
          <cell r="L350">
            <v>182.69</v>
          </cell>
          <cell r="M350">
            <v>124.67</v>
          </cell>
          <cell r="N350">
            <v>66.48</v>
          </cell>
          <cell r="O350">
            <v>0</v>
          </cell>
          <cell r="P350">
            <v>0</v>
          </cell>
          <cell r="Q350">
            <v>999.96000000000015</v>
          </cell>
        </row>
        <row r="351">
          <cell r="A351">
            <v>56086</v>
          </cell>
          <cell r="B351" t="str">
            <v>Safety and Training</v>
          </cell>
          <cell r="E351">
            <v>86.34</v>
          </cell>
          <cell r="F351">
            <v>16.23</v>
          </cell>
          <cell r="G351">
            <v>31.23</v>
          </cell>
          <cell r="H351">
            <v>21.48</v>
          </cell>
          <cell r="I351">
            <v>0</v>
          </cell>
          <cell r="J351">
            <v>64.92</v>
          </cell>
          <cell r="K351">
            <v>0</v>
          </cell>
          <cell r="L351">
            <v>80.650000000000006</v>
          </cell>
          <cell r="M351">
            <v>0</v>
          </cell>
          <cell r="N351">
            <v>121.71</v>
          </cell>
          <cell r="O351">
            <v>0</v>
          </cell>
          <cell r="P351">
            <v>0</v>
          </cell>
          <cell r="Q351">
            <v>422.56</v>
          </cell>
        </row>
        <row r="352">
          <cell r="A352">
            <v>56090</v>
          </cell>
          <cell r="B352" t="str">
            <v>Uniforms</v>
          </cell>
          <cell r="E352">
            <v>356.19</v>
          </cell>
          <cell r="F352">
            <v>519.97</v>
          </cell>
          <cell r="G352">
            <v>1421.43</v>
          </cell>
          <cell r="H352">
            <v>967.63</v>
          </cell>
          <cell r="I352">
            <v>1153.95</v>
          </cell>
          <cell r="J352">
            <v>1314.26</v>
          </cell>
          <cell r="K352">
            <v>1629.69</v>
          </cell>
          <cell r="L352">
            <v>1082.08</v>
          </cell>
          <cell r="M352">
            <v>1087.67</v>
          </cell>
          <cell r="N352">
            <v>1240.51</v>
          </cell>
          <cell r="O352">
            <v>1230.1199999999999</v>
          </cell>
          <cell r="P352">
            <v>1719.85</v>
          </cell>
          <cell r="Q352">
            <v>13723.35</v>
          </cell>
        </row>
        <row r="353">
          <cell r="A353">
            <v>56095</v>
          </cell>
          <cell r="B353" t="str">
            <v>Empl &amp; Commun Activ</v>
          </cell>
          <cell r="E353">
            <v>242.51</v>
          </cell>
          <cell r="F353">
            <v>-88.98</v>
          </cell>
          <cell r="G353">
            <v>0</v>
          </cell>
          <cell r="H353">
            <v>30.82</v>
          </cell>
          <cell r="I353">
            <v>161.91999999999999</v>
          </cell>
          <cell r="J353">
            <v>154.44999999999999</v>
          </cell>
          <cell r="K353">
            <v>0</v>
          </cell>
          <cell r="L353">
            <v>81.739999999999995</v>
          </cell>
          <cell r="M353">
            <v>97.68</v>
          </cell>
          <cell r="N353">
            <v>250.97</v>
          </cell>
          <cell r="O353">
            <v>-60.35</v>
          </cell>
          <cell r="P353">
            <v>0</v>
          </cell>
          <cell r="Q353">
            <v>870.75999999999988</v>
          </cell>
        </row>
        <row r="354">
          <cell r="A354">
            <v>56105</v>
          </cell>
          <cell r="B354" t="str">
            <v>Employee Relocation</v>
          </cell>
          <cell r="E354">
            <v>0</v>
          </cell>
          <cell r="F354">
            <v>0</v>
          </cell>
          <cell r="G354">
            <v>0</v>
          </cell>
          <cell r="H354">
            <v>0</v>
          </cell>
          <cell r="I354">
            <v>0</v>
          </cell>
          <cell r="J354">
            <v>0</v>
          </cell>
          <cell r="K354">
            <v>0</v>
          </cell>
          <cell r="L354">
            <v>0</v>
          </cell>
          <cell r="M354">
            <v>0</v>
          </cell>
          <cell r="N354">
            <v>0</v>
          </cell>
          <cell r="O354">
            <v>0</v>
          </cell>
          <cell r="P354">
            <v>0</v>
          </cell>
          <cell r="Q354">
            <v>0</v>
          </cell>
        </row>
        <row r="355">
          <cell r="A355">
            <v>56108</v>
          </cell>
          <cell r="B355" t="str">
            <v>School Tuition</v>
          </cell>
          <cell r="E355">
            <v>0</v>
          </cell>
          <cell r="F355">
            <v>0</v>
          </cell>
          <cell r="G355">
            <v>0</v>
          </cell>
          <cell r="H355">
            <v>0</v>
          </cell>
          <cell r="I355">
            <v>0</v>
          </cell>
          <cell r="J355">
            <v>0</v>
          </cell>
          <cell r="K355">
            <v>0</v>
          </cell>
          <cell r="L355">
            <v>0</v>
          </cell>
          <cell r="M355">
            <v>0</v>
          </cell>
          <cell r="N355">
            <v>0</v>
          </cell>
          <cell r="O355">
            <v>0</v>
          </cell>
          <cell r="P355">
            <v>0</v>
          </cell>
          <cell r="Q355">
            <v>0</v>
          </cell>
        </row>
        <row r="356">
          <cell r="A356">
            <v>56115</v>
          </cell>
          <cell r="B356" t="str">
            <v>Pension and Profit Sharing</v>
          </cell>
          <cell r="E356">
            <v>259.32</v>
          </cell>
          <cell r="F356">
            <v>257.68</v>
          </cell>
          <cell r="G356">
            <v>386.43</v>
          </cell>
          <cell r="H356">
            <v>258.10000000000002</v>
          </cell>
          <cell r="I356">
            <v>332.41</v>
          </cell>
          <cell r="J356">
            <v>433.93</v>
          </cell>
          <cell r="K356">
            <v>427.05</v>
          </cell>
          <cell r="L356">
            <v>424.39</v>
          </cell>
          <cell r="M356">
            <v>428.34</v>
          </cell>
          <cell r="N356">
            <v>657.37</v>
          </cell>
          <cell r="O356">
            <v>545.69000000000005</v>
          </cell>
          <cell r="P356">
            <v>433.37</v>
          </cell>
          <cell r="Q356">
            <v>4844.0800000000008</v>
          </cell>
        </row>
        <row r="357">
          <cell r="A357">
            <v>56116</v>
          </cell>
          <cell r="B357" t="str">
            <v>Union Benefit Expense</v>
          </cell>
          <cell r="E357">
            <v>0</v>
          </cell>
          <cell r="F357">
            <v>0</v>
          </cell>
          <cell r="G357">
            <v>0</v>
          </cell>
          <cell r="H357">
            <v>0</v>
          </cell>
          <cell r="I357">
            <v>0</v>
          </cell>
          <cell r="J357">
            <v>0</v>
          </cell>
          <cell r="K357">
            <v>0</v>
          </cell>
          <cell r="L357">
            <v>0</v>
          </cell>
          <cell r="M357">
            <v>0</v>
          </cell>
          <cell r="N357">
            <v>0</v>
          </cell>
          <cell r="O357">
            <v>0</v>
          </cell>
          <cell r="P357">
            <v>0</v>
          </cell>
          <cell r="Q357">
            <v>0</v>
          </cell>
        </row>
        <row r="358">
          <cell r="A358">
            <v>56117</v>
          </cell>
          <cell r="B358" t="str">
            <v>Union Pension</v>
          </cell>
          <cell r="E358">
            <v>0</v>
          </cell>
          <cell r="F358">
            <v>0</v>
          </cell>
          <cell r="G358">
            <v>0</v>
          </cell>
          <cell r="H358">
            <v>0</v>
          </cell>
          <cell r="I358">
            <v>0</v>
          </cell>
          <cell r="J358">
            <v>0</v>
          </cell>
          <cell r="K358">
            <v>0</v>
          </cell>
          <cell r="L358">
            <v>0</v>
          </cell>
          <cell r="M358">
            <v>0</v>
          </cell>
          <cell r="N358">
            <v>0</v>
          </cell>
          <cell r="O358">
            <v>0</v>
          </cell>
          <cell r="P358">
            <v>0</v>
          </cell>
          <cell r="Q358">
            <v>0</v>
          </cell>
        </row>
        <row r="359">
          <cell r="A359">
            <v>56125</v>
          </cell>
          <cell r="B359" t="str">
            <v>Operating Supplies</v>
          </cell>
          <cell r="E359">
            <v>391.66</v>
          </cell>
          <cell r="F359">
            <v>526.79999999999995</v>
          </cell>
          <cell r="G359">
            <v>580.32000000000005</v>
          </cell>
          <cell r="H359">
            <v>1039.98</v>
          </cell>
          <cell r="I359">
            <v>-623.28</v>
          </cell>
          <cell r="J359">
            <v>102.55</v>
          </cell>
          <cell r="K359">
            <v>582.14</v>
          </cell>
          <cell r="L359">
            <v>366.9</v>
          </cell>
          <cell r="M359">
            <v>350.1</v>
          </cell>
          <cell r="N359">
            <v>0</v>
          </cell>
          <cell r="O359">
            <v>255.27</v>
          </cell>
          <cell r="P359">
            <v>127.61</v>
          </cell>
          <cell r="Q359">
            <v>3700.05</v>
          </cell>
        </row>
        <row r="360">
          <cell r="A360">
            <v>56140</v>
          </cell>
          <cell r="B360" t="str">
            <v>Tires</v>
          </cell>
          <cell r="E360">
            <v>0</v>
          </cell>
          <cell r="F360">
            <v>0</v>
          </cell>
          <cell r="G360">
            <v>0</v>
          </cell>
          <cell r="H360">
            <v>0</v>
          </cell>
          <cell r="I360">
            <v>0</v>
          </cell>
          <cell r="J360">
            <v>0</v>
          </cell>
          <cell r="K360">
            <v>0</v>
          </cell>
          <cell r="L360">
            <v>0</v>
          </cell>
          <cell r="M360">
            <v>0</v>
          </cell>
          <cell r="N360">
            <v>0</v>
          </cell>
          <cell r="O360">
            <v>0</v>
          </cell>
          <cell r="P360">
            <v>0</v>
          </cell>
          <cell r="Q360">
            <v>0</v>
          </cell>
        </row>
        <row r="361">
          <cell r="A361">
            <v>56142</v>
          </cell>
          <cell r="B361" t="str">
            <v>Fuel Expense</v>
          </cell>
          <cell r="E361">
            <v>0</v>
          </cell>
          <cell r="F361">
            <v>0</v>
          </cell>
          <cell r="G361">
            <v>0</v>
          </cell>
          <cell r="H361">
            <v>0</v>
          </cell>
          <cell r="I361">
            <v>0</v>
          </cell>
          <cell r="J361">
            <v>0</v>
          </cell>
          <cell r="K361">
            <v>0</v>
          </cell>
          <cell r="L361">
            <v>0</v>
          </cell>
          <cell r="M361">
            <v>0</v>
          </cell>
          <cell r="N361">
            <v>0</v>
          </cell>
          <cell r="O361">
            <v>0</v>
          </cell>
          <cell r="P361">
            <v>0</v>
          </cell>
          <cell r="Q361">
            <v>0</v>
          </cell>
        </row>
        <row r="362">
          <cell r="A362">
            <v>56148</v>
          </cell>
          <cell r="B362" t="str">
            <v>Allocated Exp In - District</v>
          </cell>
          <cell r="E362">
            <v>0</v>
          </cell>
          <cell r="F362">
            <v>0</v>
          </cell>
          <cell r="G362">
            <v>0</v>
          </cell>
          <cell r="H362">
            <v>0</v>
          </cell>
          <cell r="I362">
            <v>0</v>
          </cell>
          <cell r="J362">
            <v>0</v>
          </cell>
          <cell r="K362">
            <v>0</v>
          </cell>
          <cell r="L362">
            <v>0</v>
          </cell>
          <cell r="M362">
            <v>0</v>
          </cell>
          <cell r="N362">
            <v>0</v>
          </cell>
          <cell r="O362">
            <v>0</v>
          </cell>
          <cell r="P362">
            <v>0</v>
          </cell>
          <cell r="Q362">
            <v>0</v>
          </cell>
        </row>
        <row r="363">
          <cell r="A363">
            <v>56149</v>
          </cell>
          <cell r="B363" t="str">
            <v>Allocated Exp In Out - District</v>
          </cell>
          <cell r="E363">
            <v>0</v>
          </cell>
          <cell r="F363">
            <v>0</v>
          </cell>
          <cell r="G363">
            <v>0</v>
          </cell>
          <cell r="H363">
            <v>0</v>
          </cell>
          <cell r="I363">
            <v>0</v>
          </cell>
          <cell r="J363">
            <v>0</v>
          </cell>
          <cell r="K363">
            <v>0</v>
          </cell>
          <cell r="L363">
            <v>0</v>
          </cell>
          <cell r="M363">
            <v>0</v>
          </cell>
          <cell r="N363">
            <v>0</v>
          </cell>
          <cell r="O363">
            <v>0</v>
          </cell>
          <cell r="P363">
            <v>0</v>
          </cell>
          <cell r="Q363">
            <v>0</v>
          </cell>
        </row>
        <row r="364">
          <cell r="A364">
            <v>56165</v>
          </cell>
          <cell r="B364" t="str">
            <v>Communications</v>
          </cell>
          <cell r="E364">
            <v>1519.45</v>
          </cell>
          <cell r="F364">
            <v>1450.07</v>
          </cell>
          <cell r="G364">
            <v>1554.65</v>
          </cell>
          <cell r="H364">
            <v>4434.3500000000004</v>
          </cell>
          <cell r="I364">
            <v>-1597.73</v>
          </cell>
          <cell r="J364">
            <v>1513.67</v>
          </cell>
          <cell r="K364">
            <v>1505.33</v>
          </cell>
          <cell r="L364">
            <v>5156.7</v>
          </cell>
          <cell r="M364">
            <v>1422.01</v>
          </cell>
          <cell r="N364">
            <v>1404.71</v>
          </cell>
          <cell r="O364">
            <v>4969.07</v>
          </cell>
          <cell r="P364">
            <v>2885.81</v>
          </cell>
          <cell r="Q364">
            <v>26218.09</v>
          </cell>
        </row>
        <row r="365">
          <cell r="A365">
            <v>56200</v>
          </cell>
          <cell r="B365" t="str">
            <v>Travel</v>
          </cell>
          <cell r="E365">
            <v>0</v>
          </cell>
          <cell r="F365">
            <v>23</v>
          </cell>
          <cell r="G365">
            <v>32.75</v>
          </cell>
          <cell r="H365">
            <v>17.62</v>
          </cell>
          <cell r="I365">
            <v>0</v>
          </cell>
          <cell r="J365">
            <v>0</v>
          </cell>
          <cell r="K365">
            <v>0</v>
          </cell>
          <cell r="L365">
            <v>0</v>
          </cell>
          <cell r="M365">
            <v>0</v>
          </cell>
          <cell r="N365">
            <v>14.84</v>
          </cell>
          <cell r="O365">
            <v>-12.97</v>
          </cell>
          <cell r="P365">
            <v>0</v>
          </cell>
          <cell r="Q365">
            <v>75.240000000000009</v>
          </cell>
        </row>
        <row r="366">
          <cell r="A366">
            <v>56201</v>
          </cell>
          <cell r="B366" t="str">
            <v>Meal and Entertainment</v>
          </cell>
          <cell r="E366">
            <v>0</v>
          </cell>
          <cell r="F366">
            <v>0</v>
          </cell>
          <cell r="G366">
            <v>0</v>
          </cell>
          <cell r="H366">
            <v>0</v>
          </cell>
          <cell r="I366">
            <v>0</v>
          </cell>
          <cell r="J366">
            <v>34.36</v>
          </cell>
          <cell r="K366">
            <v>0</v>
          </cell>
          <cell r="L366">
            <v>0</v>
          </cell>
          <cell r="M366">
            <v>0</v>
          </cell>
          <cell r="N366">
            <v>348.63</v>
          </cell>
          <cell r="O366">
            <v>-333.79</v>
          </cell>
          <cell r="P366">
            <v>0</v>
          </cell>
          <cell r="Q366">
            <v>49.199999999999989</v>
          </cell>
        </row>
        <row r="367">
          <cell r="A367">
            <v>56210</v>
          </cell>
          <cell r="B367" t="str">
            <v>Office Supply and Equip</v>
          </cell>
          <cell r="E367">
            <v>302.63</v>
          </cell>
          <cell r="F367">
            <v>422.29</v>
          </cell>
          <cell r="G367">
            <v>391.69</v>
          </cell>
          <cell r="H367">
            <v>179.55</v>
          </cell>
          <cell r="I367">
            <v>722.74</v>
          </cell>
          <cell r="J367">
            <v>352.24</v>
          </cell>
          <cell r="K367">
            <v>0</v>
          </cell>
          <cell r="L367">
            <v>741.46</v>
          </cell>
          <cell r="M367">
            <v>364.82</v>
          </cell>
          <cell r="N367">
            <v>0</v>
          </cell>
          <cell r="O367">
            <v>886.4</v>
          </cell>
          <cell r="P367">
            <v>0</v>
          </cell>
          <cell r="Q367">
            <v>4363.8200000000006</v>
          </cell>
        </row>
        <row r="368">
          <cell r="A368">
            <v>56335</v>
          </cell>
          <cell r="B368" t="str">
            <v>Miscellaneous</v>
          </cell>
          <cell r="E368">
            <v>0</v>
          </cell>
          <cell r="F368">
            <v>0</v>
          </cell>
          <cell r="G368">
            <v>0</v>
          </cell>
          <cell r="H368">
            <v>0</v>
          </cell>
          <cell r="I368">
            <v>0</v>
          </cell>
          <cell r="J368">
            <v>0</v>
          </cell>
          <cell r="K368">
            <v>0</v>
          </cell>
          <cell r="L368">
            <v>0</v>
          </cell>
          <cell r="M368">
            <v>0</v>
          </cell>
          <cell r="N368">
            <v>0</v>
          </cell>
          <cell r="O368">
            <v>0</v>
          </cell>
          <cell r="P368">
            <v>0</v>
          </cell>
          <cell r="Q368">
            <v>0</v>
          </cell>
        </row>
        <row r="369">
          <cell r="A369">
            <v>56998</v>
          </cell>
          <cell r="B369" t="str">
            <v>Allocation Out - District</v>
          </cell>
          <cell r="E369">
            <v>0</v>
          </cell>
          <cell r="F369">
            <v>0</v>
          </cell>
          <cell r="G369">
            <v>0</v>
          </cell>
          <cell r="H369">
            <v>0</v>
          </cell>
          <cell r="I369">
            <v>0</v>
          </cell>
          <cell r="J369">
            <v>0</v>
          </cell>
          <cell r="K369">
            <v>0</v>
          </cell>
          <cell r="L369">
            <v>0</v>
          </cell>
          <cell r="M369">
            <v>0</v>
          </cell>
          <cell r="N369">
            <v>0</v>
          </cell>
          <cell r="O369">
            <v>0</v>
          </cell>
          <cell r="P369">
            <v>0</v>
          </cell>
          <cell r="Q369">
            <v>0</v>
          </cell>
        </row>
        <row r="370">
          <cell r="A370">
            <v>56999</v>
          </cell>
          <cell r="B370" t="str">
            <v>Allocation Out - Out District</v>
          </cell>
          <cell r="E370">
            <v>0</v>
          </cell>
          <cell r="F370">
            <v>0</v>
          </cell>
          <cell r="G370">
            <v>0</v>
          </cell>
          <cell r="H370">
            <v>0</v>
          </cell>
          <cell r="I370">
            <v>0</v>
          </cell>
          <cell r="J370">
            <v>0</v>
          </cell>
          <cell r="K370">
            <v>0</v>
          </cell>
          <cell r="L370">
            <v>0</v>
          </cell>
          <cell r="M370">
            <v>0</v>
          </cell>
          <cell r="N370">
            <v>0</v>
          </cell>
          <cell r="O370">
            <v>0</v>
          </cell>
          <cell r="P370">
            <v>0</v>
          </cell>
          <cell r="Q370">
            <v>0</v>
          </cell>
        </row>
        <row r="371">
          <cell r="A371" t="str">
            <v>Total Supervisor</v>
          </cell>
          <cell r="E371">
            <v>37720.86</v>
          </cell>
          <cell r="F371">
            <v>33743.800000000003</v>
          </cell>
          <cell r="G371">
            <v>39084.410000000011</v>
          </cell>
          <cell r="H371">
            <v>42015.490000000013</v>
          </cell>
          <cell r="I371">
            <v>34490.759999999995</v>
          </cell>
          <cell r="J371">
            <v>38693.26999999999</v>
          </cell>
          <cell r="K371">
            <v>32262.889999999992</v>
          </cell>
          <cell r="L371">
            <v>38705.899999999994</v>
          </cell>
          <cell r="M371">
            <v>37358.249999999993</v>
          </cell>
          <cell r="N371">
            <v>35213.239999999991</v>
          </cell>
          <cell r="O371">
            <v>42122.020000000004</v>
          </cell>
          <cell r="P371">
            <v>40448.14</v>
          </cell>
          <cell r="Q371">
            <v>451859.03</v>
          </cell>
        </row>
        <row r="373">
          <cell r="A373" t="str">
            <v>Other Operating Expense</v>
          </cell>
        </row>
        <row r="374">
          <cell r="A374">
            <v>46020</v>
          </cell>
          <cell r="B374" t="str">
            <v>Post Closure Amortization</v>
          </cell>
          <cell r="E374">
            <v>0</v>
          </cell>
          <cell r="F374">
            <v>0</v>
          </cell>
          <cell r="G374">
            <v>0</v>
          </cell>
          <cell r="H374">
            <v>0</v>
          </cell>
          <cell r="I374">
            <v>0</v>
          </cell>
          <cell r="J374">
            <v>0</v>
          </cell>
          <cell r="K374">
            <v>0</v>
          </cell>
          <cell r="L374">
            <v>0</v>
          </cell>
          <cell r="M374">
            <v>0</v>
          </cell>
          <cell r="N374">
            <v>0</v>
          </cell>
          <cell r="O374">
            <v>0</v>
          </cell>
          <cell r="P374">
            <v>0</v>
          </cell>
          <cell r="Q374">
            <v>0</v>
          </cell>
        </row>
        <row r="375">
          <cell r="A375">
            <v>57051</v>
          </cell>
          <cell r="B375" t="str">
            <v>AA Premiums</v>
          </cell>
          <cell r="E375">
            <v>0</v>
          </cell>
          <cell r="F375">
            <v>0</v>
          </cell>
          <cell r="G375">
            <v>0</v>
          </cell>
          <cell r="H375">
            <v>0</v>
          </cell>
          <cell r="I375">
            <v>0</v>
          </cell>
          <cell r="J375">
            <v>0</v>
          </cell>
          <cell r="K375">
            <v>0</v>
          </cell>
          <cell r="L375">
            <v>0</v>
          </cell>
          <cell r="M375">
            <v>0</v>
          </cell>
          <cell r="N375">
            <v>0</v>
          </cell>
          <cell r="O375">
            <v>0</v>
          </cell>
          <cell r="P375">
            <v>0</v>
          </cell>
          <cell r="Q375">
            <v>0</v>
          </cell>
        </row>
        <row r="376">
          <cell r="A376">
            <v>57125</v>
          </cell>
          <cell r="B376" t="str">
            <v>Operating Supplies</v>
          </cell>
          <cell r="E376">
            <v>0</v>
          </cell>
          <cell r="F376">
            <v>0</v>
          </cell>
          <cell r="G376">
            <v>0</v>
          </cell>
          <cell r="H376">
            <v>142.55000000000001</v>
          </cell>
          <cell r="I376">
            <v>0</v>
          </cell>
          <cell r="J376">
            <v>0</v>
          </cell>
          <cell r="K376">
            <v>0</v>
          </cell>
          <cell r="L376">
            <v>0</v>
          </cell>
          <cell r="M376">
            <v>0</v>
          </cell>
          <cell r="N376">
            <v>1177.5899999999999</v>
          </cell>
          <cell r="O376">
            <v>-1102.77</v>
          </cell>
          <cell r="P376">
            <v>0</v>
          </cell>
          <cell r="Q376">
            <v>217.36999999999989</v>
          </cell>
        </row>
        <row r="377">
          <cell r="A377">
            <v>57147</v>
          </cell>
          <cell r="B377" t="str">
            <v>Bldg &amp; Property</v>
          </cell>
          <cell r="E377">
            <v>5273.81</v>
          </cell>
          <cell r="F377">
            <v>1312.43</v>
          </cell>
          <cell r="G377">
            <v>1899.21</v>
          </cell>
          <cell r="H377">
            <v>1309.79</v>
          </cell>
          <cell r="I377">
            <v>1872.61</v>
          </cell>
          <cell r="J377">
            <v>1128</v>
          </cell>
          <cell r="K377">
            <v>1740.26</v>
          </cell>
          <cell r="L377">
            <v>3083.68</v>
          </cell>
          <cell r="M377">
            <v>2114.81</v>
          </cell>
          <cell r="N377">
            <v>1811.92</v>
          </cell>
          <cell r="O377">
            <v>3002.6</v>
          </cell>
          <cell r="P377">
            <v>2169.63</v>
          </cell>
          <cell r="Q377">
            <v>26718.750000000004</v>
          </cell>
        </row>
        <row r="378">
          <cell r="A378">
            <v>57148</v>
          </cell>
          <cell r="B378" t="str">
            <v>Allocated In - District</v>
          </cell>
          <cell r="E378">
            <v>0</v>
          </cell>
          <cell r="F378">
            <v>0</v>
          </cell>
          <cell r="G378">
            <v>0</v>
          </cell>
          <cell r="H378">
            <v>0</v>
          </cell>
          <cell r="I378">
            <v>0</v>
          </cell>
          <cell r="J378">
            <v>0</v>
          </cell>
          <cell r="K378">
            <v>0</v>
          </cell>
          <cell r="L378">
            <v>0</v>
          </cell>
          <cell r="M378">
            <v>0</v>
          </cell>
          <cell r="N378">
            <v>0</v>
          </cell>
          <cell r="O378">
            <v>0</v>
          </cell>
          <cell r="P378">
            <v>0</v>
          </cell>
          <cell r="Q378">
            <v>0</v>
          </cell>
        </row>
        <row r="379">
          <cell r="A379">
            <v>57149</v>
          </cell>
          <cell r="B379" t="str">
            <v>Allocated In - Out District</v>
          </cell>
          <cell r="E379">
            <v>0</v>
          </cell>
          <cell r="F379">
            <v>0</v>
          </cell>
          <cell r="G379">
            <v>0</v>
          </cell>
          <cell r="H379">
            <v>0</v>
          </cell>
          <cell r="I379">
            <v>0</v>
          </cell>
          <cell r="J379">
            <v>0</v>
          </cell>
          <cell r="K379">
            <v>0</v>
          </cell>
          <cell r="L379">
            <v>0</v>
          </cell>
          <cell r="M379">
            <v>0</v>
          </cell>
          <cell r="N379">
            <v>0</v>
          </cell>
          <cell r="O379">
            <v>0</v>
          </cell>
          <cell r="P379">
            <v>0</v>
          </cell>
          <cell r="Q379">
            <v>0</v>
          </cell>
        </row>
        <row r="380">
          <cell r="A380">
            <v>57150</v>
          </cell>
          <cell r="B380" t="str">
            <v>Utilities</v>
          </cell>
          <cell r="E380">
            <v>461.43</v>
          </cell>
          <cell r="F380">
            <v>96.57</v>
          </cell>
          <cell r="G380">
            <v>117.6</v>
          </cell>
          <cell r="H380">
            <v>83.43</v>
          </cell>
          <cell r="I380">
            <v>90.9</v>
          </cell>
          <cell r="J380">
            <v>57.15</v>
          </cell>
          <cell r="K380">
            <v>89.42</v>
          </cell>
          <cell r="L380">
            <v>52.59</v>
          </cell>
          <cell r="M380">
            <v>307.08</v>
          </cell>
          <cell r="N380">
            <v>59.56</v>
          </cell>
          <cell r="O380">
            <v>541.69000000000005</v>
          </cell>
          <cell r="P380">
            <v>104.21</v>
          </cell>
          <cell r="Q380">
            <v>2061.6299999999997</v>
          </cell>
        </row>
        <row r="381">
          <cell r="A381">
            <v>57165</v>
          </cell>
          <cell r="B381" t="str">
            <v>Communications</v>
          </cell>
          <cell r="E381">
            <v>0</v>
          </cell>
          <cell r="F381">
            <v>0</v>
          </cell>
          <cell r="G381">
            <v>0</v>
          </cell>
          <cell r="H381">
            <v>0</v>
          </cell>
          <cell r="I381">
            <v>0</v>
          </cell>
          <cell r="J381">
            <v>0</v>
          </cell>
          <cell r="K381">
            <v>0</v>
          </cell>
          <cell r="L381">
            <v>0</v>
          </cell>
          <cell r="M381">
            <v>0</v>
          </cell>
          <cell r="N381">
            <v>0</v>
          </cell>
          <cell r="O381">
            <v>0</v>
          </cell>
          <cell r="P381">
            <v>0</v>
          </cell>
          <cell r="Q381">
            <v>0</v>
          </cell>
        </row>
        <row r="382">
          <cell r="A382">
            <v>57166</v>
          </cell>
          <cell r="B382" t="str">
            <v>Leachate Treatment</v>
          </cell>
          <cell r="E382">
            <v>0</v>
          </cell>
          <cell r="F382">
            <v>0</v>
          </cell>
          <cell r="G382">
            <v>0</v>
          </cell>
          <cell r="H382">
            <v>0</v>
          </cell>
          <cell r="I382">
            <v>0</v>
          </cell>
          <cell r="J382">
            <v>0</v>
          </cell>
          <cell r="K382">
            <v>0</v>
          </cell>
          <cell r="L382">
            <v>0</v>
          </cell>
          <cell r="M382">
            <v>0</v>
          </cell>
          <cell r="N382">
            <v>0</v>
          </cell>
          <cell r="O382">
            <v>0</v>
          </cell>
          <cell r="P382">
            <v>0</v>
          </cell>
          <cell r="Q382">
            <v>0</v>
          </cell>
        </row>
        <row r="383">
          <cell r="A383">
            <v>57170</v>
          </cell>
          <cell r="B383" t="str">
            <v>Real Estate Rentals</v>
          </cell>
          <cell r="E383">
            <v>5891.03</v>
          </cell>
          <cell r="F383">
            <v>6528.62</v>
          </cell>
          <cell r="G383">
            <v>5891.03</v>
          </cell>
          <cell r="H383">
            <v>5800.95</v>
          </cell>
          <cell r="I383">
            <v>5800.95</v>
          </cell>
          <cell r="J383">
            <v>5800.95</v>
          </cell>
          <cell r="K383">
            <v>5800.95</v>
          </cell>
          <cell r="L383">
            <v>5800.95</v>
          </cell>
          <cell r="M383">
            <v>4412</v>
          </cell>
          <cell r="N383">
            <v>4412</v>
          </cell>
          <cell r="O383">
            <v>5800.95</v>
          </cell>
          <cell r="P383">
            <v>13259</v>
          </cell>
          <cell r="Q383">
            <v>75199.37999999999</v>
          </cell>
        </row>
        <row r="384">
          <cell r="A384">
            <v>57175</v>
          </cell>
          <cell r="B384" t="str">
            <v>Equipment Vehicle Rental</v>
          </cell>
          <cell r="E384">
            <v>0</v>
          </cell>
          <cell r="F384">
            <v>0</v>
          </cell>
          <cell r="G384">
            <v>0</v>
          </cell>
          <cell r="H384">
            <v>0</v>
          </cell>
          <cell r="I384">
            <v>0</v>
          </cell>
          <cell r="J384">
            <v>0</v>
          </cell>
          <cell r="K384">
            <v>0</v>
          </cell>
          <cell r="L384">
            <v>0</v>
          </cell>
          <cell r="M384">
            <v>0</v>
          </cell>
          <cell r="N384">
            <v>0</v>
          </cell>
          <cell r="O384">
            <v>0</v>
          </cell>
          <cell r="P384">
            <v>0</v>
          </cell>
          <cell r="Q384">
            <v>0</v>
          </cell>
        </row>
        <row r="385">
          <cell r="A385">
            <v>57185</v>
          </cell>
          <cell r="B385" t="str">
            <v>Postage</v>
          </cell>
          <cell r="E385">
            <v>0</v>
          </cell>
          <cell r="F385">
            <v>0</v>
          </cell>
          <cell r="G385">
            <v>0</v>
          </cell>
          <cell r="H385">
            <v>0</v>
          </cell>
          <cell r="I385">
            <v>0</v>
          </cell>
          <cell r="J385">
            <v>0</v>
          </cell>
          <cell r="K385">
            <v>0</v>
          </cell>
          <cell r="L385">
            <v>0</v>
          </cell>
          <cell r="M385">
            <v>0</v>
          </cell>
          <cell r="N385">
            <v>0</v>
          </cell>
          <cell r="O385">
            <v>0</v>
          </cell>
          <cell r="P385">
            <v>0</v>
          </cell>
          <cell r="Q385">
            <v>0</v>
          </cell>
        </row>
        <row r="386">
          <cell r="A386">
            <v>57252</v>
          </cell>
          <cell r="B386" t="str">
            <v>Subcontract Expense</v>
          </cell>
          <cell r="E386">
            <v>0</v>
          </cell>
          <cell r="F386">
            <v>0</v>
          </cell>
          <cell r="G386">
            <v>0</v>
          </cell>
          <cell r="H386">
            <v>0</v>
          </cell>
          <cell r="I386">
            <v>0</v>
          </cell>
          <cell r="J386">
            <v>0</v>
          </cell>
          <cell r="K386">
            <v>0</v>
          </cell>
          <cell r="L386">
            <v>0</v>
          </cell>
          <cell r="M386">
            <v>0</v>
          </cell>
          <cell r="N386">
            <v>0</v>
          </cell>
          <cell r="O386">
            <v>0</v>
          </cell>
          <cell r="P386">
            <v>0</v>
          </cell>
          <cell r="Q386">
            <v>0</v>
          </cell>
        </row>
        <row r="387">
          <cell r="A387">
            <v>57254</v>
          </cell>
          <cell r="B387" t="str">
            <v>Drive Cam Fees</v>
          </cell>
          <cell r="E387">
            <v>1912.5</v>
          </cell>
          <cell r="F387">
            <v>1912.5</v>
          </cell>
          <cell r="G387">
            <v>1912.5</v>
          </cell>
          <cell r="H387">
            <v>1912.5</v>
          </cell>
          <cell r="I387">
            <v>2520</v>
          </cell>
          <cell r="J387">
            <v>2520</v>
          </cell>
          <cell r="K387">
            <v>2678.73</v>
          </cell>
          <cell r="L387">
            <v>2580.4699999999998</v>
          </cell>
          <cell r="M387">
            <v>2576.33</v>
          </cell>
          <cell r="N387">
            <v>2636.37</v>
          </cell>
          <cell r="O387">
            <v>2511.33</v>
          </cell>
          <cell r="P387">
            <v>2531.54</v>
          </cell>
          <cell r="Q387">
            <v>28204.769999999997</v>
          </cell>
        </row>
        <row r="388">
          <cell r="A388">
            <v>57255</v>
          </cell>
          <cell r="B388" t="str">
            <v>Other Prof Fees</v>
          </cell>
          <cell r="E388">
            <v>0</v>
          </cell>
          <cell r="F388">
            <v>0</v>
          </cell>
          <cell r="G388">
            <v>4.5</v>
          </cell>
          <cell r="H388">
            <v>4.5</v>
          </cell>
          <cell r="I388">
            <v>4.5</v>
          </cell>
          <cell r="J388">
            <v>4.5</v>
          </cell>
          <cell r="K388">
            <v>18</v>
          </cell>
          <cell r="L388">
            <v>4.5</v>
          </cell>
          <cell r="M388">
            <v>4.5</v>
          </cell>
          <cell r="N388">
            <v>4.5</v>
          </cell>
          <cell r="O388">
            <v>4.5</v>
          </cell>
          <cell r="P388">
            <v>0</v>
          </cell>
          <cell r="Q388">
            <v>54</v>
          </cell>
        </row>
        <row r="389">
          <cell r="A389">
            <v>57256</v>
          </cell>
          <cell r="B389" t="str">
            <v>Laboratory Fees</v>
          </cell>
          <cell r="E389">
            <v>0</v>
          </cell>
          <cell r="F389">
            <v>0</v>
          </cell>
          <cell r="G389">
            <v>0</v>
          </cell>
          <cell r="H389">
            <v>0</v>
          </cell>
          <cell r="I389">
            <v>0</v>
          </cell>
          <cell r="J389">
            <v>0</v>
          </cell>
          <cell r="K389">
            <v>0</v>
          </cell>
          <cell r="L389">
            <v>0</v>
          </cell>
          <cell r="M389">
            <v>0</v>
          </cell>
          <cell r="N389">
            <v>0</v>
          </cell>
          <cell r="O389">
            <v>0</v>
          </cell>
          <cell r="P389">
            <v>0</v>
          </cell>
          <cell r="Q389">
            <v>0</v>
          </cell>
        </row>
        <row r="390">
          <cell r="A390">
            <v>57257</v>
          </cell>
          <cell r="B390" t="str">
            <v>Engineering Fees</v>
          </cell>
          <cell r="E390">
            <v>0</v>
          </cell>
          <cell r="F390">
            <v>0</v>
          </cell>
          <cell r="G390">
            <v>0</v>
          </cell>
          <cell r="H390">
            <v>0</v>
          </cell>
          <cell r="I390">
            <v>0</v>
          </cell>
          <cell r="J390">
            <v>18100.03</v>
          </cell>
          <cell r="K390">
            <v>1254.3699999999999</v>
          </cell>
          <cell r="L390">
            <v>1448.12</v>
          </cell>
          <cell r="M390">
            <v>-11585</v>
          </cell>
          <cell r="N390">
            <v>0</v>
          </cell>
          <cell r="O390">
            <v>0</v>
          </cell>
          <cell r="P390">
            <v>0</v>
          </cell>
          <cell r="Q390">
            <v>9217.5199999999968</v>
          </cell>
        </row>
        <row r="391">
          <cell r="A391">
            <v>57275</v>
          </cell>
          <cell r="B391" t="str">
            <v>Property Taxes</v>
          </cell>
          <cell r="E391">
            <v>0</v>
          </cell>
          <cell r="F391">
            <v>0</v>
          </cell>
          <cell r="G391">
            <v>0</v>
          </cell>
          <cell r="H391">
            <v>0</v>
          </cell>
          <cell r="I391">
            <v>0</v>
          </cell>
          <cell r="J391">
            <v>0</v>
          </cell>
          <cell r="K391">
            <v>0</v>
          </cell>
          <cell r="L391">
            <v>0</v>
          </cell>
          <cell r="M391">
            <v>0</v>
          </cell>
          <cell r="N391">
            <v>0</v>
          </cell>
          <cell r="O391">
            <v>0</v>
          </cell>
          <cell r="P391">
            <v>0</v>
          </cell>
          <cell r="Q391">
            <v>0</v>
          </cell>
        </row>
        <row r="392">
          <cell r="A392">
            <v>57280</v>
          </cell>
          <cell r="B392" t="str">
            <v>Other Taxes</v>
          </cell>
          <cell r="E392">
            <v>459</v>
          </cell>
          <cell r="F392">
            <v>459</v>
          </cell>
          <cell r="G392">
            <v>459</v>
          </cell>
          <cell r="H392">
            <v>459</v>
          </cell>
          <cell r="I392">
            <v>459</v>
          </cell>
          <cell r="J392">
            <v>459</v>
          </cell>
          <cell r="K392">
            <v>459</v>
          </cell>
          <cell r="L392">
            <v>459</v>
          </cell>
          <cell r="M392">
            <v>459</v>
          </cell>
          <cell r="N392">
            <v>459</v>
          </cell>
          <cell r="O392">
            <v>459</v>
          </cell>
          <cell r="P392">
            <v>459</v>
          </cell>
          <cell r="Q392">
            <v>5508</v>
          </cell>
        </row>
        <row r="393">
          <cell r="A393">
            <v>57324</v>
          </cell>
          <cell r="B393" t="str">
            <v>Penalties and Violations</v>
          </cell>
          <cell r="E393">
            <v>0</v>
          </cell>
          <cell r="F393">
            <v>0</v>
          </cell>
          <cell r="G393">
            <v>0</v>
          </cell>
          <cell r="H393">
            <v>0</v>
          </cell>
          <cell r="I393">
            <v>0</v>
          </cell>
          <cell r="J393">
            <v>0</v>
          </cell>
          <cell r="K393">
            <v>0</v>
          </cell>
          <cell r="L393">
            <v>0</v>
          </cell>
          <cell r="M393">
            <v>0</v>
          </cell>
          <cell r="N393">
            <v>266.95</v>
          </cell>
          <cell r="O393">
            <v>0</v>
          </cell>
          <cell r="P393">
            <v>631.95000000000005</v>
          </cell>
          <cell r="Q393">
            <v>898.90000000000009</v>
          </cell>
        </row>
        <row r="394">
          <cell r="A394">
            <v>57335</v>
          </cell>
          <cell r="B394" t="str">
            <v>Miscellaneous</v>
          </cell>
          <cell r="E394">
            <v>0</v>
          </cell>
          <cell r="F394">
            <v>0</v>
          </cell>
          <cell r="G394">
            <v>0</v>
          </cell>
          <cell r="H394">
            <v>0</v>
          </cell>
          <cell r="I394">
            <v>0</v>
          </cell>
          <cell r="J394">
            <v>0</v>
          </cell>
          <cell r="K394">
            <v>0</v>
          </cell>
          <cell r="L394">
            <v>0</v>
          </cell>
          <cell r="M394">
            <v>0</v>
          </cell>
          <cell r="N394">
            <v>0</v>
          </cell>
          <cell r="O394">
            <v>0</v>
          </cell>
          <cell r="P394">
            <v>0</v>
          </cell>
          <cell r="Q394">
            <v>0</v>
          </cell>
        </row>
        <row r="395">
          <cell r="A395">
            <v>57345</v>
          </cell>
          <cell r="B395" t="str">
            <v>Secruity Services</v>
          </cell>
          <cell r="E395">
            <v>62.5</v>
          </cell>
          <cell r="F395">
            <v>62.5</v>
          </cell>
          <cell r="G395">
            <v>62.5</v>
          </cell>
          <cell r="H395">
            <v>62.5</v>
          </cell>
          <cell r="I395">
            <v>62.5</v>
          </cell>
          <cell r="J395">
            <v>62.5</v>
          </cell>
          <cell r="K395">
            <v>62.5</v>
          </cell>
          <cell r="L395">
            <v>62.5</v>
          </cell>
          <cell r="M395">
            <v>62.5</v>
          </cell>
          <cell r="N395">
            <v>0</v>
          </cell>
          <cell r="O395">
            <v>125</v>
          </cell>
          <cell r="P395">
            <v>0</v>
          </cell>
          <cell r="Q395">
            <v>687.5</v>
          </cell>
        </row>
        <row r="396">
          <cell r="A396">
            <v>57353</v>
          </cell>
          <cell r="B396" t="str">
            <v>Monitoring and Maint</v>
          </cell>
          <cell r="E396">
            <v>0</v>
          </cell>
          <cell r="F396">
            <v>0</v>
          </cell>
          <cell r="G396">
            <v>0</v>
          </cell>
          <cell r="H396">
            <v>0</v>
          </cell>
          <cell r="I396">
            <v>0</v>
          </cell>
          <cell r="J396">
            <v>0</v>
          </cell>
          <cell r="K396">
            <v>0</v>
          </cell>
          <cell r="L396">
            <v>0</v>
          </cell>
          <cell r="M396">
            <v>0</v>
          </cell>
          <cell r="N396">
            <v>0</v>
          </cell>
          <cell r="O396">
            <v>0</v>
          </cell>
          <cell r="P396">
            <v>0</v>
          </cell>
          <cell r="Q396">
            <v>0</v>
          </cell>
        </row>
        <row r="397">
          <cell r="A397">
            <v>57356</v>
          </cell>
          <cell r="B397" t="str">
            <v>Cover Cost</v>
          </cell>
          <cell r="E397">
            <v>0</v>
          </cell>
          <cell r="F397">
            <v>0</v>
          </cell>
          <cell r="G397">
            <v>0</v>
          </cell>
          <cell r="H397">
            <v>0</v>
          </cell>
          <cell r="I397">
            <v>0</v>
          </cell>
          <cell r="J397">
            <v>0</v>
          </cell>
          <cell r="K397">
            <v>0</v>
          </cell>
          <cell r="L397">
            <v>0</v>
          </cell>
          <cell r="M397">
            <v>0</v>
          </cell>
          <cell r="N397">
            <v>0</v>
          </cell>
          <cell r="O397">
            <v>0</v>
          </cell>
          <cell r="P397">
            <v>0</v>
          </cell>
          <cell r="Q397">
            <v>0</v>
          </cell>
        </row>
        <row r="398">
          <cell r="A398">
            <v>57357</v>
          </cell>
          <cell r="B398" t="str">
            <v>Permits</v>
          </cell>
          <cell r="E398">
            <v>0</v>
          </cell>
          <cell r="F398">
            <v>0</v>
          </cell>
          <cell r="G398">
            <v>0</v>
          </cell>
          <cell r="H398">
            <v>0</v>
          </cell>
          <cell r="I398">
            <v>0</v>
          </cell>
          <cell r="J398">
            <v>0</v>
          </cell>
          <cell r="K398">
            <v>0</v>
          </cell>
          <cell r="L398">
            <v>0</v>
          </cell>
          <cell r="M398">
            <v>0</v>
          </cell>
          <cell r="N398">
            <v>15</v>
          </cell>
          <cell r="O398">
            <v>0</v>
          </cell>
          <cell r="P398">
            <v>80</v>
          </cell>
          <cell r="Q398">
            <v>95</v>
          </cell>
        </row>
        <row r="399">
          <cell r="A399">
            <v>57360</v>
          </cell>
          <cell r="B399" t="str">
            <v>Royalties</v>
          </cell>
          <cell r="E399">
            <v>0</v>
          </cell>
          <cell r="F399">
            <v>0</v>
          </cell>
          <cell r="G399">
            <v>0</v>
          </cell>
          <cell r="H399">
            <v>0</v>
          </cell>
          <cell r="I399">
            <v>0</v>
          </cell>
          <cell r="J399">
            <v>0</v>
          </cell>
          <cell r="K399">
            <v>0</v>
          </cell>
          <cell r="L399">
            <v>0</v>
          </cell>
          <cell r="M399">
            <v>0</v>
          </cell>
          <cell r="N399">
            <v>0</v>
          </cell>
          <cell r="O399">
            <v>0</v>
          </cell>
          <cell r="P399">
            <v>0</v>
          </cell>
          <cell r="Q399">
            <v>0</v>
          </cell>
        </row>
        <row r="400">
          <cell r="A400">
            <v>57370</v>
          </cell>
          <cell r="B400" t="str">
            <v>Bonds Expense</v>
          </cell>
          <cell r="E400">
            <v>79.209999999999994</v>
          </cell>
          <cell r="F400">
            <v>79.209999999999994</v>
          </cell>
          <cell r="G400">
            <v>79.209999999999994</v>
          </cell>
          <cell r="H400">
            <v>129.57</v>
          </cell>
          <cell r="I400">
            <v>342.55</v>
          </cell>
          <cell r="J400">
            <v>129.55000000000001</v>
          </cell>
          <cell r="K400">
            <v>129.55000000000001</v>
          </cell>
          <cell r="L400">
            <v>129.55000000000001</v>
          </cell>
          <cell r="M400">
            <v>129.55000000000001</v>
          </cell>
          <cell r="N400">
            <v>129.55000000000001</v>
          </cell>
          <cell r="O400">
            <v>129.55000000000001</v>
          </cell>
          <cell r="P400">
            <v>39.549999999999997</v>
          </cell>
          <cell r="Q400">
            <v>1526.5999999999997</v>
          </cell>
        </row>
        <row r="401">
          <cell r="A401">
            <v>57900</v>
          </cell>
          <cell r="B401" t="str">
            <v>Capitalized Costs</v>
          </cell>
          <cell r="E401">
            <v>0</v>
          </cell>
          <cell r="F401">
            <v>0</v>
          </cell>
          <cell r="G401">
            <v>0</v>
          </cell>
          <cell r="H401">
            <v>0</v>
          </cell>
          <cell r="I401">
            <v>0</v>
          </cell>
          <cell r="J401">
            <v>0</v>
          </cell>
          <cell r="K401">
            <v>0</v>
          </cell>
          <cell r="L401">
            <v>0</v>
          </cell>
          <cell r="M401">
            <v>0</v>
          </cell>
          <cell r="N401">
            <v>0</v>
          </cell>
          <cell r="O401">
            <v>0</v>
          </cell>
          <cell r="P401">
            <v>0</v>
          </cell>
          <cell r="Q401">
            <v>0</v>
          </cell>
        </row>
        <row r="402">
          <cell r="A402">
            <v>57998</v>
          </cell>
          <cell r="B402" t="str">
            <v>Allocation Out - District</v>
          </cell>
          <cell r="E402">
            <v>0</v>
          </cell>
          <cell r="F402">
            <v>0</v>
          </cell>
          <cell r="G402">
            <v>0</v>
          </cell>
          <cell r="H402">
            <v>0</v>
          </cell>
          <cell r="I402">
            <v>0</v>
          </cell>
          <cell r="J402">
            <v>0</v>
          </cell>
          <cell r="K402">
            <v>0</v>
          </cell>
          <cell r="L402">
            <v>0</v>
          </cell>
          <cell r="M402">
            <v>0</v>
          </cell>
          <cell r="N402">
            <v>0</v>
          </cell>
          <cell r="O402">
            <v>0</v>
          </cell>
          <cell r="P402">
            <v>0</v>
          </cell>
          <cell r="Q402">
            <v>0</v>
          </cell>
        </row>
        <row r="403">
          <cell r="A403">
            <v>57999</v>
          </cell>
          <cell r="B403" t="str">
            <v>Allocation Out - Out District</v>
          </cell>
          <cell r="E403">
            <v>0</v>
          </cell>
          <cell r="F403">
            <v>0</v>
          </cell>
          <cell r="G403">
            <v>0</v>
          </cell>
          <cell r="H403">
            <v>0</v>
          </cell>
          <cell r="I403">
            <v>0</v>
          </cell>
          <cell r="J403">
            <v>0</v>
          </cell>
          <cell r="K403">
            <v>0</v>
          </cell>
          <cell r="L403">
            <v>0</v>
          </cell>
          <cell r="M403">
            <v>0</v>
          </cell>
          <cell r="N403">
            <v>0</v>
          </cell>
          <cell r="O403">
            <v>0</v>
          </cell>
          <cell r="P403">
            <v>0</v>
          </cell>
          <cell r="Q403">
            <v>0</v>
          </cell>
        </row>
        <row r="404">
          <cell r="A404">
            <v>70265</v>
          </cell>
          <cell r="B404" t="str">
            <v>Amortization of Long Term Contracts</v>
          </cell>
          <cell r="E404">
            <v>0</v>
          </cell>
          <cell r="F404">
            <v>0</v>
          </cell>
          <cell r="G404">
            <v>0</v>
          </cell>
          <cell r="H404">
            <v>0</v>
          </cell>
          <cell r="I404">
            <v>0</v>
          </cell>
          <cell r="J404">
            <v>0</v>
          </cell>
          <cell r="K404">
            <v>0</v>
          </cell>
          <cell r="L404">
            <v>0</v>
          </cell>
          <cell r="M404">
            <v>0</v>
          </cell>
          <cell r="N404">
            <v>0</v>
          </cell>
          <cell r="O404">
            <v>0</v>
          </cell>
          <cell r="P404">
            <v>0</v>
          </cell>
          <cell r="Q404">
            <v>0</v>
          </cell>
        </row>
        <row r="405">
          <cell r="A405">
            <v>80050</v>
          </cell>
          <cell r="B405" t="str">
            <v>Interest Expense Closure/Post Closure</v>
          </cell>
          <cell r="E405">
            <v>0</v>
          </cell>
          <cell r="F405">
            <v>0</v>
          </cell>
          <cell r="G405">
            <v>0</v>
          </cell>
          <cell r="H405">
            <v>0</v>
          </cell>
          <cell r="I405">
            <v>0</v>
          </cell>
          <cell r="J405">
            <v>0</v>
          </cell>
          <cell r="K405">
            <v>0</v>
          </cell>
          <cell r="L405">
            <v>0</v>
          </cell>
          <cell r="M405">
            <v>0</v>
          </cell>
          <cell r="N405">
            <v>0</v>
          </cell>
          <cell r="O405">
            <v>0</v>
          </cell>
          <cell r="P405">
            <v>0</v>
          </cell>
          <cell r="Q405">
            <v>0</v>
          </cell>
        </row>
        <row r="406">
          <cell r="A406" t="str">
            <v>Total Other Operating Expense</v>
          </cell>
          <cell r="E406">
            <v>14139.48</v>
          </cell>
          <cell r="F406">
            <v>10450.829999999998</v>
          </cell>
          <cell r="G406">
            <v>10425.549999999999</v>
          </cell>
          <cell r="H406">
            <v>9904.7899999999991</v>
          </cell>
          <cell r="I406">
            <v>11153.009999999998</v>
          </cell>
          <cell r="J406">
            <v>28261.679999999997</v>
          </cell>
          <cell r="K406">
            <v>12232.779999999999</v>
          </cell>
          <cell r="L406">
            <v>13621.359999999997</v>
          </cell>
          <cell r="M406">
            <v>-1519.2300000000007</v>
          </cell>
          <cell r="N406">
            <v>10972.439999999999</v>
          </cell>
          <cell r="O406">
            <v>11471.849999999999</v>
          </cell>
          <cell r="P406">
            <v>19274.88</v>
          </cell>
          <cell r="Q406">
            <v>150389.41999999998</v>
          </cell>
        </row>
        <row r="408">
          <cell r="A408" t="str">
            <v>Insurance</v>
          </cell>
        </row>
        <row r="409">
          <cell r="A409">
            <v>59148</v>
          </cell>
          <cell r="B409" t="str">
            <v>Allocation In - District</v>
          </cell>
          <cell r="E409">
            <v>0</v>
          </cell>
          <cell r="F409">
            <v>0</v>
          </cell>
          <cell r="G409">
            <v>0</v>
          </cell>
          <cell r="H409">
            <v>0</v>
          </cell>
          <cell r="I409">
            <v>0</v>
          </cell>
          <cell r="J409">
            <v>0</v>
          </cell>
          <cell r="K409">
            <v>0</v>
          </cell>
          <cell r="L409">
            <v>0</v>
          </cell>
          <cell r="M409">
            <v>0</v>
          </cell>
          <cell r="N409">
            <v>0</v>
          </cell>
          <cell r="O409">
            <v>0</v>
          </cell>
          <cell r="P409">
            <v>0</v>
          </cell>
          <cell r="Q409">
            <v>0</v>
          </cell>
        </row>
        <row r="410">
          <cell r="A410">
            <v>59149</v>
          </cell>
          <cell r="B410" t="str">
            <v>Allocation In - Out District</v>
          </cell>
          <cell r="E410">
            <v>0</v>
          </cell>
          <cell r="F410">
            <v>0</v>
          </cell>
          <cell r="G410">
            <v>0</v>
          </cell>
          <cell r="H410">
            <v>0</v>
          </cell>
          <cell r="I410">
            <v>0</v>
          </cell>
          <cell r="J410">
            <v>0</v>
          </cell>
          <cell r="K410">
            <v>0</v>
          </cell>
          <cell r="L410">
            <v>0</v>
          </cell>
          <cell r="M410">
            <v>0</v>
          </cell>
          <cell r="N410">
            <v>0</v>
          </cell>
          <cell r="O410">
            <v>0</v>
          </cell>
          <cell r="P410">
            <v>0</v>
          </cell>
          <cell r="Q410">
            <v>0</v>
          </cell>
        </row>
        <row r="411">
          <cell r="A411">
            <v>59271</v>
          </cell>
          <cell r="B411" t="str">
            <v>Property and Liability Insurance</v>
          </cell>
          <cell r="E411">
            <v>0</v>
          </cell>
          <cell r="F411">
            <v>0</v>
          </cell>
          <cell r="G411">
            <v>0</v>
          </cell>
          <cell r="H411">
            <v>0</v>
          </cell>
          <cell r="I411">
            <v>0</v>
          </cell>
          <cell r="J411">
            <v>0</v>
          </cell>
          <cell r="K411">
            <v>0</v>
          </cell>
          <cell r="L411">
            <v>0</v>
          </cell>
          <cell r="M411">
            <v>0</v>
          </cell>
          <cell r="N411">
            <v>0</v>
          </cell>
          <cell r="O411">
            <v>0</v>
          </cell>
          <cell r="P411">
            <v>0</v>
          </cell>
          <cell r="Q411">
            <v>0</v>
          </cell>
        </row>
        <row r="412">
          <cell r="A412">
            <v>59326</v>
          </cell>
          <cell r="B412" t="str">
            <v>Deductible - Current</v>
          </cell>
          <cell r="E412">
            <v>0</v>
          </cell>
          <cell r="F412">
            <v>0</v>
          </cell>
          <cell r="G412">
            <v>0</v>
          </cell>
          <cell r="H412">
            <v>0</v>
          </cell>
          <cell r="I412">
            <v>0</v>
          </cell>
          <cell r="J412">
            <v>0</v>
          </cell>
          <cell r="K412">
            <v>0</v>
          </cell>
          <cell r="L412">
            <v>0</v>
          </cell>
          <cell r="M412">
            <v>0</v>
          </cell>
          <cell r="N412">
            <v>0</v>
          </cell>
          <cell r="O412">
            <v>0</v>
          </cell>
          <cell r="P412">
            <v>0</v>
          </cell>
          <cell r="Q412">
            <v>0</v>
          </cell>
        </row>
        <row r="413">
          <cell r="A413">
            <v>59327</v>
          </cell>
          <cell r="B413" t="str">
            <v>Deductible - Damage</v>
          </cell>
          <cell r="E413">
            <v>0</v>
          </cell>
          <cell r="F413">
            <v>0</v>
          </cell>
          <cell r="G413">
            <v>0</v>
          </cell>
          <cell r="H413">
            <v>0</v>
          </cell>
          <cell r="I413">
            <v>0</v>
          </cell>
          <cell r="J413">
            <v>0</v>
          </cell>
          <cell r="K413">
            <v>0</v>
          </cell>
          <cell r="L413">
            <v>0</v>
          </cell>
          <cell r="M413">
            <v>0</v>
          </cell>
          <cell r="N413">
            <v>0</v>
          </cell>
          <cell r="O413">
            <v>0</v>
          </cell>
          <cell r="P413">
            <v>0</v>
          </cell>
          <cell r="Q413">
            <v>0</v>
          </cell>
        </row>
        <row r="414">
          <cell r="A414">
            <v>59328</v>
          </cell>
          <cell r="B414" t="str">
            <v>Claim Recoveries</v>
          </cell>
          <cell r="E414">
            <v>0</v>
          </cell>
          <cell r="F414">
            <v>0</v>
          </cell>
          <cell r="G414">
            <v>-2328.46</v>
          </cell>
          <cell r="H414">
            <v>0</v>
          </cell>
          <cell r="I414">
            <v>0</v>
          </cell>
          <cell r="J414">
            <v>0</v>
          </cell>
          <cell r="K414">
            <v>0</v>
          </cell>
          <cell r="L414">
            <v>0</v>
          </cell>
          <cell r="M414">
            <v>0</v>
          </cell>
          <cell r="N414">
            <v>0</v>
          </cell>
          <cell r="O414">
            <v>0</v>
          </cell>
          <cell r="P414">
            <v>0</v>
          </cell>
          <cell r="Q414">
            <v>-2328.46</v>
          </cell>
        </row>
        <row r="415">
          <cell r="A415">
            <v>59330</v>
          </cell>
          <cell r="B415" t="str">
            <v>Deduct - Prior Year</v>
          </cell>
          <cell r="E415">
            <v>0</v>
          </cell>
          <cell r="F415">
            <v>0</v>
          </cell>
          <cell r="G415">
            <v>0</v>
          </cell>
          <cell r="H415">
            <v>0</v>
          </cell>
          <cell r="I415">
            <v>0</v>
          </cell>
          <cell r="J415">
            <v>0</v>
          </cell>
          <cell r="K415">
            <v>0</v>
          </cell>
          <cell r="L415">
            <v>0</v>
          </cell>
          <cell r="M415">
            <v>0</v>
          </cell>
          <cell r="N415">
            <v>0</v>
          </cell>
          <cell r="O415">
            <v>0</v>
          </cell>
          <cell r="P415">
            <v>0</v>
          </cell>
          <cell r="Q415">
            <v>0</v>
          </cell>
        </row>
        <row r="416">
          <cell r="A416">
            <v>59331</v>
          </cell>
          <cell r="B416" t="str">
            <v>RM Fixed Costs</v>
          </cell>
          <cell r="E416">
            <v>0</v>
          </cell>
          <cell r="F416">
            <v>0</v>
          </cell>
          <cell r="G416">
            <v>0</v>
          </cell>
          <cell r="H416">
            <v>0</v>
          </cell>
          <cell r="I416">
            <v>0</v>
          </cell>
          <cell r="J416">
            <v>0</v>
          </cell>
          <cell r="K416">
            <v>0</v>
          </cell>
          <cell r="L416">
            <v>0</v>
          </cell>
          <cell r="M416">
            <v>0</v>
          </cell>
          <cell r="N416">
            <v>0</v>
          </cell>
          <cell r="O416">
            <v>0</v>
          </cell>
          <cell r="P416">
            <v>0</v>
          </cell>
          <cell r="Q416">
            <v>0</v>
          </cell>
        </row>
        <row r="417">
          <cell r="A417">
            <v>59340</v>
          </cell>
          <cell r="B417" t="str">
            <v>Self Insurance Premium</v>
          </cell>
          <cell r="E417">
            <v>6884.94</v>
          </cell>
          <cell r="F417">
            <v>6884.94</v>
          </cell>
          <cell r="G417">
            <v>6884.94</v>
          </cell>
          <cell r="H417">
            <v>6884.94</v>
          </cell>
          <cell r="I417">
            <v>6884.94</v>
          </cell>
          <cell r="J417">
            <v>6884.94</v>
          </cell>
          <cell r="K417">
            <v>6884.94</v>
          </cell>
          <cell r="L417">
            <v>6884.94</v>
          </cell>
          <cell r="M417">
            <v>6884.94</v>
          </cell>
          <cell r="N417">
            <v>6884.94</v>
          </cell>
          <cell r="O417">
            <v>6884.94</v>
          </cell>
          <cell r="P417">
            <v>6884.94</v>
          </cell>
          <cell r="Q417">
            <v>82619.280000000013</v>
          </cell>
        </row>
        <row r="418">
          <cell r="A418">
            <v>59341</v>
          </cell>
          <cell r="B418" t="str">
            <v>A&amp;L - Current Year Claims</v>
          </cell>
          <cell r="E418">
            <v>0</v>
          </cell>
          <cell r="F418">
            <v>0</v>
          </cell>
          <cell r="G418">
            <v>0</v>
          </cell>
          <cell r="H418">
            <v>0</v>
          </cell>
          <cell r="I418">
            <v>0</v>
          </cell>
          <cell r="J418">
            <v>0</v>
          </cell>
          <cell r="K418">
            <v>0</v>
          </cell>
          <cell r="L418">
            <v>0</v>
          </cell>
          <cell r="M418">
            <v>0</v>
          </cell>
          <cell r="N418">
            <v>0</v>
          </cell>
          <cell r="O418">
            <v>0</v>
          </cell>
          <cell r="P418">
            <v>2600</v>
          </cell>
          <cell r="Q418">
            <v>2600</v>
          </cell>
        </row>
        <row r="419">
          <cell r="A419">
            <v>59342</v>
          </cell>
          <cell r="B419" t="str">
            <v>A&amp;L - Prior Year Claims</v>
          </cell>
          <cell r="E419">
            <v>0</v>
          </cell>
          <cell r="F419">
            <v>0</v>
          </cell>
          <cell r="G419">
            <v>0</v>
          </cell>
          <cell r="H419">
            <v>0</v>
          </cell>
          <cell r="I419">
            <v>0.3</v>
          </cell>
          <cell r="J419">
            <v>-0.15</v>
          </cell>
          <cell r="K419">
            <v>1577.07</v>
          </cell>
          <cell r="L419">
            <v>0.05</v>
          </cell>
          <cell r="M419">
            <v>0</v>
          </cell>
          <cell r="N419">
            <v>0</v>
          </cell>
          <cell r="O419">
            <v>0</v>
          </cell>
          <cell r="P419">
            <v>0</v>
          </cell>
          <cell r="Q419">
            <v>1577.27</v>
          </cell>
        </row>
        <row r="420">
          <cell r="A420">
            <v>59343</v>
          </cell>
          <cell r="B420" t="str">
            <v>WC - Current Year Claims</v>
          </cell>
          <cell r="E420">
            <v>53330.6</v>
          </cell>
          <cell r="F420">
            <v>13301</v>
          </cell>
          <cell r="G420">
            <v>13532.93</v>
          </cell>
          <cell r="H420">
            <v>-35945.980000000003</v>
          </cell>
          <cell r="I420">
            <v>151.47999999999999</v>
          </cell>
          <cell r="J420">
            <v>0</v>
          </cell>
          <cell r="K420">
            <v>-5630.29</v>
          </cell>
          <cell r="L420">
            <v>19.420000000000002</v>
          </cell>
          <cell r="M420">
            <v>28.64</v>
          </cell>
          <cell r="N420">
            <v>6955.88</v>
          </cell>
          <cell r="O420">
            <v>11900</v>
          </cell>
          <cell r="P420">
            <v>2180.23</v>
          </cell>
          <cell r="Q420">
            <v>59823.909999999996</v>
          </cell>
        </row>
        <row r="421">
          <cell r="A421">
            <v>59344</v>
          </cell>
          <cell r="B421" t="str">
            <v>WC - Prior Year Claims</v>
          </cell>
          <cell r="E421">
            <v>0</v>
          </cell>
          <cell r="F421">
            <v>0</v>
          </cell>
          <cell r="G421">
            <v>0</v>
          </cell>
          <cell r="H421">
            <v>66006.16</v>
          </cell>
          <cell r="I421">
            <v>2800</v>
          </cell>
          <cell r="J421">
            <v>-3742.81</v>
          </cell>
          <cell r="K421">
            <v>36406.36</v>
          </cell>
          <cell r="L421">
            <v>0</v>
          </cell>
          <cell r="M421">
            <v>28.28</v>
          </cell>
          <cell r="N421">
            <v>4000</v>
          </cell>
          <cell r="O421">
            <v>-547</v>
          </cell>
          <cell r="P421">
            <v>12729.61</v>
          </cell>
          <cell r="Q421">
            <v>117680.6</v>
          </cell>
        </row>
        <row r="422">
          <cell r="A422">
            <v>59350</v>
          </cell>
          <cell r="B422" t="str">
            <v>Self Isurance IBNR Estimates</v>
          </cell>
          <cell r="E422">
            <v>0</v>
          </cell>
          <cell r="F422">
            <v>0</v>
          </cell>
          <cell r="G422">
            <v>0</v>
          </cell>
          <cell r="H422">
            <v>0</v>
          </cell>
          <cell r="I422">
            <v>0</v>
          </cell>
          <cell r="J422">
            <v>0</v>
          </cell>
          <cell r="K422">
            <v>0</v>
          </cell>
          <cell r="L422">
            <v>0</v>
          </cell>
          <cell r="M422">
            <v>0</v>
          </cell>
          <cell r="N422">
            <v>0</v>
          </cell>
          <cell r="O422">
            <v>0</v>
          </cell>
          <cell r="P422">
            <v>0</v>
          </cell>
          <cell r="Q422">
            <v>0</v>
          </cell>
        </row>
        <row r="423">
          <cell r="A423">
            <v>59400</v>
          </cell>
          <cell r="B423" t="str">
            <v>Damages paid by District</v>
          </cell>
          <cell r="E423">
            <v>-3539</v>
          </cell>
          <cell r="F423">
            <v>0</v>
          </cell>
          <cell r="G423">
            <v>0</v>
          </cell>
          <cell r="H423">
            <v>0</v>
          </cell>
          <cell r="I423">
            <v>0</v>
          </cell>
          <cell r="J423">
            <v>0</v>
          </cell>
          <cell r="K423">
            <v>0</v>
          </cell>
          <cell r="L423">
            <v>0</v>
          </cell>
          <cell r="M423">
            <v>0</v>
          </cell>
          <cell r="N423">
            <v>0</v>
          </cell>
          <cell r="O423">
            <v>0</v>
          </cell>
          <cell r="P423">
            <v>2099.67</v>
          </cell>
          <cell r="Q423">
            <v>-1439.33</v>
          </cell>
        </row>
        <row r="424">
          <cell r="A424">
            <v>59401</v>
          </cell>
          <cell r="B424" t="str">
            <v>Insurance claim repairs</v>
          </cell>
          <cell r="E424">
            <v>0</v>
          </cell>
          <cell r="F424">
            <v>0</v>
          </cell>
          <cell r="G424">
            <v>0</v>
          </cell>
          <cell r="H424">
            <v>0</v>
          </cell>
          <cell r="I424">
            <v>0</v>
          </cell>
          <cell r="J424">
            <v>0</v>
          </cell>
          <cell r="K424">
            <v>0</v>
          </cell>
          <cell r="L424">
            <v>0</v>
          </cell>
          <cell r="M424">
            <v>0</v>
          </cell>
          <cell r="N424">
            <v>0</v>
          </cell>
          <cell r="O424">
            <v>0</v>
          </cell>
          <cell r="P424">
            <v>0</v>
          </cell>
          <cell r="Q424">
            <v>0</v>
          </cell>
        </row>
        <row r="425">
          <cell r="A425">
            <v>59500</v>
          </cell>
          <cell r="B425" t="str">
            <v>Workers Comp Prem</v>
          </cell>
          <cell r="E425">
            <v>1104</v>
          </cell>
          <cell r="F425">
            <v>4000</v>
          </cell>
          <cell r="G425">
            <v>4000</v>
          </cell>
          <cell r="H425">
            <v>2000</v>
          </cell>
          <cell r="I425">
            <v>1000</v>
          </cell>
          <cell r="J425">
            <v>2000</v>
          </cell>
          <cell r="K425">
            <v>2000</v>
          </cell>
          <cell r="L425">
            <v>2000</v>
          </cell>
          <cell r="M425">
            <v>3000</v>
          </cell>
          <cell r="N425">
            <v>3000</v>
          </cell>
          <cell r="O425">
            <v>3000</v>
          </cell>
          <cell r="P425">
            <v>0</v>
          </cell>
          <cell r="Q425">
            <v>27104</v>
          </cell>
        </row>
        <row r="426">
          <cell r="A426">
            <v>59998</v>
          </cell>
          <cell r="B426" t="str">
            <v>Allocation Out - District</v>
          </cell>
          <cell r="E426">
            <v>0</v>
          </cell>
          <cell r="F426">
            <v>0</v>
          </cell>
          <cell r="G426">
            <v>0</v>
          </cell>
          <cell r="H426">
            <v>0</v>
          </cell>
          <cell r="I426">
            <v>0</v>
          </cell>
          <cell r="J426">
            <v>0</v>
          </cell>
          <cell r="K426">
            <v>0</v>
          </cell>
          <cell r="L426">
            <v>0</v>
          </cell>
          <cell r="M426">
            <v>0</v>
          </cell>
          <cell r="N426">
            <v>0</v>
          </cell>
          <cell r="O426">
            <v>0</v>
          </cell>
          <cell r="P426">
            <v>0</v>
          </cell>
          <cell r="Q426">
            <v>0</v>
          </cell>
        </row>
        <row r="427">
          <cell r="A427">
            <v>59999</v>
          </cell>
          <cell r="B427" t="str">
            <v>Allocation Out - Out District</v>
          </cell>
          <cell r="E427">
            <v>0</v>
          </cell>
          <cell r="F427">
            <v>0</v>
          </cell>
          <cell r="G427">
            <v>0</v>
          </cell>
          <cell r="H427">
            <v>0</v>
          </cell>
          <cell r="I427">
            <v>0</v>
          </cell>
          <cell r="J427">
            <v>0</v>
          </cell>
          <cell r="K427">
            <v>0</v>
          </cell>
          <cell r="L427">
            <v>0</v>
          </cell>
          <cell r="M427">
            <v>0</v>
          </cell>
          <cell r="N427">
            <v>0</v>
          </cell>
          <cell r="O427">
            <v>0</v>
          </cell>
          <cell r="P427">
            <v>0</v>
          </cell>
          <cell r="Q427">
            <v>0</v>
          </cell>
        </row>
        <row r="428">
          <cell r="A428" t="str">
            <v>Total Insurance</v>
          </cell>
          <cell r="E428">
            <v>57780.54</v>
          </cell>
          <cell r="F428">
            <v>24185.94</v>
          </cell>
          <cell r="G428">
            <v>22089.41</v>
          </cell>
          <cell r="H428">
            <v>38945.119999999995</v>
          </cell>
          <cell r="I428">
            <v>10836.72</v>
          </cell>
          <cell r="J428">
            <v>5141.9799999999996</v>
          </cell>
          <cell r="K428">
            <v>41238.080000000002</v>
          </cell>
          <cell r="L428">
            <v>8904.41</v>
          </cell>
          <cell r="M428">
            <v>9941.86</v>
          </cell>
          <cell r="N428">
            <v>20840.82</v>
          </cell>
          <cell r="O428">
            <v>21237.94</v>
          </cell>
          <cell r="P428">
            <v>26494.449999999997</v>
          </cell>
          <cell r="Q428">
            <v>287637.27</v>
          </cell>
        </row>
        <row r="430">
          <cell r="A430" t="str">
            <v>Disposal of Assets and Operations</v>
          </cell>
        </row>
        <row r="431">
          <cell r="A431">
            <v>72000</v>
          </cell>
          <cell r="B431" t="str">
            <v>Gain/Loss on Disposal of Operations</v>
          </cell>
          <cell r="E431">
            <v>0</v>
          </cell>
          <cell r="F431">
            <v>0</v>
          </cell>
          <cell r="G431">
            <v>0</v>
          </cell>
          <cell r="H431">
            <v>0</v>
          </cell>
          <cell r="I431">
            <v>0</v>
          </cell>
          <cell r="J431">
            <v>0</v>
          </cell>
          <cell r="K431">
            <v>0</v>
          </cell>
          <cell r="L431">
            <v>0</v>
          </cell>
          <cell r="M431">
            <v>0</v>
          </cell>
          <cell r="N431">
            <v>0</v>
          </cell>
          <cell r="O431">
            <v>0</v>
          </cell>
          <cell r="P431">
            <v>0</v>
          </cell>
          <cell r="Q431">
            <v>0</v>
          </cell>
        </row>
        <row r="432">
          <cell r="A432">
            <v>91010</v>
          </cell>
          <cell r="B432" t="str">
            <v>Gain/Loss on Sale of Asset</v>
          </cell>
          <cell r="E432">
            <v>0</v>
          </cell>
          <cell r="F432">
            <v>0</v>
          </cell>
          <cell r="G432">
            <v>0</v>
          </cell>
          <cell r="H432">
            <v>145.82</v>
          </cell>
          <cell r="I432">
            <v>0</v>
          </cell>
          <cell r="J432">
            <v>0</v>
          </cell>
          <cell r="K432">
            <v>0</v>
          </cell>
          <cell r="L432">
            <v>0</v>
          </cell>
          <cell r="M432">
            <v>0</v>
          </cell>
          <cell r="N432">
            <v>0</v>
          </cell>
          <cell r="O432">
            <v>0</v>
          </cell>
          <cell r="P432">
            <v>0</v>
          </cell>
          <cell r="Q432">
            <v>145.82</v>
          </cell>
        </row>
        <row r="433">
          <cell r="A433" t="str">
            <v>Total Disposal of Assets and Operations</v>
          </cell>
          <cell r="E433">
            <v>0</v>
          </cell>
          <cell r="F433">
            <v>0</v>
          </cell>
          <cell r="G433">
            <v>0</v>
          </cell>
          <cell r="H433">
            <v>145.82</v>
          </cell>
          <cell r="I433">
            <v>0</v>
          </cell>
          <cell r="J433">
            <v>0</v>
          </cell>
          <cell r="K433">
            <v>0</v>
          </cell>
          <cell r="L433">
            <v>0</v>
          </cell>
          <cell r="M433">
            <v>0</v>
          </cell>
          <cell r="N433">
            <v>0</v>
          </cell>
          <cell r="O433">
            <v>0</v>
          </cell>
          <cell r="P433">
            <v>0</v>
          </cell>
          <cell r="Q433">
            <v>145.82</v>
          </cell>
        </row>
        <row r="435">
          <cell r="A435" t="str">
            <v>Total Operating Costs</v>
          </cell>
          <cell r="E435">
            <v>556322.18999999994</v>
          </cell>
          <cell r="F435">
            <v>483088.13</v>
          </cell>
          <cell r="G435">
            <v>533902.79</v>
          </cell>
          <cell r="H435">
            <v>564081.47</v>
          </cell>
          <cell r="I435">
            <v>483474.26</v>
          </cell>
          <cell r="J435">
            <v>500744.69999999995</v>
          </cell>
          <cell r="K435">
            <v>514379.49999999994</v>
          </cell>
          <cell r="L435">
            <v>499533.73</v>
          </cell>
          <cell r="M435">
            <v>480587.02</v>
          </cell>
          <cell r="N435">
            <v>468427.15999999992</v>
          </cell>
          <cell r="O435">
            <v>510740</v>
          </cell>
          <cell r="P435">
            <v>507649</v>
          </cell>
          <cell r="Q435">
            <v>6102929.9500000002</v>
          </cell>
        </row>
        <row r="437">
          <cell r="A437" t="str">
            <v>Gross Profit</v>
          </cell>
          <cell r="E437">
            <v>283635.74000000011</v>
          </cell>
          <cell r="F437">
            <v>397011.87</v>
          </cell>
          <cell r="G437">
            <v>293409.25999999989</v>
          </cell>
          <cell r="H437">
            <v>295183.43000000005</v>
          </cell>
          <cell r="I437">
            <v>372092.71999999974</v>
          </cell>
          <cell r="J437">
            <v>350748.59000000008</v>
          </cell>
          <cell r="K437">
            <v>347516.12000000005</v>
          </cell>
          <cell r="L437">
            <v>388020.01</v>
          </cell>
          <cell r="M437">
            <v>377828.52</v>
          </cell>
          <cell r="N437">
            <v>382225.52999999991</v>
          </cell>
          <cell r="O437">
            <v>311431.2100000002</v>
          </cell>
          <cell r="P437">
            <v>306754.91999999981</v>
          </cell>
          <cell r="Q437">
            <v>4105857.9199999953</v>
          </cell>
        </row>
        <row r="439">
          <cell r="A439" t="str">
            <v>SG&amp;A</v>
          </cell>
        </row>
        <row r="440">
          <cell r="A440" t="str">
            <v>Sales</v>
          </cell>
        </row>
        <row r="441">
          <cell r="A441">
            <v>60010</v>
          </cell>
          <cell r="B441" t="str">
            <v>Salaries</v>
          </cell>
          <cell r="E441">
            <v>0</v>
          </cell>
          <cell r="F441">
            <v>0</v>
          </cell>
          <cell r="G441">
            <v>0</v>
          </cell>
          <cell r="H441">
            <v>0</v>
          </cell>
          <cell r="I441">
            <v>0</v>
          </cell>
          <cell r="J441">
            <v>0</v>
          </cell>
          <cell r="K441">
            <v>0</v>
          </cell>
          <cell r="L441">
            <v>0</v>
          </cell>
          <cell r="M441">
            <v>0</v>
          </cell>
          <cell r="N441">
            <v>0</v>
          </cell>
          <cell r="O441">
            <v>0</v>
          </cell>
          <cell r="P441">
            <v>0</v>
          </cell>
          <cell r="Q441">
            <v>0</v>
          </cell>
        </row>
        <row r="442">
          <cell r="A442">
            <v>60020</v>
          </cell>
          <cell r="B442" t="str">
            <v>Wages Regular</v>
          </cell>
          <cell r="E442">
            <v>0</v>
          </cell>
          <cell r="F442">
            <v>0</v>
          </cell>
          <cell r="G442">
            <v>0</v>
          </cell>
          <cell r="H442">
            <v>0</v>
          </cell>
          <cell r="I442">
            <v>0</v>
          </cell>
          <cell r="J442">
            <v>0</v>
          </cell>
          <cell r="K442">
            <v>0</v>
          </cell>
          <cell r="L442">
            <v>0</v>
          </cell>
          <cell r="M442">
            <v>0</v>
          </cell>
          <cell r="N442">
            <v>0</v>
          </cell>
          <cell r="O442">
            <v>0</v>
          </cell>
          <cell r="P442">
            <v>0</v>
          </cell>
          <cell r="Q442">
            <v>0</v>
          </cell>
        </row>
        <row r="443">
          <cell r="A443">
            <v>60025</v>
          </cell>
          <cell r="B443" t="str">
            <v>Wages O.T.</v>
          </cell>
          <cell r="E443">
            <v>0</v>
          </cell>
          <cell r="F443">
            <v>0</v>
          </cell>
          <cell r="G443">
            <v>0</v>
          </cell>
          <cell r="H443">
            <v>0</v>
          </cell>
          <cell r="I443">
            <v>0</v>
          </cell>
          <cell r="J443">
            <v>0</v>
          </cell>
          <cell r="K443">
            <v>0</v>
          </cell>
          <cell r="L443">
            <v>0</v>
          </cell>
          <cell r="M443">
            <v>0</v>
          </cell>
          <cell r="N443">
            <v>0</v>
          </cell>
          <cell r="O443">
            <v>0</v>
          </cell>
          <cell r="P443">
            <v>0</v>
          </cell>
          <cell r="Q443">
            <v>0</v>
          </cell>
        </row>
        <row r="444">
          <cell r="A444">
            <v>60030</v>
          </cell>
          <cell r="B444" t="str">
            <v>Bonuses and Commissions</v>
          </cell>
          <cell r="E444">
            <v>0</v>
          </cell>
          <cell r="F444">
            <v>0</v>
          </cell>
          <cell r="G444">
            <v>0</v>
          </cell>
          <cell r="H444">
            <v>0</v>
          </cell>
          <cell r="I444">
            <v>0</v>
          </cell>
          <cell r="J444">
            <v>0</v>
          </cell>
          <cell r="K444">
            <v>0</v>
          </cell>
          <cell r="L444">
            <v>0</v>
          </cell>
          <cell r="M444">
            <v>0</v>
          </cell>
          <cell r="N444">
            <v>0</v>
          </cell>
          <cell r="O444">
            <v>0</v>
          </cell>
          <cell r="P444">
            <v>0</v>
          </cell>
          <cell r="Q444">
            <v>0</v>
          </cell>
        </row>
        <row r="445">
          <cell r="A445">
            <v>60035</v>
          </cell>
          <cell r="B445" t="str">
            <v>Safety Bonuses</v>
          </cell>
          <cell r="E445">
            <v>0</v>
          </cell>
          <cell r="F445">
            <v>0</v>
          </cell>
          <cell r="G445">
            <v>0</v>
          </cell>
          <cell r="H445">
            <v>0</v>
          </cell>
          <cell r="I445">
            <v>0</v>
          </cell>
          <cell r="J445">
            <v>0</v>
          </cell>
          <cell r="K445">
            <v>0</v>
          </cell>
          <cell r="L445">
            <v>0</v>
          </cell>
          <cell r="M445">
            <v>0</v>
          </cell>
          <cell r="N445">
            <v>0</v>
          </cell>
          <cell r="O445">
            <v>0</v>
          </cell>
          <cell r="P445">
            <v>0</v>
          </cell>
          <cell r="Q445">
            <v>0</v>
          </cell>
        </row>
        <row r="446">
          <cell r="A446">
            <v>60037</v>
          </cell>
          <cell r="B446" t="str">
            <v>Termination Pay</v>
          </cell>
          <cell r="E446">
            <v>0</v>
          </cell>
          <cell r="F446">
            <v>0</v>
          </cell>
          <cell r="G446">
            <v>0</v>
          </cell>
          <cell r="H446">
            <v>0</v>
          </cell>
          <cell r="I446">
            <v>0</v>
          </cell>
          <cell r="J446">
            <v>0</v>
          </cell>
          <cell r="K446">
            <v>0</v>
          </cell>
          <cell r="L446">
            <v>0</v>
          </cell>
          <cell r="M446">
            <v>0</v>
          </cell>
          <cell r="N446">
            <v>0</v>
          </cell>
          <cell r="O446">
            <v>0</v>
          </cell>
          <cell r="P446">
            <v>0</v>
          </cell>
          <cell r="Q446">
            <v>0</v>
          </cell>
        </row>
        <row r="447">
          <cell r="A447">
            <v>60045</v>
          </cell>
          <cell r="B447" t="str">
            <v>Contract Labor</v>
          </cell>
          <cell r="E447">
            <v>0</v>
          </cell>
          <cell r="F447">
            <v>0</v>
          </cell>
          <cell r="G447">
            <v>0</v>
          </cell>
          <cell r="H447">
            <v>0</v>
          </cell>
          <cell r="I447">
            <v>0</v>
          </cell>
          <cell r="J447">
            <v>0</v>
          </cell>
          <cell r="K447">
            <v>0</v>
          </cell>
          <cell r="L447">
            <v>0</v>
          </cell>
          <cell r="M447">
            <v>0</v>
          </cell>
          <cell r="N447">
            <v>0</v>
          </cell>
          <cell r="O447">
            <v>0</v>
          </cell>
          <cell r="P447">
            <v>0</v>
          </cell>
          <cell r="Q447">
            <v>0</v>
          </cell>
        </row>
        <row r="448">
          <cell r="A448">
            <v>60050</v>
          </cell>
          <cell r="B448" t="str">
            <v>Payroll Taxes</v>
          </cell>
          <cell r="E448">
            <v>0</v>
          </cell>
          <cell r="F448">
            <v>0</v>
          </cell>
          <cell r="G448">
            <v>0</v>
          </cell>
          <cell r="H448">
            <v>0</v>
          </cell>
          <cell r="I448">
            <v>0</v>
          </cell>
          <cell r="J448">
            <v>0</v>
          </cell>
          <cell r="K448">
            <v>0</v>
          </cell>
          <cell r="L448">
            <v>0</v>
          </cell>
          <cell r="M448">
            <v>0</v>
          </cell>
          <cell r="N448">
            <v>0</v>
          </cell>
          <cell r="O448">
            <v>0</v>
          </cell>
          <cell r="P448">
            <v>0</v>
          </cell>
          <cell r="Q448">
            <v>0</v>
          </cell>
        </row>
        <row r="449">
          <cell r="A449">
            <v>60060</v>
          </cell>
          <cell r="B449" t="str">
            <v>Group Insurance</v>
          </cell>
          <cell r="E449">
            <v>0</v>
          </cell>
          <cell r="F449">
            <v>0</v>
          </cell>
          <cell r="G449">
            <v>0</v>
          </cell>
          <cell r="H449">
            <v>0</v>
          </cell>
          <cell r="I449">
            <v>0</v>
          </cell>
          <cell r="J449">
            <v>0</v>
          </cell>
          <cell r="K449">
            <v>0</v>
          </cell>
          <cell r="L449">
            <v>0</v>
          </cell>
          <cell r="M449">
            <v>0</v>
          </cell>
          <cell r="N449">
            <v>0</v>
          </cell>
          <cell r="O449">
            <v>0</v>
          </cell>
          <cell r="P449">
            <v>0</v>
          </cell>
          <cell r="Q449">
            <v>0</v>
          </cell>
        </row>
        <row r="450">
          <cell r="A450">
            <v>60065</v>
          </cell>
          <cell r="B450" t="str">
            <v>Vacation Pay</v>
          </cell>
          <cell r="E450">
            <v>0</v>
          </cell>
          <cell r="F450">
            <v>0</v>
          </cell>
          <cell r="G450">
            <v>0</v>
          </cell>
          <cell r="H450">
            <v>0</v>
          </cell>
          <cell r="I450">
            <v>0</v>
          </cell>
          <cell r="J450">
            <v>0</v>
          </cell>
          <cell r="K450">
            <v>0</v>
          </cell>
          <cell r="L450">
            <v>0</v>
          </cell>
          <cell r="M450">
            <v>0</v>
          </cell>
          <cell r="N450">
            <v>0</v>
          </cell>
          <cell r="O450">
            <v>0</v>
          </cell>
          <cell r="P450">
            <v>0</v>
          </cell>
          <cell r="Q450">
            <v>0</v>
          </cell>
        </row>
        <row r="451">
          <cell r="A451">
            <v>60070</v>
          </cell>
          <cell r="B451" t="str">
            <v>Sick Pay</v>
          </cell>
          <cell r="E451">
            <v>0</v>
          </cell>
          <cell r="F451">
            <v>0</v>
          </cell>
          <cell r="G451">
            <v>0</v>
          </cell>
          <cell r="H451">
            <v>0</v>
          </cell>
          <cell r="I451">
            <v>0</v>
          </cell>
          <cell r="J451">
            <v>0</v>
          </cell>
          <cell r="K451">
            <v>0</v>
          </cell>
          <cell r="L451">
            <v>0</v>
          </cell>
          <cell r="M451">
            <v>0</v>
          </cell>
          <cell r="N451">
            <v>0</v>
          </cell>
          <cell r="O451">
            <v>0</v>
          </cell>
          <cell r="P451">
            <v>0</v>
          </cell>
          <cell r="Q451">
            <v>0</v>
          </cell>
        </row>
        <row r="452">
          <cell r="A452">
            <v>60086</v>
          </cell>
          <cell r="B452" t="str">
            <v>Safety and Training</v>
          </cell>
          <cell r="E452">
            <v>0</v>
          </cell>
          <cell r="F452">
            <v>0</v>
          </cell>
          <cell r="G452">
            <v>0</v>
          </cell>
          <cell r="H452">
            <v>0</v>
          </cell>
          <cell r="I452">
            <v>0</v>
          </cell>
          <cell r="J452">
            <v>0</v>
          </cell>
          <cell r="K452">
            <v>0</v>
          </cell>
          <cell r="L452">
            <v>0</v>
          </cell>
          <cell r="M452">
            <v>0</v>
          </cell>
          <cell r="N452">
            <v>0</v>
          </cell>
          <cell r="O452">
            <v>0</v>
          </cell>
          <cell r="P452">
            <v>0</v>
          </cell>
          <cell r="Q452">
            <v>0</v>
          </cell>
        </row>
        <row r="453">
          <cell r="A453">
            <v>60095</v>
          </cell>
          <cell r="B453" t="str">
            <v>Empl &amp; Commun Activ</v>
          </cell>
          <cell r="E453">
            <v>0</v>
          </cell>
          <cell r="F453">
            <v>0</v>
          </cell>
          <cell r="G453">
            <v>0</v>
          </cell>
          <cell r="H453">
            <v>0</v>
          </cell>
          <cell r="I453">
            <v>0</v>
          </cell>
          <cell r="J453">
            <v>0</v>
          </cell>
          <cell r="K453">
            <v>0</v>
          </cell>
          <cell r="L453">
            <v>0</v>
          </cell>
          <cell r="M453">
            <v>0</v>
          </cell>
          <cell r="N453">
            <v>0</v>
          </cell>
          <cell r="O453">
            <v>0</v>
          </cell>
          <cell r="P453">
            <v>0</v>
          </cell>
          <cell r="Q453">
            <v>0</v>
          </cell>
        </row>
        <row r="454">
          <cell r="A454">
            <v>60105</v>
          </cell>
          <cell r="B454" t="str">
            <v>Employee Relocation</v>
          </cell>
          <cell r="E454">
            <v>0</v>
          </cell>
          <cell r="F454">
            <v>0</v>
          </cell>
          <cell r="G454">
            <v>0</v>
          </cell>
          <cell r="H454">
            <v>0</v>
          </cell>
          <cell r="I454">
            <v>0</v>
          </cell>
          <cell r="J454">
            <v>0</v>
          </cell>
          <cell r="K454">
            <v>0</v>
          </cell>
          <cell r="L454">
            <v>0</v>
          </cell>
          <cell r="M454">
            <v>0</v>
          </cell>
          <cell r="N454">
            <v>0</v>
          </cell>
          <cell r="O454">
            <v>0</v>
          </cell>
          <cell r="P454">
            <v>0</v>
          </cell>
          <cell r="Q454">
            <v>0</v>
          </cell>
        </row>
        <row r="455">
          <cell r="A455">
            <v>60115</v>
          </cell>
          <cell r="B455" t="str">
            <v>School Tuition</v>
          </cell>
          <cell r="E455">
            <v>0</v>
          </cell>
          <cell r="F455">
            <v>0</v>
          </cell>
          <cell r="G455">
            <v>0</v>
          </cell>
          <cell r="H455">
            <v>0</v>
          </cell>
          <cell r="I455">
            <v>0</v>
          </cell>
          <cell r="J455">
            <v>0</v>
          </cell>
          <cell r="K455">
            <v>0</v>
          </cell>
          <cell r="L455">
            <v>0</v>
          </cell>
          <cell r="M455">
            <v>0</v>
          </cell>
          <cell r="N455">
            <v>0</v>
          </cell>
          <cell r="O455">
            <v>0</v>
          </cell>
          <cell r="P455">
            <v>0</v>
          </cell>
          <cell r="Q455">
            <v>0</v>
          </cell>
        </row>
        <row r="456">
          <cell r="A456">
            <v>60116</v>
          </cell>
          <cell r="B456" t="str">
            <v>Pension and Profit Sharing</v>
          </cell>
          <cell r="E456">
            <v>0</v>
          </cell>
          <cell r="F456">
            <v>0</v>
          </cell>
          <cell r="G456">
            <v>0</v>
          </cell>
          <cell r="H456">
            <v>0</v>
          </cell>
          <cell r="I456">
            <v>0</v>
          </cell>
          <cell r="J456">
            <v>0</v>
          </cell>
          <cell r="K456">
            <v>0</v>
          </cell>
          <cell r="L456">
            <v>0</v>
          </cell>
          <cell r="M456">
            <v>0</v>
          </cell>
          <cell r="N456">
            <v>0</v>
          </cell>
          <cell r="O456">
            <v>0</v>
          </cell>
          <cell r="P456">
            <v>0</v>
          </cell>
          <cell r="Q456">
            <v>0</v>
          </cell>
        </row>
        <row r="457">
          <cell r="A457">
            <v>60117</v>
          </cell>
          <cell r="B457" t="str">
            <v>Union Pension</v>
          </cell>
          <cell r="E457">
            <v>0</v>
          </cell>
          <cell r="F457">
            <v>0</v>
          </cell>
          <cell r="G457">
            <v>0</v>
          </cell>
          <cell r="H457">
            <v>0</v>
          </cell>
          <cell r="I457">
            <v>0</v>
          </cell>
          <cell r="J457">
            <v>0</v>
          </cell>
          <cell r="K457">
            <v>0</v>
          </cell>
          <cell r="L457">
            <v>0</v>
          </cell>
          <cell r="M457">
            <v>0</v>
          </cell>
          <cell r="N457">
            <v>0</v>
          </cell>
          <cell r="O457">
            <v>0</v>
          </cell>
          <cell r="P457">
            <v>0</v>
          </cell>
          <cell r="Q457">
            <v>0</v>
          </cell>
        </row>
        <row r="458">
          <cell r="A458">
            <v>60148</v>
          </cell>
          <cell r="B458" t="str">
            <v>Allocated Exp In - District</v>
          </cell>
          <cell r="E458">
            <v>0</v>
          </cell>
          <cell r="F458">
            <v>0</v>
          </cell>
          <cell r="G458">
            <v>0</v>
          </cell>
          <cell r="H458">
            <v>0</v>
          </cell>
          <cell r="I458">
            <v>0</v>
          </cell>
          <cell r="J458">
            <v>0</v>
          </cell>
          <cell r="K458">
            <v>0</v>
          </cell>
          <cell r="L458">
            <v>0</v>
          </cell>
          <cell r="M458">
            <v>0</v>
          </cell>
          <cell r="N458">
            <v>0</v>
          </cell>
          <cell r="O458">
            <v>0</v>
          </cell>
          <cell r="P458">
            <v>0</v>
          </cell>
          <cell r="Q458">
            <v>0</v>
          </cell>
        </row>
        <row r="459">
          <cell r="A459">
            <v>60149</v>
          </cell>
          <cell r="B459" t="str">
            <v>Allocated Exp In Out - District</v>
          </cell>
          <cell r="E459">
            <v>0</v>
          </cell>
          <cell r="F459">
            <v>0</v>
          </cell>
          <cell r="G459">
            <v>0</v>
          </cell>
          <cell r="H459">
            <v>0</v>
          </cell>
          <cell r="I459">
            <v>0</v>
          </cell>
          <cell r="J459">
            <v>0</v>
          </cell>
          <cell r="K459">
            <v>0</v>
          </cell>
          <cell r="L459">
            <v>0</v>
          </cell>
          <cell r="M459">
            <v>0</v>
          </cell>
          <cell r="N459">
            <v>0</v>
          </cell>
          <cell r="O459">
            <v>0</v>
          </cell>
          <cell r="P459">
            <v>0</v>
          </cell>
          <cell r="Q459">
            <v>0</v>
          </cell>
        </row>
        <row r="460">
          <cell r="A460">
            <v>60165</v>
          </cell>
          <cell r="B460" t="str">
            <v>Communications</v>
          </cell>
          <cell r="E460">
            <v>0</v>
          </cell>
          <cell r="F460">
            <v>0</v>
          </cell>
          <cell r="G460">
            <v>0</v>
          </cell>
          <cell r="H460">
            <v>0</v>
          </cell>
          <cell r="I460">
            <v>0</v>
          </cell>
          <cell r="J460">
            <v>0</v>
          </cell>
          <cell r="K460">
            <v>0</v>
          </cell>
          <cell r="L460">
            <v>0</v>
          </cell>
          <cell r="M460">
            <v>0</v>
          </cell>
          <cell r="N460">
            <v>0</v>
          </cell>
          <cell r="O460">
            <v>0</v>
          </cell>
          <cell r="P460">
            <v>0</v>
          </cell>
          <cell r="Q460">
            <v>0</v>
          </cell>
        </row>
        <row r="461">
          <cell r="A461">
            <v>60170</v>
          </cell>
          <cell r="B461" t="str">
            <v>Real Estate Rentals</v>
          </cell>
          <cell r="E461">
            <v>0</v>
          </cell>
          <cell r="F461">
            <v>0</v>
          </cell>
          <cell r="G461">
            <v>0</v>
          </cell>
          <cell r="H461">
            <v>0</v>
          </cell>
          <cell r="I461">
            <v>0</v>
          </cell>
          <cell r="J461">
            <v>0</v>
          </cell>
          <cell r="K461">
            <v>0</v>
          </cell>
          <cell r="L461">
            <v>0</v>
          </cell>
          <cell r="M461">
            <v>0</v>
          </cell>
          <cell r="N461">
            <v>0</v>
          </cell>
          <cell r="O461">
            <v>0</v>
          </cell>
          <cell r="P461">
            <v>0</v>
          </cell>
          <cell r="Q461">
            <v>0</v>
          </cell>
        </row>
        <row r="462">
          <cell r="A462">
            <v>60175</v>
          </cell>
          <cell r="B462" t="str">
            <v>Equip/Vehicle Rental</v>
          </cell>
          <cell r="E462">
            <v>0</v>
          </cell>
          <cell r="F462">
            <v>0</v>
          </cell>
          <cell r="G462">
            <v>0</v>
          </cell>
          <cell r="H462">
            <v>0</v>
          </cell>
          <cell r="I462">
            <v>0</v>
          </cell>
          <cell r="J462">
            <v>0</v>
          </cell>
          <cell r="K462">
            <v>0</v>
          </cell>
          <cell r="L462">
            <v>0</v>
          </cell>
          <cell r="M462">
            <v>0</v>
          </cell>
          <cell r="N462">
            <v>0</v>
          </cell>
          <cell r="O462">
            <v>0</v>
          </cell>
          <cell r="P462">
            <v>0</v>
          </cell>
          <cell r="Q462">
            <v>0</v>
          </cell>
        </row>
        <row r="463">
          <cell r="A463">
            <v>60185</v>
          </cell>
          <cell r="B463" t="str">
            <v>Postage</v>
          </cell>
          <cell r="E463">
            <v>0</v>
          </cell>
          <cell r="F463">
            <v>0</v>
          </cell>
          <cell r="G463">
            <v>0</v>
          </cell>
          <cell r="H463">
            <v>0</v>
          </cell>
          <cell r="I463">
            <v>0</v>
          </cell>
          <cell r="J463">
            <v>0</v>
          </cell>
          <cell r="K463">
            <v>0</v>
          </cell>
          <cell r="L463">
            <v>0</v>
          </cell>
          <cell r="M463">
            <v>0</v>
          </cell>
          <cell r="N463">
            <v>0</v>
          </cell>
          <cell r="O463">
            <v>0</v>
          </cell>
          <cell r="P463">
            <v>0</v>
          </cell>
          <cell r="Q463">
            <v>0</v>
          </cell>
        </row>
        <row r="464">
          <cell r="A464">
            <v>60195</v>
          </cell>
          <cell r="B464" t="str">
            <v>Dues and Subscriptions</v>
          </cell>
          <cell r="E464">
            <v>0</v>
          </cell>
          <cell r="F464">
            <v>0</v>
          </cell>
          <cell r="G464">
            <v>0</v>
          </cell>
          <cell r="H464">
            <v>0</v>
          </cell>
          <cell r="I464">
            <v>0</v>
          </cell>
          <cell r="J464">
            <v>0</v>
          </cell>
          <cell r="K464">
            <v>0</v>
          </cell>
          <cell r="L464">
            <v>0</v>
          </cell>
          <cell r="M464">
            <v>0</v>
          </cell>
          <cell r="N464">
            <v>0</v>
          </cell>
          <cell r="O464">
            <v>0</v>
          </cell>
          <cell r="P464">
            <v>0</v>
          </cell>
          <cell r="Q464">
            <v>0</v>
          </cell>
        </row>
        <row r="465">
          <cell r="A465">
            <v>60196</v>
          </cell>
          <cell r="B465" t="str">
            <v>Club Dues</v>
          </cell>
          <cell r="E465">
            <v>0</v>
          </cell>
          <cell r="F465">
            <v>0</v>
          </cell>
          <cell r="G465">
            <v>0</v>
          </cell>
          <cell r="H465">
            <v>0</v>
          </cell>
          <cell r="I465">
            <v>0</v>
          </cell>
          <cell r="J465">
            <v>0</v>
          </cell>
          <cell r="K465">
            <v>0</v>
          </cell>
          <cell r="L465">
            <v>0</v>
          </cell>
          <cell r="M465">
            <v>0</v>
          </cell>
          <cell r="N465">
            <v>0</v>
          </cell>
          <cell r="O465">
            <v>0</v>
          </cell>
          <cell r="P465">
            <v>0</v>
          </cell>
          <cell r="Q465">
            <v>0</v>
          </cell>
        </row>
        <row r="466">
          <cell r="A466">
            <v>60200</v>
          </cell>
          <cell r="B466" t="str">
            <v>Travel</v>
          </cell>
          <cell r="E466">
            <v>0</v>
          </cell>
          <cell r="F466">
            <v>0</v>
          </cell>
          <cell r="G466">
            <v>0</v>
          </cell>
          <cell r="H466">
            <v>0</v>
          </cell>
          <cell r="I466">
            <v>0</v>
          </cell>
          <cell r="J466">
            <v>0</v>
          </cell>
          <cell r="K466">
            <v>0</v>
          </cell>
          <cell r="L466">
            <v>0</v>
          </cell>
          <cell r="M466">
            <v>0</v>
          </cell>
          <cell r="N466">
            <v>0</v>
          </cell>
          <cell r="O466">
            <v>0</v>
          </cell>
          <cell r="P466">
            <v>0</v>
          </cell>
          <cell r="Q466">
            <v>0</v>
          </cell>
        </row>
        <row r="467">
          <cell r="A467">
            <v>60201</v>
          </cell>
          <cell r="B467" t="str">
            <v>Entertainment</v>
          </cell>
          <cell r="E467">
            <v>0</v>
          </cell>
          <cell r="F467">
            <v>0</v>
          </cell>
          <cell r="G467">
            <v>0</v>
          </cell>
          <cell r="H467">
            <v>0</v>
          </cell>
          <cell r="I467">
            <v>0</v>
          </cell>
          <cell r="J467">
            <v>0</v>
          </cell>
          <cell r="K467">
            <v>0</v>
          </cell>
          <cell r="L467">
            <v>0</v>
          </cell>
          <cell r="M467">
            <v>0</v>
          </cell>
          <cell r="N467">
            <v>0</v>
          </cell>
          <cell r="O467">
            <v>0</v>
          </cell>
          <cell r="P467">
            <v>0</v>
          </cell>
          <cell r="Q467">
            <v>0</v>
          </cell>
        </row>
        <row r="468">
          <cell r="A468">
            <v>60205</v>
          </cell>
          <cell r="B468" t="str">
            <v>Travel - Auto</v>
          </cell>
          <cell r="E468">
            <v>0</v>
          </cell>
          <cell r="F468">
            <v>0</v>
          </cell>
          <cell r="G468">
            <v>0</v>
          </cell>
          <cell r="H468">
            <v>0</v>
          </cell>
          <cell r="I468">
            <v>0</v>
          </cell>
          <cell r="J468">
            <v>0</v>
          </cell>
          <cell r="K468">
            <v>0</v>
          </cell>
          <cell r="L468">
            <v>0</v>
          </cell>
          <cell r="M468">
            <v>0</v>
          </cell>
          <cell r="N468">
            <v>0</v>
          </cell>
          <cell r="O468">
            <v>0</v>
          </cell>
          <cell r="P468">
            <v>0</v>
          </cell>
          <cell r="Q468">
            <v>0</v>
          </cell>
        </row>
        <row r="469">
          <cell r="A469">
            <v>60210</v>
          </cell>
          <cell r="B469" t="str">
            <v>Office Supplies and Equip</v>
          </cell>
          <cell r="E469">
            <v>0</v>
          </cell>
          <cell r="F469">
            <v>0</v>
          </cell>
          <cell r="G469">
            <v>0</v>
          </cell>
          <cell r="H469">
            <v>0</v>
          </cell>
          <cell r="I469">
            <v>0</v>
          </cell>
          <cell r="J469">
            <v>0</v>
          </cell>
          <cell r="K469">
            <v>0</v>
          </cell>
          <cell r="L469">
            <v>0</v>
          </cell>
          <cell r="M469">
            <v>0</v>
          </cell>
          <cell r="N469">
            <v>0</v>
          </cell>
          <cell r="O469">
            <v>0</v>
          </cell>
          <cell r="P469">
            <v>0</v>
          </cell>
          <cell r="Q469">
            <v>0</v>
          </cell>
        </row>
        <row r="470">
          <cell r="A470">
            <v>60225</v>
          </cell>
          <cell r="B470" t="str">
            <v>Advertising and Promotions</v>
          </cell>
          <cell r="E470">
            <v>0</v>
          </cell>
          <cell r="F470">
            <v>0</v>
          </cell>
          <cell r="G470">
            <v>0</v>
          </cell>
          <cell r="H470">
            <v>0</v>
          </cell>
          <cell r="I470">
            <v>0</v>
          </cell>
          <cell r="J470">
            <v>0</v>
          </cell>
          <cell r="K470">
            <v>0</v>
          </cell>
          <cell r="L470">
            <v>0</v>
          </cell>
          <cell r="M470">
            <v>0</v>
          </cell>
          <cell r="N470">
            <v>0</v>
          </cell>
          <cell r="O470">
            <v>0</v>
          </cell>
          <cell r="P470">
            <v>3237.6</v>
          </cell>
          <cell r="Q470">
            <v>3237.6</v>
          </cell>
        </row>
        <row r="471">
          <cell r="A471">
            <v>60234</v>
          </cell>
          <cell r="B471" t="str">
            <v>O/S Sales Exp</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v>60255</v>
          </cell>
          <cell r="B472" t="str">
            <v>Other Prof Fees</v>
          </cell>
          <cell r="E472">
            <v>0</v>
          </cell>
          <cell r="F472">
            <v>0</v>
          </cell>
          <cell r="G472">
            <v>0</v>
          </cell>
          <cell r="H472">
            <v>0</v>
          </cell>
          <cell r="I472">
            <v>0</v>
          </cell>
          <cell r="J472">
            <v>0</v>
          </cell>
          <cell r="K472">
            <v>0</v>
          </cell>
          <cell r="L472">
            <v>0</v>
          </cell>
          <cell r="M472">
            <v>0</v>
          </cell>
          <cell r="N472">
            <v>0</v>
          </cell>
          <cell r="O472">
            <v>0</v>
          </cell>
          <cell r="P472">
            <v>0</v>
          </cell>
          <cell r="Q472">
            <v>0</v>
          </cell>
        </row>
        <row r="473">
          <cell r="A473">
            <v>60326</v>
          </cell>
          <cell r="B473" t="str">
            <v>Deduct - Current Yr</v>
          </cell>
          <cell r="E473">
            <v>0</v>
          </cell>
          <cell r="F473">
            <v>0</v>
          </cell>
          <cell r="G473">
            <v>0</v>
          </cell>
          <cell r="H473">
            <v>0</v>
          </cell>
          <cell r="I473">
            <v>0</v>
          </cell>
          <cell r="J473">
            <v>0</v>
          </cell>
          <cell r="K473">
            <v>0</v>
          </cell>
          <cell r="L473">
            <v>0</v>
          </cell>
          <cell r="M473">
            <v>0</v>
          </cell>
          <cell r="N473">
            <v>0</v>
          </cell>
          <cell r="O473">
            <v>0</v>
          </cell>
          <cell r="P473">
            <v>0</v>
          </cell>
          <cell r="Q473">
            <v>0</v>
          </cell>
        </row>
        <row r="474">
          <cell r="A474">
            <v>60327</v>
          </cell>
          <cell r="B474" t="str">
            <v>Deduct - Damage</v>
          </cell>
          <cell r="E474">
            <v>0</v>
          </cell>
          <cell r="F474">
            <v>0</v>
          </cell>
          <cell r="G474">
            <v>0</v>
          </cell>
          <cell r="H474">
            <v>0</v>
          </cell>
          <cell r="I474">
            <v>0</v>
          </cell>
          <cell r="J474">
            <v>0</v>
          </cell>
          <cell r="K474">
            <v>0</v>
          </cell>
          <cell r="L474">
            <v>0</v>
          </cell>
          <cell r="M474">
            <v>0</v>
          </cell>
          <cell r="N474">
            <v>0</v>
          </cell>
          <cell r="O474">
            <v>0</v>
          </cell>
          <cell r="P474">
            <v>0</v>
          </cell>
          <cell r="Q474">
            <v>0</v>
          </cell>
        </row>
        <row r="475">
          <cell r="A475">
            <v>60328</v>
          </cell>
          <cell r="B475" t="str">
            <v>Claim Recoveries</v>
          </cell>
          <cell r="E475">
            <v>0</v>
          </cell>
          <cell r="F475">
            <v>0</v>
          </cell>
          <cell r="G475">
            <v>0</v>
          </cell>
          <cell r="H475">
            <v>0</v>
          </cell>
          <cell r="I475">
            <v>0</v>
          </cell>
          <cell r="J475">
            <v>0</v>
          </cell>
          <cell r="K475">
            <v>0</v>
          </cell>
          <cell r="L475">
            <v>0</v>
          </cell>
          <cell r="M475">
            <v>0</v>
          </cell>
          <cell r="N475">
            <v>0</v>
          </cell>
          <cell r="O475">
            <v>0</v>
          </cell>
          <cell r="P475">
            <v>0</v>
          </cell>
          <cell r="Q475">
            <v>0</v>
          </cell>
        </row>
        <row r="476">
          <cell r="A476">
            <v>60330</v>
          </cell>
          <cell r="B476" t="str">
            <v>Deduct Prior Year</v>
          </cell>
          <cell r="E476">
            <v>0</v>
          </cell>
          <cell r="F476">
            <v>0</v>
          </cell>
          <cell r="G476">
            <v>0</v>
          </cell>
          <cell r="H476">
            <v>0</v>
          </cell>
          <cell r="I476">
            <v>0</v>
          </cell>
          <cell r="J476">
            <v>0</v>
          </cell>
          <cell r="K476">
            <v>0</v>
          </cell>
          <cell r="L476">
            <v>0</v>
          </cell>
          <cell r="M476">
            <v>0</v>
          </cell>
          <cell r="N476">
            <v>0</v>
          </cell>
          <cell r="O476">
            <v>0</v>
          </cell>
          <cell r="P476">
            <v>0</v>
          </cell>
          <cell r="Q476">
            <v>0</v>
          </cell>
        </row>
        <row r="477">
          <cell r="A477">
            <v>60335</v>
          </cell>
          <cell r="B477" t="str">
            <v>Miscellaneous</v>
          </cell>
          <cell r="E477">
            <v>0</v>
          </cell>
          <cell r="F477">
            <v>0</v>
          </cell>
          <cell r="G477">
            <v>0</v>
          </cell>
          <cell r="H477">
            <v>0</v>
          </cell>
          <cell r="I477">
            <v>0</v>
          </cell>
          <cell r="J477">
            <v>0</v>
          </cell>
          <cell r="K477">
            <v>0</v>
          </cell>
          <cell r="L477">
            <v>0</v>
          </cell>
          <cell r="M477">
            <v>0</v>
          </cell>
          <cell r="N477">
            <v>0</v>
          </cell>
          <cell r="O477">
            <v>0</v>
          </cell>
          <cell r="P477">
            <v>0</v>
          </cell>
          <cell r="Q477">
            <v>0</v>
          </cell>
        </row>
        <row r="478">
          <cell r="A478">
            <v>60998</v>
          </cell>
          <cell r="B478" t="str">
            <v>Allocation Out - District</v>
          </cell>
          <cell r="E478">
            <v>0</v>
          </cell>
          <cell r="F478">
            <v>0</v>
          </cell>
          <cell r="G478">
            <v>0</v>
          </cell>
          <cell r="H478">
            <v>0</v>
          </cell>
          <cell r="I478">
            <v>0</v>
          </cell>
          <cell r="J478">
            <v>0</v>
          </cell>
          <cell r="K478">
            <v>0</v>
          </cell>
          <cell r="L478">
            <v>0</v>
          </cell>
          <cell r="M478">
            <v>0</v>
          </cell>
          <cell r="N478">
            <v>0</v>
          </cell>
          <cell r="O478">
            <v>0</v>
          </cell>
          <cell r="P478">
            <v>0</v>
          </cell>
          <cell r="Q478">
            <v>0</v>
          </cell>
        </row>
        <row r="479">
          <cell r="A479">
            <v>60999</v>
          </cell>
          <cell r="B479" t="str">
            <v>Allocation Out - Out District</v>
          </cell>
          <cell r="E479">
            <v>0</v>
          </cell>
          <cell r="F479">
            <v>0</v>
          </cell>
          <cell r="G479">
            <v>0</v>
          </cell>
          <cell r="H479">
            <v>0</v>
          </cell>
          <cell r="I479">
            <v>0</v>
          </cell>
          <cell r="J479">
            <v>0</v>
          </cell>
          <cell r="K479">
            <v>0</v>
          </cell>
          <cell r="L479">
            <v>0</v>
          </cell>
          <cell r="M479">
            <v>0</v>
          </cell>
          <cell r="N479">
            <v>0</v>
          </cell>
          <cell r="O479">
            <v>0</v>
          </cell>
          <cell r="P479">
            <v>0</v>
          </cell>
          <cell r="Q479">
            <v>0</v>
          </cell>
        </row>
        <row r="480">
          <cell r="A480" t="str">
            <v>Total Sales</v>
          </cell>
          <cell r="E480">
            <v>0</v>
          </cell>
          <cell r="F480">
            <v>0</v>
          </cell>
          <cell r="G480">
            <v>0</v>
          </cell>
          <cell r="H480">
            <v>0</v>
          </cell>
          <cell r="I480">
            <v>0</v>
          </cell>
          <cell r="J480">
            <v>0</v>
          </cell>
          <cell r="K480">
            <v>0</v>
          </cell>
          <cell r="L480">
            <v>0</v>
          </cell>
          <cell r="M480">
            <v>0</v>
          </cell>
          <cell r="N480">
            <v>0</v>
          </cell>
          <cell r="O480">
            <v>0</v>
          </cell>
          <cell r="P480">
            <v>3237.6</v>
          </cell>
          <cell r="Q480">
            <v>3237.6</v>
          </cell>
        </row>
        <row r="482">
          <cell r="A482" t="str">
            <v>G&amp;A</v>
          </cell>
        </row>
        <row r="483">
          <cell r="A483">
            <v>70010</v>
          </cell>
          <cell r="B483" t="str">
            <v>Salaries</v>
          </cell>
          <cell r="E483">
            <v>28808.37</v>
          </cell>
          <cell r="F483">
            <v>29237.93</v>
          </cell>
          <cell r="G483">
            <v>34055.660000000003</v>
          </cell>
          <cell r="H483">
            <v>32303.54</v>
          </cell>
          <cell r="I483">
            <v>32394.99</v>
          </cell>
          <cell r="J483">
            <v>34374</v>
          </cell>
          <cell r="K483">
            <v>35547.46</v>
          </cell>
          <cell r="L483">
            <v>34794.910000000003</v>
          </cell>
          <cell r="M483">
            <v>35448.120000000003</v>
          </cell>
          <cell r="N483">
            <v>34195.99</v>
          </cell>
          <cell r="O483">
            <v>35269.089999999997</v>
          </cell>
          <cell r="P483">
            <v>37099.64</v>
          </cell>
          <cell r="Q483">
            <v>403529.69999999995</v>
          </cell>
        </row>
        <row r="484">
          <cell r="A484">
            <v>70015</v>
          </cell>
          <cell r="B484" t="str">
            <v>Deferred Comp Earnings</v>
          </cell>
          <cell r="E484">
            <v>0</v>
          </cell>
          <cell r="F484">
            <v>0</v>
          </cell>
          <cell r="G484">
            <v>0</v>
          </cell>
          <cell r="H484">
            <v>0</v>
          </cell>
          <cell r="I484">
            <v>0</v>
          </cell>
          <cell r="J484">
            <v>0</v>
          </cell>
          <cell r="K484">
            <v>0</v>
          </cell>
          <cell r="L484">
            <v>0</v>
          </cell>
          <cell r="M484">
            <v>0</v>
          </cell>
          <cell r="N484">
            <v>0</v>
          </cell>
          <cell r="O484">
            <v>0</v>
          </cell>
          <cell r="P484">
            <v>0</v>
          </cell>
          <cell r="Q484">
            <v>0</v>
          </cell>
        </row>
        <row r="485">
          <cell r="A485">
            <v>70020</v>
          </cell>
          <cell r="B485" t="str">
            <v>Wages Regular</v>
          </cell>
          <cell r="E485">
            <v>28572.240000000002</v>
          </cell>
          <cell r="F485">
            <v>30096.06</v>
          </cell>
          <cell r="G485">
            <v>32883.68</v>
          </cell>
          <cell r="H485">
            <v>33553.279999999999</v>
          </cell>
          <cell r="I485">
            <v>27323.32</v>
          </cell>
          <cell r="J485">
            <v>31281.360000000001</v>
          </cell>
          <cell r="K485">
            <v>28636.82</v>
          </cell>
          <cell r="L485">
            <v>32591.07</v>
          </cell>
          <cell r="M485">
            <v>25152.99</v>
          </cell>
          <cell r="N485">
            <v>26476.49</v>
          </cell>
          <cell r="O485">
            <v>29556.5</v>
          </cell>
          <cell r="P485">
            <v>26409.97</v>
          </cell>
          <cell r="Q485">
            <v>352533.78</v>
          </cell>
        </row>
        <row r="486">
          <cell r="A486">
            <v>70025</v>
          </cell>
          <cell r="B486" t="str">
            <v>Wages O.T.</v>
          </cell>
          <cell r="E486">
            <v>1534.05</v>
          </cell>
          <cell r="F486">
            <v>1546.14</v>
          </cell>
          <cell r="G486">
            <v>1142.1400000000001</v>
          </cell>
          <cell r="H486">
            <v>1991.39</v>
          </cell>
          <cell r="I486">
            <v>1423.14</v>
          </cell>
          <cell r="J486">
            <v>1581.5</v>
          </cell>
          <cell r="K486">
            <v>577.54</v>
          </cell>
          <cell r="L486">
            <v>3583.2</v>
          </cell>
          <cell r="M486">
            <v>1079.97</v>
          </cell>
          <cell r="N486">
            <v>1516.27</v>
          </cell>
          <cell r="O486">
            <v>2000.96</v>
          </cell>
          <cell r="P486">
            <v>1477.46</v>
          </cell>
          <cell r="Q486">
            <v>19453.760000000002</v>
          </cell>
        </row>
        <row r="487">
          <cell r="A487">
            <v>70030</v>
          </cell>
          <cell r="B487" t="str">
            <v>Corp Allocated Bonus</v>
          </cell>
          <cell r="E487">
            <v>0</v>
          </cell>
          <cell r="F487">
            <v>0</v>
          </cell>
          <cell r="G487">
            <v>0</v>
          </cell>
          <cell r="H487">
            <v>0</v>
          </cell>
          <cell r="I487">
            <v>0</v>
          </cell>
          <cell r="J487">
            <v>0</v>
          </cell>
          <cell r="K487">
            <v>0</v>
          </cell>
          <cell r="L487">
            <v>0</v>
          </cell>
          <cell r="M487">
            <v>0</v>
          </cell>
          <cell r="N487">
            <v>0</v>
          </cell>
          <cell r="O487">
            <v>0</v>
          </cell>
          <cell r="P487">
            <v>0</v>
          </cell>
          <cell r="Q487">
            <v>0</v>
          </cell>
        </row>
        <row r="488">
          <cell r="A488">
            <v>70035</v>
          </cell>
          <cell r="B488" t="str">
            <v>Safety Bonuses</v>
          </cell>
          <cell r="E488">
            <v>0</v>
          </cell>
          <cell r="F488">
            <v>0</v>
          </cell>
          <cell r="G488">
            <v>0</v>
          </cell>
          <cell r="H488">
            <v>0</v>
          </cell>
          <cell r="I488">
            <v>0</v>
          </cell>
          <cell r="J488">
            <v>0</v>
          </cell>
          <cell r="K488">
            <v>0</v>
          </cell>
          <cell r="L488">
            <v>0</v>
          </cell>
          <cell r="M488">
            <v>0</v>
          </cell>
          <cell r="N488">
            <v>0</v>
          </cell>
          <cell r="O488">
            <v>0</v>
          </cell>
          <cell r="P488">
            <v>0</v>
          </cell>
          <cell r="Q488">
            <v>0</v>
          </cell>
        </row>
        <row r="489">
          <cell r="A489">
            <v>70036</v>
          </cell>
          <cell r="B489" t="str">
            <v>Other Bonus/Commission - Non-Safety</v>
          </cell>
          <cell r="E489">
            <v>1075</v>
          </cell>
          <cell r="F489">
            <v>1675</v>
          </cell>
          <cell r="G489">
            <v>7455.5</v>
          </cell>
          <cell r="H489">
            <v>3066.38</v>
          </cell>
          <cell r="I489">
            <v>1438.95</v>
          </cell>
          <cell r="J489">
            <v>3016.36</v>
          </cell>
          <cell r="K489">
            <v>2625</v>
          </cell>
          <cell r="L489">
            <v>2678.43</v>
          </cell>
          <cell r="M489">
            <v>2913.79</v>
          </cell>
          <cell r="N489">
            <v>1746.4</v>
          </cell>
          <cell r="O489">
            <v>2652.32</v>
          </cell>
          <cell r="P489">
            <v>5362.05</v>
          </cell>
          <cell r="Q489">
            <v>35705.180000000008</v>
          </cell>
        </row>
        <row r="490">
          <cell r="A490">
            <v>70037</v>
          </cell>
          <cell r="B490" t="str">
            <v>Termination Pay</v>
          </cell>
          <cell r="E490">
            <v>0</v>
          </cell>
          <cell r="F490">
            <v>0</v>
          </cell>
          <cell r="G490">
            <v>0</v>
          </cell>
          <cell r="H490">
            <v>0</v>
          </cell>
          <cell r="I490">
            <v>0</v>
          </cell>
          <cell r="J490">
            <v>0</v>
          </cell>
          <cell r="K490">
            <v>0</v>
          </cell>
          <cell r="L490">
            <v>0</v>
          </cell>
          <cell r="M490">
            <v>0</v>
          </cell>
          <cell r="N490">
            <v>0</v>
          </cell>
          <cell r="O490">
            <v>0</v>
          </cell>
          <cell r="P490">
            <v>0</v>
          </cell>
          <cell r="Q490">
            <v>0</v>
          </cell>
        </row>
        <row r="491">
          <cell r="A491">
            <v>70045</v>
          </cell>
          <cell r="B491" t="str">
            <v>Contract Labor</v>
          </cell>
          <cell r="E491">
            <v>0</v>
          </cell>
          <cell r="F491">
            <v>0</v>
          </cell>
          <cell r="G491">
            <v>0</v>
          </cell>
          <cell r="H491">
            <v>0</v>
          </cell>
          <cell r="I491">
            <v>0</v>
          </cell>
          <cell r="J491">
            <v>0</v>
          </cell>
          <cell r="K491">
            <v>0</v>
          </cell>
          <cell r="L491">
            <v>0</v>
          </cell>
          <cell r="M491">
            <v>0</v>
          </cell>
          <cell r="N491">
            <v>0</v>
          </cell>
          <cell r="O491">
            <v>0</v>
          </cell>
          <cell r="P491">
            <v>0</v>
          </cell>
          <cell r="Q491">
            <v>0</v>
          </cell>
        </row>
        <row r="492">
          <cell r="A492">
            <v>70050</v>
          </cell>
          <cell r="B492" t="str">
            <v>Payroll Taxes</v>
          </cell>
          <cell r="E492">
            <v>7335.33</v>
          </cell>
          <cell r="F492">
            <v>5253.85</v>
          </cell>
          <cell r="G492">
            <v>6887.21</v>
          </cell>
          <cell r="H492">
            <v>5839.13</v>
          </cell>
          <cell r="I492">
            <v>4643.53</v>
          </cell>
          <cell r="J492">
            <v>5669.76</v>
          </cell>
          <cell r="K492">
            <v>4555.33</v>
          </cell>
          <cell r="L492">
            <v>5742.05</v>
          </cell>
          <cell r="M492">
            <v>4517.6899999999996</v>
          </cell>
          <cell r="N492">
            <v>4408.2</v>
          </cell>
          <cell r="O492">
            <v>4942.4399999999996</v>
          </cell>
          <cell r="P492">
            <v>5199.09</v>
          </cell>
          <cell r="Q492">
            <v>64993.61</v>
          </cell>
        </row>
        <row r="493">
          <cell r="A493">
            <v>70060</v>
          </cell>
          <cell r="B493" t="str">
            <v>Group Insurance</v>
          </cell>
          <cell r="E493">
            <v>11410.52</v>
          </cell>
          <cell r="F493">
            <v>11524.58</v>
          </cell>
          <cell r="G493">
            <v>10554.24</v>
          </cell>
          <cell r="H493">
            <v>13084.2</v>
          </cell>
          <cell r="I493">
            <v>12115.75</v>
          </cell>
          <cell r="J493">
            <v>12494.37</v>
          </cell>
          <cell r="K493">
            <v>12559.75</v>
          </cell>
          <cell r="L493">
            <v>12415.93</v>
          </cell>
          <cell r="M493">
            <v>11362.28</v>
          </cell>
          <cell r="N493">
            <v>13749.11</v>
          </cell>
          <cell r="O493">
            <v>12593.52</v>
          </cell>
          <cell r="P493">
            <v>12600.59</v>
          </cell>
          <cell r="Q493">
            <v>146464.84</v>
          </cell>
        </row>
        <row r="494">
          <cell r="A494">
            <v>70065</v>
          </cell>
          <cell r="B494" t="str">
            <v>Vacation Pay</v>
          </cell>
          <cell r="E494">
            <v>1582.88</v>
          </cell>
          <cell r="F494">
            <v>4413.99</v>
          </cell>
          <cell r="G494">
            <v>48.78</v>
          </cell>
          <cell r="H494">
            <v>2185.79</v>
          </cell>
          <cell r="I494">
            <v>4000.59</v>
          </cell>
          <cell r="J494">
            <v>-891.88</v>
          </cell>
          <cell r="K494">
            <v>4756.8500000000004</v>
          </cell>
          <cell r="L494">
            <v>2920.08</v>
          </cell>
          <cell r="M494">
            <v>4784.29</v>
          </cell>
          <cell r="N494">
            <v>3124.36</v>
          </cell>
          <cell r="O494">
            <v>2610.1999999999998</v>
          </cell>
          <cell r="P494">
            <v>4173.68</v>
          </cell>
          <cell r="Q494">
            <v>33709.61</v>
          </cell>
        </row>
        <row r="495">
          <cell r="A495">
            <v>70070</v>
          </cell>
          <cell r="B495" t="str">
            <v>Sick Pay</v>
          </cell>
          <cell r="E495">
            <v>396.68</v>
          </cell>
          <cell r="F495">
            <v>680.36</v>
          </cell>
          <cell r="G495">
            <v>1133.57</v>
          </cell>
          <cell r="H495">
            <v>674.93</v>
          </cell>
          <cell r="I495">
            <v>892.47</v>
          </cell>
          <cell r="J495">
            <v>554.58000000000004</v>
          </cell>
          <cell r="K495">
            <v>198.93</v>
          </cell>
          <cell r="L495">
            <v>122.21</v>
          </cell>
          <cell r="M495">
            <v>727.21</v>
          </cell>
          <cell r="N495">
            <v>366.82</v>
          </cell>
          <cell r="O495">
            <v>768.29</v>
          </cell>
          <cell r="P495">
            <v>121.28</v>
          </cell>
          <cell r="Q495">
            <v>6637.329999999999</v>
          </cell>
        </row>
        <row r="496">
          <cell r="A496">
            <v>70086</v>
          </cell>
          <cell r="B496" t="str">
            <v>Safety and Training</v>
          </cell>
          <cell r="E496">
            <v>14.8</v>
          </cell>
          <cell r="F496">
            <v>0</v>
          </cell>
          <cell r="G496">
            <v>0</v>
          </cell>
          <cell r="H496">
            <v>0</v>
          </cell>
          <cell r="I496">
            <v>0</v>
          </cell>
          <cell r="J496">
            <v>35.6</v>
          </cell>
          <cell r="K496">
            <v>0</v>
          </cell>
          <cell r="L496">
            <v>70</v>
          </cell>
          <cell r="M496">
            <v>0</v>
          </cell>
          <cell r="N496">
            <v>0</v>
          </cell>
          <cell r="O496">
            <v>0</v>
          </cell>
          <cell r="P496">
            <v>0</v>
          </cell>
          <cell r="Q496">
            <v>120.4</v>
          </cell>
        </row>
        <row r="497">
          <cell r="A497">
            <v>70090</v>
          </cell>
          <cell r="B497" t="str">
            <v>WCN Training</v>
          </cell>
          <cell r="E497">
            <v>0</v>
          </cell>
          <cell r="F497">
            <v>0</v>
          </cell>
          <cell r="G497">
            <v>0</v>
          </cell>
          <cell r="H497">
            <v>0</v>
          </cell>
          <cell r="I497">
            <v>0</v>
          </cell>
          <cell r="J497">
            <v>0</v>
          </cell>
          <cell r="K497">
            <v>0</v>
          </cell>
          <cell r="L497">
            <v>0</v>
          </cell>
          <cell r="M497">
            <v>0</v>
          </cell>
          <cell r="N497">
            <v>708.81</v>
          </cell>
          <cell r="O497">
            <v>-708.81</v>
          </cell>
          <cell r="P497">
            <v>0</v>
          </cell>
          <cell r="Q497">
            <v>0</v>
          </cell>
        </row>
        <row r="498">
          <cell r="A498">
            <v>70095</v>
          </cell>
          <cell r="B498" t="str">
            <v>Empl &amp; Commun Activ</v>
          </cell>
          <cell r="E498">
            <v>16986.41</v>
          </cell>
          <cell r="F498">
            <v>158.86000000000001</v>
          </cell>
          <cell r="G498">
            <v>1019.92</v>
          </cell>
          <cell r="H498">
            <v>210.51</v>
          </cell>
          <cell r="I498">
            <v>1580.13</v>
          </cell>
          <cell r="J498">
            <v>4162.7</v>
          </cell>
          <cell r="K498">
            <v>660.39</v>
          </cell>
          <cell r="L498">
            <v>2656.19</v>
          </cell>
          <cell r="M498">
            <v>517.80999999999995</v>
          </cell>
          <cell r="N498">
            <v>54.01</v>
          </cell>
          <cell r="O498">
            <v>1519.35</v>
          </cell>
          <cell r="P498">
            <v>3351.61</v>
          </cell>
          <cell r="Q498">
            <v>32877.889999999992</v>
          </cell>
        </row>
        <row r="499">
          <cell r="A499">
            <v>70105</v>
          </cell>
          <cell r="B499" t="str">
            <v>Employee Relocation</v>
          </cell>
          <cell r="E499">
            <v>381.64</v>
          </cell>
          <cell r="F499">
            <v>381.64</v>
          </cell>
          <cell r="G499">
            <v>381.64</v>
          </cell>
          <cell r="H499">
            <v>381.64</v>
          </cell>
          <cell r="I499">
            <v>381.64</v>
          </cell>
          <cell r="J499">
            <v>381.64</v>
          </cell>
          <cell r="K499">
            <v>381.64</v>
          </cell>
          <cell r="L499">
            <v>381.64</v>
          </cell>
          <cell r="M499">
            <v>381.64</v>
          </cell>
          <cell r="N499">
            <v>381.64</v>
          </cell>
          <cell r="O499">
            <v>381.64</v>
          </cell>
          <cell r="P499">
            <v>381.64</v>
          </cell>
          <cell r="Q499">
            <v>4579.6799999999994</v>
          </cell>
        </row>
        <row r="500">
          <cell r="A500">
            <v>70107</v>
          </cell>
          <cell r="B500" t="str">
            <v>Housing Subsidy</v>
          </cell>
          <cell r="E500">
            <v>0</v>
          </cell>
          <cell r="F500">
            <v>0</v>
          </cell>
          <cell r="G500">
            <v>0</v>
          </cell>
          <cell r="H500">
            <v>0</v>
          </cell>
          <cell r="I500">
            <v>0</v>
          </cell>
          <cell r="J500">
            <v>0</v>
          </cell>
          <cell r="K500">
            <v>0</v>
          </cell>
          <cell r="L500">
            <v>0</v>
          </cell>
          <cell r="M500">
            <v>0</v>
          </cell>
          <cell r="N500">
            <v>0</v>
          </cell>
          <cell r="O500">
            <v>0</v>
          </cell>
          <cell r="P500">
            <v>0</v>
          </cell>
          <cell r="Q500">
            <v>0</v>
          </cell>
        </row>
        <row r="501">
          <cell r="A501">
            <v>70108</v>
          </cell>
          <cell r="B501" t="str">
            <v>School Tuition</v>
          </cell>
          <cell r="E501">
            <v>0</v>
          </cell>
          <cell r="F501">
            <v>0</v>
          </cell>
          <cell r="G501">
            <v>0</v>
          </cell>
          <cell r="H501">
            <v>0</v>
          </cell>
          <cell r="I501">
            <v>0</v>
          </cell>
          <cell r="J501">
            <v>0</v>
          </cell>
          <cell r="K501">
            <v>0</v>
          </cell>
          <cell r="L501">
            <v>0</v>
          </cell>
          <cell r="M501">
            <v>0</v>
          </cell>
          <cell r="N501">
            <v>0</v>
          </cell>
          <cell r="O501">
            <v>0</v>
          </cell>
          <cell r="P501">
            <v>0</v>
          </cell>
          <cell r="Q501">
            <v>0</v>
          </cell>
        </row>
        <row r="502">
          <cell r="A502">
            <v>70110</v>
          </cell>
          <cell r="B502" t="str">
            <v>Contributions</v>
          </cell>
          <cell r="E502">
            <v>312.5</v>
          </cell>
          <cell r="F502">
            <v>5000</v>
          </cell>
          <cell r="G502">
            <v>0</v>
          </cell>
          <cell r="H502">
            <v>0</v>
          </cell>
          <cell r="I502">
            <v>0</v>
          </cell>
          <cell r="J502">
            <v>0</v>
          </cell>
          <cell r="K502">
            <v>1308.46</v>
          </cell>
          <cell r="L502">
            <v>0</v>
          </cell>
          <cell r="M502">
            <v>250</v>
          </cell>
          <cell r="N502">
            <v>0</v>
          </cell>
          <cell r="O502">
            <v>0</v>
          </cell>
          <cell r="P502">
            <v>0</v>
          </cell>
          <cell r="Q502">
            <v>6870.96</v>
          </cell>
        </row>
        <row r="503">
          <cell r="A503">
            <v>70111</v>
          </cell>
          <cell r="B503" t="str">
            <v>Non Cash Charitable</v>
          </cell>
          <cell r="E503">
            <v>0</v>
          </cell>
          <cell r="F503">
            <v>0</v>
          </cell>
          <cell r="G503">
            <v>0</v>
          </cell>
          <cell r="H503">
            <v>0</v>
          </cell>
          <cell r="I503">
            <v>0</v>
          </cell>
          <cell r="J503">
            <v>0</v>
          </cell>
          <cell r="K503">
            <v>0</v>
          </cell>
          <cell r="L503">
            <v>0</v>
          </cell>
          <cell r="M503">
            <v>0</v>
          </cell>
          <cell r="N503">
            <v>0</v>
          </cell>
          <cell r="O503">
            <v>0</v>
          </cell>
          <cell r="P503">
            <v>0</v>
          </cell>
          <cell r="Q503">
            <v>0</v>
          </cell>
        </row>
        <row r="504">
          <cell r="A504">
            <v>70112</v>
          </cell>
          <cell r="B504" t="str">
            <v>Political Contributions</v>
          </cell>
          <cell r="E504">
            <v>0</v>
          </cell>
          <cell r="F504">
            <v>0</v>
          </cell>
          <cell r="G504">
            <v>0</v>
          </cell>
          <cell r="H504">
            <v>0</v>
          </cell>
          <cell r="I504">
            <v>0</v>
          </cell>
          <cell r="J504">
            <v>0</v>
          </cell>
          <cell r="K504">
            <v>0</v>
          </cell>
          <cell r="L504">
            <v>0</v>
          </cell>
          <cell r="M504">
            <v>0</v>
          </cell>
          <cell r="N504">
            <v>0</v>
          </cell>
          <cell r="O504">
            <v>0</v>
          </cell>
          <cell r="P504">
            <v>0</v>
          </cell>
          <cell r="Q504">
            <v>0</v>
          </cell>
        </row>
        <row r="505">
          <cell r="A505">
            <v>70116</v>
          </cell>
          <cell r="B505" t="str">
            <v>Pension and Profit Sharing</v>
          </cell>
          <cell r="E505">
            <v>775.31</v>
          </cell>
          <cell r="F505">
            <v>784.92</v>
          </cell>
          <cell r="G505">
            <v>1191.3900000000001</v>
          </cell>
          <cell r="H505">
            <v>882.19</v>
          </cell>
          <cell r="I505">
            <v>848.69</v>
          </cell>
          <cell r="J505">
            <v>942.95</v>
          </cell>
          <cell r="K505">
            <v>949.67</v>
          </cell>
          <cell r="L505">
            <v>1042.08</v>
          </cell>
          <cell r="M505">
            <v>979.97</v>
          </cell>
          <cell r="N505">
            <v>1418.44</v>
          </cell>
          <cell r="O505">
            <v>969.88</v>
          </cell>
          <cell r="P505">
            <v>1066.9100000000001</v>
          </cell>
          <cell r="Q505">
            <v>11852.4</v>
          </cell>
        </row>
        <row r="506">
          <cell r="A506">
            <v>70117</v>
          </cell>
          <cell r="B506" t="str">
            <v>Union Pension</v>
          </cell>
          <cell r="E506">
            <v>0</v>
          </cell>
          <cell r="F506">
            <v>0</v>
          </cell>
          <cell r="G506">
            <v>0</v>
          </cell>
          <cell r="H506">
            <v>0</v>
          </cell>
          <cell r="I506">
            <v>0</v>
          </cell>
          <cell r="J506">
            <v>0</v>
          </cell>
          <cell r="K506">
            <v>0</v>
          </cell>
          <cell r="L506">
            <v>0</v>
          </cell>
          <cell r="M506">
            <v>0</v>
          </cell>
          <cell r="N506">
            <v>0</v>
          </cell>
          <cell r="O506">
            <v>0</v>
          </cell>
          <cell r="P506">
            <v>0</v>
          </cell>
          <cell r="Q506">
            <v>0</v>
          </cell>
        </row>
        <row r="507">
          <cell r="A507">
            <v>70142</v>
          </cell>
          <cell r="B507" t="str">
            <v>Fuel Expense</v>
          </cell>
          <cell r="E507">
            <v>0</v>
          </cell>
          <cell r="F507">
            <v>0</v>
          </cell>
          <cell r="G507">
            <v>0</v>
          </cell>
          <cell r="H507">
            <v>0</v>
          </cell>
          <cell r="I507">
            <v>0</v>
          </cell>
          <cell r="J507">
            <v>0</v>
          </cell>
          <cell r="K507">
            <v>0</v>
          </cell>
          <cell r="L507">
            <v>0</v>
          </cell>
          <cell r="M507">
            <v>0</v>
          </cell>
          <cell r="N507">
            <v>0</v>
          </cell>
          <cell r="O507">
            <v>0</v>
          </cell>
          <cell r="P507">
            <v>0</v>
          </cell>
          <cell r="Q507">
            <v>0</v>
          </cell>
        </row>
        <row r="508">
          <cell r="A508">
            <v>70145</v>
          </cell>
          <cell r="B508" t="str">
            <v>Outside Repairs</v>
          </cell>
          <cell r="E508">
            <v>0</v>
          </cell>
          <cell r="F508">
            <v>0</v>
          </cell>
          <cell r="G508">
            <v>0</v>
          </cell>
          <cell r="H508">
            <v>0</v>
          </cell>
          <cell r="I508">
            <v>0</v>
          </cell>
          <cell r="J508">
            <v>0</v>
          </cell>
          <cell r="K508">
            <v>0</v>
          </cell>
          <cell r="L508">
            <v>0</v>
          </cell>
          <cell r="M508">
            <v>0</v>
          </cell>
          <cell r="N508">
            <v>0</v>
          </cell>
          <cell r="O508">
            <v>0</v>
          </cell>
          <cell r="P508">
            <v>0</v>
          </cell>
          <cell r="Q508">
            <v>0</v>
          </cell>
        </row>
        <row r="509">
          <cell r="A509">
            <v>70147</v>
          </cell>
          <cell r="B509" t="str">
            <v>Bldg &amp; Property Maint</v>
          </cell>
          <cell r="E509">
            <v>0</v>
          </cell>
          <cell r="F509">
            <v>0</v>
          </cell>
          <cell r="G509">
            <v>0</v>
          </cell>
          <cell r="H509">
            <v>0</v>
          </cell>
          <cell r="I509">
            <v>0</v>
          </cell>
          <cell r="J509">
            <v>0</v>
          </cell>
          <cell r="K509">
            <v>0</v>
          </cell>
          <cell r="L509">
            <v>0</v>
          </cell>
          <cell r="M509">
            <v>0</v>
          </cell>
          <cell r="N509">
            <v>0</v>
          </cell>
          <cell r="O509">
            <v>0</v>
          </cell>
          <cell r="P509">
            <v>0</v>
          </cell>
          <cell r="Q509">
            <v>0</v>
          </cell>
        </row>
        <row r="510">
          <cell r="A510">
            <v>70148</v>
          </cell>
          <cell r="B510" t="str">
            <v>Allocated Exp In - District</v>
          </cell>
          <cell r="E510">
            <v>2932.61</v>
          </cell>
          <cell r="F510">
            <v>3215.3</v>
          </cell>
          <cell r="G510">
            <v>3962.99</v>
          </cell>
          <cell r="H510">
            <v>2924.73</v>
          </cell>
          <cell r="I510">
            <v>1275.23</v>
          </cell>
          <cell r="J510">
            <v>4265.58</v>
          </cell>
          <cell r="K510">
            <v>8940.42</v>
          </cell>
          <cell r="L510">
            <v>7247.4</v>
          </cell>
          <cell r="M510">
            <v>-383</v>
          </cell>
          <cell r="N510">
            <v>2709.33</v>
          </cell>
          <cell r="O510">
            <v>3459.2</v>
          </cell>
          <cell r="P510">
            <v>2793.15</v>
          </cell>
          <cell r="Q510">
            <v>43342.94</v>
          </cell>
        </row>
        <row r="511">
          <cell r="A511">
            <v>70150</v>
          </cell>
          <cell r="B511" t="str">
            <v>Utilities</v>
          </cell>
          <cell r="E511">
            <v>380.73</v>
          </cell>
          <cell r="F511">
            <v>364.13</v>
          </cell>
          <cell r="G511">
            <v>364.19</v>
          </cell>
          <cell r="H511">
            <v>352.07</v>
          </cell>
          <cell r="I511">
            <v>323.74</v>
          </cell>
          <cell r="J511">
            <v>309.05</v>
          </cell>
          <cell r="K511">
            <v>1116.01</v>
          </cell>
          <cell r="L511">
            <v>325.92</v>
          </cell>
          <cell r="M511">
            <v>289.63</v>
          </cell>
          <cell r="N511">
            <v>300.67</v>
          </cell>
          <cell r="O511">
            <v>324.64999999999998</v>
          </cell>
          <cell r="P511">
            <v>559.65</v>
          </cell>
          <cell r="Q511">
            <v>5010.4399999999996</v>
          </cell>
        </row>
        <row r="512">
          <cell r="A512">
            <v>70165</v>
          </cell>
          <cell r="B512" t="str">
            <v>Communications</v>
          </cell>
          <cell r="E512">
            <v>471.39</v>
          </cell>
          <cell r="F512">
            <v>299.95</v>
          </cell>
          <cell r="G512">
            <v>548.38</v>
          </cell>
          <cell r="H512">
            <v>403.25</v>
          </cell>
          <cell r="I512">
            <v>472.01</v>
          </cell>
          <cell r="J512">
            <v>532</v>
          </cell>
          <cell r="K512">
            <v>463.52</v>
          </cell>
          <cell r="L512">
            <v>1173.68</v>
          </cell>
          <cell r="M512">
            <v>539.39</v>
          </cell>
          <cell r="N512">
            <v>124.82</v>
          </cell>
          <cell r="O512">
            <v>370.1</v>
          </cell>
          <cell r="P512">
            <v>2409.2399999999998</v>
          </cell>
          <cell r="Q512">
            <v>7807.73</v>
          </cell>
        </row>
        <row r="513">
          <cell r="A513">
            <v>70166</v>
          </cell>
          <cell r="B513" t="str">
            <v>Office Telephone</v>
          </cell>
          <cell r="E513">
            <v>0</v>
          </cell>
          <cell r="F513">
            <v>0</v>
          </cell>
          <cell r="G513">
            <v>0</v>
          </cell>
          <cell r="H513">
            <v>0</v>
          </cell>
          <cell r="I513">
            <v>0</v>
          </cell>
          <cell r="J513">
            <v>0</v>
          </cell>
          <cell r="K513">
            <v>0</v>
          </cell>
          <cell r="L513">
            <v>0</v>
          </cell>
          <cell r="M513">
            <v>0</v>
          </cell>
          <cell r="N513">
            <v>0</v>
          </cell>
          <cell r="O513">
            <v>0</v>
          </cell>
          <cell r="P513">
            <v>0</v>
          </cell>
          <cell r="Q513">
            <v>0</v>
          </cell>
        </row>
        <row r="514">
          <cell r="A514">
            <v>70167</v>
          </cell>
          <cell r="B514" t="str">
            <v>Cellular Telephone</v>
          </cell>
          <cell r="E514">
            <v>18.989999999999998</v>
          </cell>
          <cell r="F514">
            <v>62.24</v>
          </cell>
          <cell r="G514">
            <v>118.47</v>
          </cell>
          <cell r="H514">
            <v>68.52</v>
          </cell>
          <cell r="I514">
            <v>56.02</v>
          </cell>
          <cell r="J514">
            <v>68.52</v>
          </cell>
          <cell r="K514">
            <v>118.98</v>
          </cell>
          <cell r="L514">
            <v>62.5</v>
          </cell>
          <cell r="M514">
            <v>25</v>
          </cell>
          <cell r="N514">
            <v>-73.709999999999994</v>
          </cell>
          <cell r="O514">
            <v>223.71</v>
          </cell>
          <cell r="P514">
            <v>50</v>
          </cell>
          <cell r="Q514">
            <v>799.24</v>
          </cell>
        </row>
        <row r="515">
          <cell r="A515">
            <v>70170</v>
          </cell>
          <cell r="B515" t="str">
            <v>Real Estate Rentals</v>
          </cell>
          <cell r="E515">
            <v>0</v>
          </cell>
          <cell r="F515">
            <v>0</v>
          </cell>
          <cell r="G515">
            <v>0</v>
          </cell>
          <cell r="H515">
            <v>0</v>
          </cell>
          <cell r="I515">
            <v>0</v>
          </cell>
          <cell r="J515">
            <v>0</v>
          </cell>
          <cell r="K515">
            <v>0</v>
          </cell>
          <cell r="L515">
            <v>0</v>
          </cell>
          <cell r="M515">
            <v>0</v>
          </cell>
          <cell r="N515">
            <v>0</v>
          </cell>
          <cell r="O515">
            <v>0</v>
          </cell>
          <cell r="P515">
            <v>3168.8</v>
          </cell>
          <cell r="Q515">
            <v>3168.8</v>
          </cell>
        </row>
        <row r="516">
          <cell r="A516">
            <v>70175</v>
          </cell>
          <cell r="B516" t="str">
            <v>Equip/Vehicle Rental</v>
          </cell>
          <cell r="E516">
            <v>0</v>
          </cell>
          <cell r="F516">
            <v>0</v>
          </cell>
          <cell r="G516">
            <v>0</v>
          </cell>
          <cell r="H516">
            <v>0</v>
          </cell>
          <cell r="I516">
            <v>0</v>
          </cell>
          <cell r="J516">
            <v>0</v>
          </cell>
          <cell r="K516">
            <v>0</v>
          </cell>
          <cell r="L516">
            <v>0</v>
          </cell>
          <cell r="M516">
            <v>0</v>
          </cell>
          <cell r="N516">
            <v>0</v>
          </cell>
          <cell r="O516">
            <v>0</v>
          </cell>
          <cell r="P516">
            <v>0</v>
          </cell>
          <cell r="Q516">
            <v>0</v>
          </cell>
        </row>
        <row r="517">
          <cell r="A517">
            <v>70185</v>
          </cell>
          <cell r="B517" t="str">
            <v>Postage</v>
          </cell>
          <cell r="E517">
            <v>554.46</v>
          </cell>
          <cell r="F517">
            <v>488.09</v>
          </cell>
          <cell r="G517">
            <v>167.53</v>
          </cell>
          <cell r="H517">
            <v>594.19000000000005</v>
          </cell>
          <cell r="I517">
            <v>578.76</v>
          </cell>
          <cell r="J517">
            <v>533.45000000000005</v>
          </cell>
          <cell r="K517">
            <v>916.47</v>
          </cell>
          <cell r="L517">
            <v>529.91</v>
          </cell>
          <cell r="M517">
            <v>533.41</v>
          </cell>
          <cell r="N517">
            <v>625</v>
          </cell>
          <cell r="O517">
            <v>547.6</v>
          </cell>
          <cell r="P517">
            <v>547.17999999999995</v>
          </cell>
          <cell r="Q517">
            <v>6616.05</v>
          </cell>
        </row>
        <row r="518">
          <cell r="A518">
            <v>70190</v>
          </cell>
          <cell r="B518" t="str">
            <v>Registration Fees</v>
          </cell>
          <cell r="E518">
            <v>0</v>
          </cell>
          <cell r="F518">
            <v>0</v>
          </cell>
          <cell r="G518">
            <v>0</v>
          </cell>
          <cell r="H518">
            <v>0</v>
          </cell>
          <cell r="I518">
            <v>0</v>
          </cell>
          <cell r="J518">
            <v>0</v>
          </cell>
          <cell r="K518">
            <v>0</v>
          </cell>
          <cell r="L518">
            <v>0</v>
          </cell>
          <cell r="M518">
            <v>0</v>
          </cell>
          <cell r="N518">
            <v>0</v>
          </cell>
          <cell r="O518">
            <v>0</v>
          </cell>
          <cell r="P518">
            <v>0</v>
          </cell>
          <cell r="Q518">
            <v>0</v>
          </cell>
        </row>
        <row r="519">
          <cell r="A519">
            <v>70195</v>
          </cell>
          <cell r="B519" t="str">
            <v>Dues and Subscriptions</v>
          </cell>
          <cell r="E519">
            <v>913</v>
          </cell>
          <cell r="F519">
            <v>1939.67</v>
          </cell>
          <cell r="G519">
            <v>663</v>
          </cell>
          <cell r="H519">
            <v>2175.4699999999998</v>
          </cell>
          <cell r="I519">
            <v>775.41</v>
          </cell>
          <cell r="J519">
            <v>1375.47</v>
          </cell>
          <cell r="K519">
            <v>833</v>
          </cell>
          <cell r="L519">
            <v>2029.58</v>
          </cell>
          <cell r="M519">
            <v>672.93</v>
          </cell>
          <cell r="N519">
            <v>1244.56</v>
          </cell>
          <cell r="O519">
            <v>2034.76</v>
          </cell>
          <cell r="P519">
            <v>974.76</v>
          </cell>
          <cell r="Q519">
            <v>15631.61</v>
          </cell>
        </row>
        <row r="520">
          <cell r="A520">
            <v>70196</v>
          </cell>
          <cell r="B520" t="str">
            <v>Club Dues</v>
          </cell>
          <cell r="E520">
            <v>0</v>
          </cell>
          <cell r="F520">
            <v>0</v>
          </cell>
          <cell r="G520">
            <v>0</v>
          </cell>
          <cell r="H520">
            <v>0</v>
          </cell>
          <cell r="I520">
            <v>0</v>
          </cell>
          <cell r="J520">
            <v>0</v>
          </cell>
          <cell r="K520">
            <v>0</v>
          </cell>
          <cell r="L520">
            <v>0</v>
          </cell>
          <cell r="M520">
            <v>0</v>
          </cell>
          <cell r="N520">
            <v>0</v>
          </cell>
          <cell r="O520">
            <v>0</v>
          </cell>
          <cell r="P520">
            <v>0</v>
          </cell>
          <cell r="Q520">
            <v>0</v>
          </cell>
        </row>
        <row r="521">
          <cell r="A521">
            <v>70200</v>
          </cell>
          <cell r="B521" t="str">
            <v>Travel</v>
          </cell>
          <cell r="E521">
            <v>284.18</v>
          </cell>
          <cell r="F521">
            <v>570.14</v>
          </cell>
          <cell r="G521">
            <v>-220.29</v>
          </cell>
          <cell r="H521">
            <v>1900</v>
          </cell>
          <cell r="I521">
            <v>-1665.7</v>
          </cell>
          <cell r="J521">
            <v>263.64999999999998</v>
          </cell>
          <cell r="K521">
            <v>203.4</v>
          </cell>
          <cell r="L521">
            <v>-15.5</v>
          </cell>
          <cell r="M521">
            <v>340.62</v>
          </cell>
          <cell r="N521">
            <v>348.94</v>
          </cell>
          <cell r="O521">
            <v>14.75</v>
          </cell>
          <cell r="P521">
            <v>68.2</v>
          </cell>
          <cell r="Q521">
            <v>2092.3899999999994</v>
          </cell>
        </row>
        <row r="522">
          <cell r="A522">
            <v>70201</v>
          </cell>
          <cell r="B522" t="str">
            <v>Entertainment</v>
          </cell>
          <cell r="E522">
            <v>0</v>
          </cell>
          <cell r="F522">
            <v>7.85</v>
          </cell>
          <cell r="G522">
            <v>137.01</v>
          </cell>
          <cell r="H522">
            <v>-29.88</v>
          </cell>
          <cell r="I522">
            <v>73.069999999999993</v>
          </cell>
          <cell r="J522">
            <v>428.59</v>
          </cell>
          <cell r="K522">
            <v>-290.98</v>
          </cell>
          <cell r="L522">
            <v>540.96</v>
          </cell>
          <cell r="M522">
            <v>-468.86</v>
          </cell>
          <cell r="N522">
            <v>13.96</v>
          </cell>
          <cell r="O522">
            <v>0</v>
          </cell>
          <cell r="P522">
            <v>0</v>
          </cell>
          <cell r="Q522">
            <v>411.71999999999997</v>
          </cell>
        </row>
        <row r="523">
          <cell r="A523">
            <v>70202</v>
          </cell>
          <cell r="B523" t="str">
            <v>Excursions Meetings</v>
          </cell>
          <cell r="E523">
            <v>0</v>
          </cell>
          <cell r="F523">
            <v>115.17</v>
          </cell>
          <cell r="G523">
            <v>0</v>
          </cell>
          <cell r="H523">
            <v>0</v>
          </cell>
          <cell r="I523">
            <v>0</v>
          </cell>
          <cell r="J523">
            <v>416.25</v>
          </cell>
          <cell r="K523">
            <v>0</v>
          </cell>
          <cell r="L523">
            <v>0</v>
          </cell>
          <cell r="M523">
            <v>0</v>
          </cell>
          <cell r="N523">
            <v>46.73</v>
          </cell>
          <cell r="O523">
            <v>-46.73</v>
          </cell>
          <cell r="P523">
            <v>0</v>
          </cell>
          <cell r="Q523">
            <v>531.41999999999996</v>
          </cell>
        </row>
        <row r="524">
          <cell r="A524">
            <v>70203</v>
          </cell>
          <cell r="B524" t="str">
            <v>Lodging</v>
          </cell>
          <cell r="E524">
            <v>-462.54</v>
          </cell>
          <cell r="F524">
            <v>0</v>
          </cell>
          <cell r="G524">
            <v>0</v>
          </cell>
          <cell r="H524">
            <v>326.7</v>
          </cell>
          <cell r="I524">
            <v>193</v>
          </cell>
          <cell r="J524">
            <v>436.86</v>
          </cell>
          <cell r="K524">
            <v>-170.97</v>
          </cell>
          <cell r="L524">
            <v>841.43</v>
          </cell>
          <cell r="M524">
            <v>127.5</v>
          </cell>
          <cell r="N524">
            <v>159.44</v>
          </cell>
          <cell r="O524">
            <v>-28.18</v>
          </cell>
          <cell r="P524">
            <v>171.48</v>
          </cell>
          <cell r="Q524">
            <v>1594.72</v>
          </cell>
        </row>
        <row r="525">
          <cell r="A525">
            <v>70204</v>
          </cell>
          <cell r="B525" t="str">
            <v>Gifts to Customers</v>
          </cell>
          <cell r="E525">
            <v>0</v>
          </cell>
          <cell r="F525">
            <v>0</v>
          </cell>
          <cell r="G525">
            <v>0</v>
          </cell>
          <cell r="H525">
            <v>0</v>
          </cell>
          <cell r="I525">
            <v>0</v>
          </cell>
          <cell r="J525">
            <v>0</v>
          </cell>
          <cell r="K525">
            <v>0</v>
          </cell>
          <cell r="L525">
            <v>0</v>
          </cell>
          <cell r="M525">
            <v>0</v>
          </cell>
          <cell r="N525">
            <v>0</v>
          </cell>
          <cell r="O525">
            <v>0</v>
          </cell>
          <cell r="P525">
            <v>0</v>
          </cell>
          <cell r="Q525">
            <v>0</v>
          </cell>
        </row>
        <row r="526">
          <cell r="A526">
            <v>70205</v>
          </cell>
          <cell r="B526" t="str">
            <v>Travel - Auto</v>
          </cell>
          <cell r="E526">
            <v>45.73</v>
          </cell>
          <cell r="F526">
            <v>-10.71</v>
          </cell>
          <cell r="G526">
            <v>526.05999999999995</v>
          </cell>
          <cell r="H526">
            <v>861.17</v>
          </cell>
          <cell r="I526">
            <v>156.44999999999999</v>
          </cell>
          <cell r="J526">
            <v>24.24</v>
          </cell>
          <cell r="K526">
            <v>2459.6</v>
          </cell>
          <cell r="L526">
            <v>-623.04</v>
          </cell>
          <cell r="M526">
            <v>1397.2</v>
          </cell>
          <cell r="N526">
            <v>-382.55</v>
          </cell>
          <cell r="O526">
            <v>-70.31</v>
          </cell>
          <cell r="P526">
            <v>-1079.19</v>
          </cell>
          <cell r="Q526">
            <v>3304.6499999999992</v>
          </cell>
        </row>
        <row r="527">
          <cell r="A527">
            <v>70206</v>
          </cell>
          <cell r="B527" t="str">
            <v>Meals</v>
          </cell>
          <cell r="E527">
            <v>-77.31</v>
          </cell>
          <cell r="F527">
            <v>17.46</v>
          </cell>
          <cell r="G527">
            <v>200.29</v>
          </cell>
          <cell r="H527">
            <v>-74.84</v>
          </cell>
          <cell r="I527">
            <v>191.59</v>
          </cell>
          <cell r="J527">
            <v>1.26</v>
          </cell>
          <cell r="K527">
            <v>-7.59</v>
          </cell>
          <cell r="L527">
            <v>350.62</v>
          </cell>
          <cell r="M527">
            <v>-21.04</v>
          </cell>
          <cell r="N527">
            <v>31.96</v>
          </cell>
          <cell r="O527">
            <v>562.61</v>
          </cell>
          <cell r="P527">
            <v>262.97000000000003</v>
          </cell>
          <cell r="Q527">
            <v>1437.9800000000002</v>
          </cell>
        </row>
        <row r="528">
          <cell r="A528">
            <v>70207</v>
          </cell>
          <cell r="B528" t="str">
            <v>Meals with Customers</v>
          </cell>
          <cell r="E528">
            <v>0</v>
          </cell>
          <cell r="F528">
            <v>0</v>
          </cell>
          <cell r="G528">
            <v>0</v>
          </cell>
          <cell r="H528">
            <v>0</v>
          </cell>
          <cell r="I528">
            <v>0</v>
          </cell>
          <cell r="J528">
            <v>0</v>
          </cell>
          <cell r="K528">
            <v>0</v>
          </cell>
          <cell r="L528">
            <v>0</v>
          </cell>
          <cell r="M528">
            <v>0</v>
          </cell>
          <cell r="N528">
            <v>0</v>
          </cell>
          <cell r="O528">
            <v>0</v>
          </cell>
          <cell r="P528">
            <v>0</v>
          </cell>
          <cell r="Q528">
            <v>0</v>
          </cell>
        </row>
        <row r="529">
          <cell r="A529">
            <v>70209</v>
          </cell>
          <cell r="B529" t="str">
            <v>Photo Supplies</v>
          </cell>
          <cell r="E529">
            <v>0</v>
          </cell>
          <cell r="F529">
            <v>0</v>
          </cell>
          <cell r="G529">
            <v>0</v>
          </cell>
          <cell r="H529">
            <v>0</v>
          </cell>
          <cell r="I529">
            <v>0</v>
          </cell>
          <cell r="J529">
            <v>0</v>
          </cell>
          <cell r="K529">
            <v>0</v>
          </cell>
          <cell r="L529">
            <v>0</v>
          </cell>
          <cell r="M529">
            <v>0</v>
          </cell>
          <cell r="N529">
            <v>0</v>
          </cell>
          <cell r="O529">
            <v>0</v>
          </cell>
          <cell r="P529">
            <v>0</v>
          </cell>
          <cell r="Q529">
            <v>0</v>
          </cell>
        </row>
        <row r="530">
          <cell r="A530">
            <v>70210</v>
          </cell>
          <cell r="B530" t="str">
            <v>Office Supplies and Equip</v>
          </cell>
          <cell r="E530">
            <v>5866.86</v>
          </cell>
          <cell r="F530">
            <v>2088.08</v>
          </cell>
          <cell r="G530">
            <v>1297.8399999999999</v>
          </cell>
          <cell r="H530">
            <v>1260.67</v>
          </cell>
          <cell r="I530">
            <v>1042.3699999999999</v>
          </cell>
          <cell r="J530">
            <v>1576.14</v>
          </cell>
          <cell r="K530">
            <v>1736.71</v>
          </cell>
          <cell r="L530">
            <v>1305.27</v>
          </cell>
          <cell r="M530">
            <v>1356.75</v>
          </cell>
          <cell r="N530">
            <v>4188.3100000000004</v>
          </cell>
          <cell r="O530">
            <v>352.32</v>
          </cell>
          <cell r="P530">
            <v>2617.98</v>
          </cell>
          <cell r="Q530">
            <v>24689.3</v>
          </cell>
        </row>
        <row r="531">
          <cell r="A531">
            <v>70213</v>
          </cell>
          <cell r="B531" t="str">
            <v>Pcard Rebate</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row>
        <row r="532">
          <cell r="A532">
            <v>70214</v>
          </cell>
          <cell r="B532" t="str">
            <v>Credit Card Fees</v>
          </cell>
          <cell r="E532">
            <v>2484.66</v>
          </cell>
          <cell r="F532">
            <v>2690.82</v>
          </cell>
          <cell r="G532">
            <v>2823.76</v>
          </cell>
          <cell r="H532">
            <v>2495.84</v>
          </cell>
          <cell r="I532">
            <v>2467.4499999999998</v>
          </cell>
          <cell r="J532">
            <v>2868.03</v>
          </cell>
          <cell r="K532">
            <v>2914.02</v>
          </cell>
          <cell r="L532">
            <v>3099.61</v>
          </cell>
          <cell r="M532">
            <v>3243.81</v>
          </cell>
          <cell r="N532">
            <v>129.69</v>
          </cell>
          <cell r="O532">
            <v>6329.67</v>
          </cell>
          <cell r="P532">
            <v>3002.76</v>
          </cell>
          <cell r="Q532">
            <v>34550.120000000003</v>
          </cell>
        </row>
        <row r="533">
          <cell r="A533">
            <v>70215</v>
          </cell>
          <cell r="B533" t="str">
            <v>Bank Charges</v>
          </cell>
          <cell r="E533">
            <v>146.88</v>
          </cell>
          <cell r="F533">
            <v>148.75</v>
          </cell>
          <cell r="G533">
            <v>150.41999999999999</v>
          </cell>
          <cell r="H533">
            <v>150.63</v>
          </cell>
          <cell r="I533">
            <v>131.56</v>
          </cell>
          <cell r="J533">
            <v>137.5</v>
          </cell>
          <cell r="K533">
            <v>0</v>
          </cell>
          <cell r="L533">
            <v>129.06</v>
          </cell>
          <cell r="M533">
            <v>133.75</v>
          </cell>
          <cell r="N533">
            <v>0</v>
          </cell>
          <cell r="O533">
            <v>264.07</v>
          </cell>
          <cell r="P533">
            <v>18.73</v>
          </cell>
          <cell r="Q533">
            <v>1411.35</v>
          </cell>
        </row>
        <row r="534">
          <cell r="A534">
            <v>70216</v>
          </cell>
          <cell r="B534" t="str">
            <v>Outside Storages</v>
          </cell>
          <cell r="E534">
            <v>0</v>
          </cell>
          <cell r="F534">
            <v>0</v>
          </cell>
          <cell r="G534">
            <v>0</v>
          </cell>
          <cell r="H534">
            <v>0</v>
          </cell>
          <cell r="I534">
            <v>0</v>
          </cell>
          <cell r="J534">
            <v>0</v>
          </cell>
          <cell r="K534">
            <v>0</v>
          </cell>
          <cell r="L534">
            <v>0</v>
          </cell>
          <cell r="M534">
            <v>0</v>
          </cell>
          <cell r="N534">
            <v>0</v>
          </cell>
          <cell r="O534">
            <v>0</v>
          </cell>
          <cell r="P534">
            <v>0</v>
          </cell>
          <cell r="Q534">
            <v>0</v>
          </cell>
        </row>
        <row r="535">
          <cell r="A535">
            <v>70217</v>
          </cell>
          <cell r="B535" t="str">
            <v>Invoice Printing Costs</v>
          </cell>
          <cell r="E535">
            <v>0</v>
          </cell>
          <cell r="F535">
            <v>0</v>
          </cell>
          <cell r="G535">
            <v>0</v>
          </cell>
          <cell r="H535">
            <v>0</v>
          </cell>
          <cell r="I535">
            <v>0</v>
          </cell>
          <cell r="J535">
            <v>0</v>
          </cell>
          <cell r="K535">
            <v>0</v>
          </cell>
          <cell r="L535">
            <v>0</v>
          </cell>
          <cell r="M535">
            <v>0</v>
          </cell>
          <cell r="N535">
            <v>0</v>
          </cell>
          <cell r="O535">
            <v>0</v>
          </cell>
          <cell r="P535">
            <v>0</v>
          </cell>
          <cell r="Q535">
            <v>0</v>
          </cell>
        </row>
        <row r="536">
          <cell r="A536">
            <v>70225</v>
          </cell>
          <cell r="B536" t="str">
            <v>Advertising and Promotions</v>
          </cell>
          <cell r="E536">
            <v>0</v>
          </cell>
          <cell r="F536">
            <v>473.41</v>
          </cell>
          <cell r="G536">
            <v>0</v>
          </cell>
          <cell r="H536">
            <v>10.55</v>
          </cell>
          <cell r="I536">
            <v>0</v>
          </cell>
          <cell r="J536">
            <v>0</v>
          </cell>
          <cell r="K536">
            <v>0</v>
          </cell>
          <cell r="L536">
            <v>0</v>
          </cell>
          <cell r="M536">
            <v>0</v>
          </cell>
          <cell r="N536">
            <v>0</v>
          </cell>
          <cell r="O536">
            <v>311.8</v>
          </cell>
          <cell r="P536">
            <v>0</v>
          </cell>
          <cell r="Q536">
            <v>795.76</v>
          </cell>
        </row>
        <row r="537">
          <cell r="A537">
            <v>70230</v>
          </cell>
          <cell r="B537" t="str">
            <v>External Recruiter Fees</v>
          </cell>
          <cell r="E537">
            <v>0</v>
          </cell>
          <cell r="F537">
            <v>0</v>
          </cell>
          <cell r="G537">
            <v>0</v>
          </cell>
          <cell r="H537">
            <v>0</v>
          </cell>
          <cell r="I537">
            <v>0</v>
          </cell>
          <cell r="J537">
            <v>0</v>
          </cell>
          <cell r="K537">
            <v>0</v>
          </cell>
          <cell r="L537">
            <v>0</v>
          </cell>
          <cell r="M537">
            <v>0</v>
          </cell>
          <cell r="N537">
            <v>0</v>
          </cell>
          <cell r="O537">
            <v>0</v>
          </cell>
          <cell r="P537">
            <v>0</v>
          </cell>
          <cell r="Q537">
            <v>0</v>
          </cell>
        </row>
        <row r="538">
          <cell r="A538">
            <v>70231</v>
          </cell>
          <cell r="B538" t="str">
            <v>Recruitment Advertising &amp; Expenses</v>
          </cell>
          <cell r="E538">
            <v>0</v>
          </cell>
          <cell r="F538">
            <v>0</v>
          </cell>
          <cell r="G538">
            <v>0</v>
          </cell>
          <cell r="H538">
            <v>0</v>
          </cell>
          <cell r="I538">
            <v>0</v>
          </cell>
          <cell r="J538">
            <v>0</v>
          </cell>
          <cell r="K538">
            <v>0</v>
          </cell>
          <cell r="L538">
            <v>0</v>
          </cell>
          <cell r="M538">
            <v>108.21</v>
          </cell>
          <cell r="N538">
            <v>0</v>
          </cell>
          <cell r="O538">
            <v>0</v>
          </cell>
          <cell r="P538">
            <v>0</v>
          </cell>
          <cell r="Q538">
            <v>108.21</v>
          </cell>
        </row>
        <row r="539">
          <cell r="A539">
            <v>70232</v>
          </cell>
          <cell r="B539" t="str">
            <v>Recruitment Travel Expenses</v>
          </cell>
          <cell r="E539">
            <v>0</v>
          </cell>
          <cell r="F539">
            <v>0</v>
          </cell>
          <cell r="G539">
            <v>0</v>
          </cell>
          <cell r="H539">
            <v>0</v>
          </cell>
          <cell r="I539">
            <v>0</v>
          </cell>
          <cell r="J539">
            <v>0</v>
          </cell>
          <cell r="K539">
            <v>0</v>
          </cell>
          <cell r="L539">
            <v>0</v>
          </cell>
          <cell r="M539">
            <v>0</v>
          </cell>
          <cell r="N539">
            <v>0</v>
          </cell>
          <cell r="O539">
            <v>0</v>
          </cell>
          <cell r="P539">
            <v>0</v>
          </cell>
          <cell r="Q539">
            <v>0</v>
          </cell>
        </row>
        <row r="540">
          <cell r="A540">
            <v>70235</v>
          </cell>
          <cell r="B540" t="str">
            <v>Legal</v>
          </cell>
          <cell r="E540">
            <v>2439.5700000000002</v>
          </cell>
          <cell r="F540">
            <v>2131.5700000000002</v>
          </cell>
          <cell r="G540">
            <v>3481.88</v>
          </cell>
          <cell r="H540">
            <v>-1738.5</v>
          </cell>
          <cell r="I540">
            <v>447.82</v>
          </cell>
          <cell r="J540">
            <v>9856.85</v>
          </cell>
          <cell r="K540">
            <v>1380.87</v>
          </cell>
          <cell r="L540">
            <v>9752.81</v>
          </cell>
          <cell r="M540">
            <v>14711.58</v>
          </cell>
          <cell r="N540">
            <v>-607.33000000000004</v>
          </cell>
          <cell r="O540">
            <v>1378.45</v>
          </cell>
          <cell r="P540">
            <v>10240.9</v>
          </cell>
          <cell r="Q540">
            <v>53476.47</v>
          </cell>
        </row>
        <row r="541">
          <cell r="A541">
            <v>70240</v>
          </cell>
          <cell r="B541" t="str">
            <v>Accounting Professional Fees</v>
          </cell>
          <cell r="E541">
            <v>0</v>
          </cell>
          <cell r="F541">
            <v>0</v>
          </cell>
          <cell r="G541">
            <v>0</v>
          </cell>
          <cell r="H541">
            <v>0</v>
          </cell>
          <cell r="I541">
            <v>0</v>
          </cell>
          <cell r="J541">
            <v>0</v>
          </cell>
          <cell r="K541">
            <v>0</v>
          </cell>
          <cell r="L541">
            <v>0</v>
          </cell>
          <cell r="M541">
            <v>0</v>
          </cell>
          <cell r="N541">
            <v>0</v>
          </cell>
          <cell r="O541">
            <v>0</v>
          </cell>
          <cell r="P541">
            <v>0</v>
          </cell>
          <cell r="Q541">
            <v>0</v>
          </cell>
        </row>
        <row r="542">
          <cell r="A542">
            <v>70245</v>
          </cell>
          <cell r="B542" t="str">
            <v>Payroll Processing Fees</v>
          </cell>
          <cell r="E542">
            <v>99.03</v>
          </cell>
          <cell r="F542">
            <v>97.9</v>
          </cell>
          <cell r="G542">
            <v>97.9</v>
          </cell>
          <cell r="H542">
            <v>97.9</v>
          </cell>
          <cell r="I542">
            <v>97.9</v>
          </cell>
          <cell r="J542">
            <v>97.9</v>
          </cell>
          <cell r="K542">
            <v>97.9</v>
          </cell>
          <cell r="L542">
            <v>80.55</v>
          </cell>
          <cell r="M542">
            <v>80.55</v>
          </cell>
          <cell r="N542">
            <v>80.55</v>
          </cell>
          <cell r="O542">
            <v>80.680000000000007</v>
          </cell>
          <cell r="P542">
            <v>80.680000000000007</v>
          </cell>
          <cell r="Q542">
            <v>1089.4399999999998</v>
          </cell>
        </row>
        <row r="543">
          <cell r="A543">
            <v>70250</v>
          </cell>
          <cell r="B543" t="str">
            <v>Acquisition Cost Write Off</v>
          </cell>
          <cell r="E543">
            <v>0</v>
          </cell>
          <cell r="F543">
            <v>0</v>
          </cell>
          <cell r="G543">
            <v>0</v>
          </cell>
          <cell r="H543">
            <v>0</v>
          </cell>
          <cell r="I543">
            <v>0</v>
          </cell>
          <cell r="J543">
            <v>0</v>
          </cell>
          <cell r="K543">
            <v>0</v>
          </cell>
          <cell r="L543">
            <v>0</v>
          </cell>
          <cell r="M543">
            <v>0</v>
          </cell>
          <cell r="N543">
            <v>0</v>
          </cell>
          <cell r="O543">
            <v>0</v>
          </cell>
          <cell r="P543">
            <v>0</v>
          </cell>
          <cell r="Q543">
            <v>0</v>
          </cell>
        </row>
        <row r="544">
          <cell r="A544">
            <v>70254</v>
          </cell>
          <cell r="B544" t="str">
            <v>Corporate Capitalized Expenses</v>
          </cell>
          <cell r="E544">
            <v>0</v>
          </cell>
          <cell r="F544">
            <v>0</v>
          </cell>
          <cell r="G544">
            <v>0</v>
          </cell>
          <cell r="H544">
            <v>0</v>
          </cell>
          <cell r="I544">
            <v>0</v>
          </cell>
          <cell r="J544">
            <v>0</v>
          </cell>
          <cell r="K544">
            <v>0</v>
          </cell>
          <cell r="L544">
            <v>0</v>
          </cell>
          <cell r="M544">
            <v>0</v>
          </cell>
          <cell r="N544">
            <v>0</v>
          </cell>
          <cell r="O544">
            <v>0</v>
          </cell>
          <cell r="P544">
            <v>0</v>
          </cell>
          <cell r="Q544">
            <v>0</v>
          </cell>
        </row>
        <row r="545">
          <cell r="A545">
            <v>70255</v>
          </cell>
          <cell r="B545" t="str">
            <v>Other Prof Fees</v>
          </cell>
          <cell r="E545">
            <v>0</v>
          </cell>
          <cell r="F545">
            <v>219.75</v>
          </cell>
          <cell r="G545">
            <v>56.21</v>
          </cell>
          <cell r="H545">
            <v>0</v>
          </cell>
          <cell r="I545">
            <v>0</v>
          </cell>
          <cell r="J545">
            <v>56.21</v>
          </cell>
          <cell r="K545">
            <v>0</v>
          </cell>
          <cell r="L545">
            <v>0</v>
          </cell>
          <cell r="M545">
            <v>56.21</v>
          </cell>
          <cell r="N545">
            <v>0</v>
          </cell>
          <cell r="O545">
            <v>-84.14</v>
          </cell>
          <cell r="P545">
            <v>482.7</v>
          </cell>
          <cell r="Q545">
            <v>786.93999999999994</v>
          </cell>
        </row>
        <row r="546">
          <cell r="A546">
            <v>70271</v>
          </cell>
          <cell r="B546" t="str">
            <v>Property and Liability Insurance</v>
          </cell>
          <cell r="E546">
            <v>0</v>
          </cell>
          <cell r="F546">
            <v>0</v>
          </cell>
          <cell r="G546">
            <v>0</v>
          </cell>
          <cell r="H546">
            <v>0</v>
          </cell>
          <cell r="I546">
            <v>0</v>
          </cell>
          <cell r="J546">
            <v>0</v>
          </cell>
          <cell r="K546">
            <v>0</v>
          </cell>
          <cell r="L546">
            <v>0</v>
          </cell>
          <cell r="M546">
            <v>0</v>
          </cell>
          <cell r="N546">
            <v>0</v>
          </cell>
          <cell r="O546">
            <v>0</v>
          </cell>
          <cell r="P546">
            <v>0</v>
          </cell>
          <cell r="Q546">
            <v>0</v>
          </cell>
        </row>
        <row r="547">
          <cell r="A547">
            <v>70272</v>
          </cell>
          <cell r="B547" t="str">
            <v>Keyman Life Insurance</v>
          </cell>
          <cell r="E547">
            <v>0</v>
          </cell>
          <cell r="F547">
            <v>0</v>
          </cell>
          <cell r="G547">
            <v>0</v>
          </cell>
          <cell r="H547">
            <v>0</v>
          </cell>
          <cell r="I547">
            <v>0</v>
          </cell>
          <cell r="J547">
            <v>0</v>
          </cell>
          <cell r="K547">
            <v>0</v>
          </cell>
          <cell r="L547">
            <v>0</v>
          </cell>
          <cell r="M547">
            <v>0</v>
          </cell>
          <cell r="N547">
            <v>0</v>
          </cell>
          <cell r="O547">
            <v>0</v>
          </cell>
          <cell r="P547">
            <v>0</v>
          </cell>
          <cell r="Q547">
            <v>0</v>
          </cell>
        </row>
        <row r="548">
          <cell r="A548">
            <v>70273</v>
          </cell>
          <cell r="B548" t="str">
            <v>Directors and Officers Insurance</v>
          </cell>
          <cell r="E548">
            <v>0</v>
          </cell>
          <cell r="F548">
            <v>0</v>
          </cell>
          <cell r="G548">
            <v>0</v>
          </cell>
          <cell r="H548">
            <v>0</v>
          </cell>
          <cell r="I548">
            <v>0</v>
          </cell>
          <cell r="J548">
            <v>0</v>
          </cell>
          <cell r="K548">
            <v>0</v>
          </cell>
          <cell r="L548">
            <v>0</v>
          </cell>
          <cell r="M548">
            <v>0</v>
          </cell>
          <cell r="N548">
            <v>0</v>
          </cell>
          <cell r="O548">
            <v>0</v>
          </cell>
          <cell r="P548">
            <v>0</v>
          </cell>
          <cell r="Q548">
            <v>0</v>
          </cell>
        </row>
        <row r="549">
          <cell r="A549">
            <v>70275</v>
          </cell>
          <cell r="B549" t="str">
            <v>Property Taxes</v>
          </cell>
          <cell r="E549">
            <v>1875</v>
          </cell>
          <cell r="F549">
            <v>1875</v>
          </cell>
          <cell r="G549">
            <v>2015.82</v>
          </cell>
          <cell r="H549">
            <v>2554.7800000000002</v>
          </cell>
          <cell r="I549">
            <v>2554.7800000000002</v>
          </cell>
          <cell r="J549">
            <v>2554.7800000000002</v>
          </cell>
          <cell r="K549">
            <v>3187.6</v>
          </cell>
          <cell r="L549">
            <v>2396.5700000000002</v>
          </cell>
          <cell r="M549">
            <v>2396.5700000000002</v>
          </cell>
          <cell r="N549">
            <v>2449.23</v>
          </cell>
          <cell r="O549">
            <v>2343.73</v>
          </cell>
          <cell r="P549">
            <v>2554.7199999999998</v>
          </cell>
          <cell r="Q549">
            <v>28758.58</v>
          </cell>
        </row>
        <row r="550">
          <cell r="A550">
            <v>70280</v>
          </cell>
          <cell r="B550" t="str">
            <v>Other Taxes</v>
          </cell>
          <cell r="E550">
            <v>0</v>
          </cell>
          <cell r="F550">
            <v>0</v>
          </cell>
          <cell r="G550">
            <v>0</v>
          </cell>
          <cell r="H550">
            <v>0</v>
          </cell>
          <cell r="I550">
            <v>0</v>
          </cell>
          <cell r="J550">
            <v>0</v>
          </cell>
          <cell r="K550">
            <v>0</v>
          </cell>
          <cell r="L550">
            <v>0</v>
          </cell>
          <cell r="M550">
            <v>0</v>
          </cell>
          <cell r="N550">
            <v>0</v>
          </cell>
          <cell r="O550">
            <v>0</v>
          </cell>
          <cell r="P550">
            <v>0</v>
          </cell>
          <cell r="Q550">
            <v>0</v>
          </cell>
        </row>
        <row r="551">
          <cell r="A551">
            <v>70300</v>
          </cell>
          <cell r="B551" t="str">
            <v>Data Processing</v>
          </cell>
          <cell r="E551">
            <v>24958.15</v>
          </cell>
          <cell r="F551">
            <v>2262.73</v>
          </cell>
          <cell r="G551">
            <v>16300.02</v>
          </cell>
          <cell r="H551">
            <v>2127.0700000000002</v>
          </cell>
          <cell r="I551">
            <v>33912.97</v>
          </cell>
          <cell r="J551">
            <v>1054.05</v>
          </cell>
          <cell r="K551">
            <v>22342.57</v>
          </cell>
          <cell r="L551">
            <v>2410.96</v>
          </cell>
          <cell r="M551">
            <v>22431</v>
          </cell>
          <cell r="N551">
            <v>1947.24</v>
          </cell>
          <cell r="O551">
            <v>21688.02</v>
          </cell>
          <cell r="P551">
            <v>-2059.87</v>
          </cell>
          <cell r="Q551">
            <v>149374.91</v>
          </cell>
        </row>
        <row r="552">
          <cell r="A552">
            <v>70301</v>
          </cell>
          <cell r="B552" t="str">
            <v>Computer Software</v>
          </cell>
          <cell r="E552">
            <v>0</v>
          </cell>
          <cell r="F552">
            <v>0</v>
          </cell>
          <cell r="G552">
            <v>0</v>
          </cell>
          <cell r="H552">
            <v>0</v>
          </cell>
          <cell r="I552">
            <v>0</v>
          </cell>
          <cell r="J552">
            <v>0</v>
          </cell>
          <cell r="K552">
            <v>0</v>
          </cell>
          <cell r="L552">
            <v>0</v>
          </cell>
          <cell r="M552">
            <v>0</v>
          </cell>
          <cell r="N552">
            <v>0</v>
          </cell>
          <cell r="O552">
            <v>0</v>
          </cell>
          <cell r="P552">
            <v>0</v>
          </cell>
          <cell r="Q552">
            <v>0</v>
          </cell>
        </row>
        <row r="553">
          <cell r="A553">
            <v>70302</v>
          </cell>
          <cell r="B553" t="str">
            <v>Computer Supplies</v>
          </cell>
          <cell r="E553">
            <v>0</v>
          </cell>
          <cell r="F553">
            <v>145.26</v>
          </cell>
          <cell r="G553">
            <v>231.28</v>
          </cell>
          <cell r="H553">
            <v>0</v>
          </cell>
          <cell r="I553">
            <v>0</v>
          </cell>
          <cell r="J553">
            <v>0</v>
          </cell>
          <cell r="K553">
            <v>0</v>
          </cell>
          <cell r="L553">
            <v>0</v>
          </cell>
          <cell r="M553">
            <v>0</v>
          </cell>
          <cell r="N553">
            <v>1365.11</v>
          </cell>
          <cell r="O553">
            <v>-1365.11</v>
          </cell>
          <cell r="P553">
            <v>187.29</v>
          </cell>
          <cell r="Q553">
            <v>563.82999999999993</v>
          </cell>
        </row>
        <row r="554">
          <cell r="A554">
            <v>70310</v>
          </cell>
          <cell r="B554" t="str">
            <v>Bad Debt Provision</v>
          </cell>
          <cell r="E554">
            <v>59587.53</v>
          </cell>
          <cell r="F554">
            <v>-42181.27</v>
          </cell>
          <cell r="G554">
            <v>26327.15</v>
          </cell>
          <cell r="H554">
            <v>-23518.21</v>
          </cell>
          <cell r="I554">
            <v>45403.42</v>
          </cell>
          <cell r="J554">
            <v>-30919.22</v>
          </cell>
          <cell r="K554">
            <v>58231.48</v>
          </cell>
          <cell r="L554">
            <v>-42566.26</v>
          </cell>
          <cell r="M554">
            <v>51551.54</v>
          </cell>
          <cell r="N554">
            <v>-30438.81</v>
          </cell>
          <cell r="O554">
            <v>61503.66</v>
          </cell>
          <cell r="P554">
            <v>-32663.45</v>
          </cell>
          <cell r="Q554">
            <v>100317.56000000001</v>
          </cell>
        </row>
        <row r="555">
          <cell r="A555">
            <v>70315</v>
          </cell>
          <cell r="B555" t="str">
            <v>Bad Debt Recoveries</v>
          </cell>
          <cell r="E555">
            <v>0</v>
          </cell>
          <cell r="F555">
            <v>0</v>
          </cell>
          <cell r="G555">
            <v>0</v>
          </cell>
          <cell r="H555">
            <v>0</v>
          </cell>
          <cell r="I555">
            <v>0</v>
          </cell>
          <cell r="J555">
            <v>0</v>
          </cell>
          <cell r="K555">
            <v>0</v>
          </cell>
          <cell r="L555">
            <v>0</v>
          </cell>
          <cell r="M555">
            <v>0</v>
          </cell>
          <cell r="N555">
            <v>0</v>
          </cell>
          <cell r="O555">
            <v>0</v>
          </cell>
          <cell r="P555">
            <v>0</v>
          </cell>
          <cell r="Q555">
            <v>0</v>
          </cell>
        </row>
        <row r="556">
          <cell r="A556">
            <v>70320</v>
          </cell>
          <cell r="B556" t="str">
            <v>Credit and Collection</v>
          </cell>
          <cell r="E556">
            <v>6202.09</v>
          </cell>
          <cell r="F556">
            <v>-976.61</v>
          </cell>
          <cell r="G556">
            <v>5260.16</v>
          </cell>
          <cell r="H556">
            <v>-803.96</v>
          </cell>
          <cell r="I556">
            <v>1871.95</v>
          </cell>
          <cell r="J556">
            <v>1067.25</v>
          </cell>
          <cell r="K556">
            <v>1589.22</v>
          </cell>
          <cell r="L556">
            <v>936.71</v>
          </cell>
          <cell r="M556">
            <v>1051.27</v>
          </cell>
          <cell r="N556">
            <v>482.15</v>
          </cell>
          <cell r="O556">
            <v>1946.37</v>
          </cell>
          <cell r="P556">
            <v>5166.42</v>
          </cell>
          <cell r="Q556">
            <v>23793.020000000004</v>
          </cell>
        </row>
        <row r="557">
          <cell r="A557">
            <v>70324</v>
          </cell>
          <cell r="B557" t="str">
            <v>Penalties and Violations</v>
          </cell>
          <cell r="E557">
            <v>0</v>
          </cell>
          <cell r="F557">
            <v>0</v>
          </cell>
          <cell r="G557">
            <v>0</v>
          </cell>
          <cell r="H557">
            <v>0</v>
          </cell>
          <cell r="I557">
            <v>0</v>
          </cell>
          <cell r="J557">
            <v>0</v>
          </cell>
          <cell r="K557">
            <v>0</v>
          </cell>
          <cell r="L557">
            <v>0</v>
          </cell>
          <cell r="M557">
            <v>0</v>
          </cell>
          <cell r="N557">
            <v>0</v>
          </cell>
          <cell r="O557">
            <v>0</v>
          </cell>
          <cell r="P557">
            <v>0</v>
          </cell>
          <cell r="Q557">
            <v>0</v>
          </cell>
        </row>
        <row r="558">
          <cell r="A558">
            <v>70325</v>
          </cell>
          <cell r="B558" t="str">
            <v>Legal Settlement Payments</v>
          </cell>
          <cell r="E558">
            <v>0</v>
          </cell>
          <cell r="F558">
            <v>0</v>
          </cell>
          <cell r="G558">
            <v>0</v>
          </cell>
          <cell r="H558">
            <v>0</v>
          </cell>
          <cell r="I558">
            <v>0</v>
          </cell>
          <cell r="J558">
            <v>0</v>
          </cell>
          <cell r="K558">
            <v>0</v>
          </cell>
          <cell r="L558">
            <v>0</v>
          </cell>
          <cell r="M558">
            <v>0</v>
          </cell>
          <cell r="N558">
            <v>0</v>
          </cell>
          <cell r="O558">
            <v>0</v>
          </cell>
          <cell r="P558">
            <v>0</v>
          </cell>
          <cell r="Q558">
            <v>0</v>
          </cell>
        </row>
        <row r="559">
          <cell r="A559">
            <v>70326</v>
          </cell>
          <cell r="B559" t="str">
            <v>Deductible Current Year</v>
          </cell>
          <cell r="E559">
            <v>0</v>
          </cell>
          <cell r="F559">
            <v>0</v>
          </cell>
          <cell r="G559">
            <v>0</v>
          </cell>
          <cell r="H559">
            <v>0</v>
          </cell>
          <cell r="I559">
            <v>0</v>
          </cell>
          <cell r="J559">
            <v>0</v>
          </cell>
          <cell r="K559">
            <v>0</v>
          </cell>
          <cell r="L559">
            <v>0</v>
          </cell>
          <cell r="M559">
            <v>0</v>
          </cell>
          <cell r="N559">
            <v>0</v>
          </cell>
          <cell r="O559">
            <v>0</v>
          </cell>
          <cell r="P559">
            <v>0</v>
          </cell>
          <cell r="Q559">
            <v>0</v>
          </cell>
        </row>
        <row r="560">
          <cell r="A560">
            <v>70327</v>
          </cell>
          <cell r="B560" t="str">
            <v>Deductible Dammage</v>
          </cell>
          <cell r="E560">
            <v>0</v>
          </cell>
          <cell r="F560">
            <v>0</v>
          </cell>
          <cell r="G560">
            <v>0</v>
          </cell>
          <cell r="H560">
            <v>0</v>
          </cell>
          <cell r="I560">
            <v>0</v>
          </cell>
          <cell r="J560">
            <v>0</v>
          </cell>
          <cell r="K560">
            <v>0</v>
          </cell>
          <cell r="L560">
            <v>0</v>
          </cell>
          <cell r="M560">
            <v>0</v>
          </cell>
          <cell r="N560">
            <v>0</v>
          </cell>
          <cell r="O560">
            <v>0</v>
          </cell>
          <cell r="P560">
            <v>0</v>
          </cell>
          <cell r="Q560">
            <v>0</v>
          </cell>
        </row>
        <row r="561">
          <cell r="A561">
            <v>70328</v>
          </cell>
          <cell r="B561" t="str">
            <v>Claim Recoveries</v>
          </cell>
          <cell r="E561">
            <v>0</v>
          </cell>
          <cell r="F561">
            <v>0</v>
          </cell>
          <cell r="G561">
            <v>0</v>
          </cell>
          <cell r="H561">
            <v>0</v>
          </cell>
          <cell r="I561">
            <v>0</v>
          </cell>
          <cell r="J561">
            <v>0</v>
          </cell>
          <cell r="K561">
            <v>0</v>
          </cell>
          <cell r="L561">
            <v>0</v>
          </cell>
          <cell r="M561">
            <v>0</v>
          </cell>
          <cell r="N561">
            <v>0</v>
          </cell>
          <cell r="O561">
            <v>0</v>
          </cell>
          <cell r="P561">
            <v>0</v>
          </cell>
          <cell r="Q561">
            <v>0</v>
          </cell>
        </row>
        <row r="562">
          <cell r="A562">
            <v>70330</v>
          </cell>
          <cell r="B562" t="str">
            <v>Deductible Prior Year</v>
          </cell>
          <cell r="E562">
            <v>0</v>
          </cell>
          <cell r="F562">
            <v>0</v>
          </cell>
          <cell r="G562">
            <v>0</v>
          </cell>
          <cell r="H562">
            <v>0</v>
          </cell>
          <cell r="I562">
            <v>0</v>
          </cell>
          <cell r="J562">
            <v>0</v>
          </cell>
          <cell r="K562">
            <v>0</v>
          </cell>
          <cell r="L562">
            <v>0</v>
          </cell>
          <cell r="M562">
            <v>0</v>
          </cell>
          <cell r="N562">
            <v>0</v>
          </cell>
          <cell r="O562">
            <v>0</v>
          </cell>
          <cell r="P562">
            <v>0</v>
          </cell>
          <cell r="Q562">
            <v>0</v>
          </cell>
        </row>
        <row r="563">
          <cell r="A563">
            <v>70335</v>
          </cell>
          <cell r="B563" t="str">
            <v>Miscellaneous</v>
          </cell>
          <cell r="E563">
            <v>0</v>
          </cell>
          <cell r="F563">
            <v>0</v>
          </cell>
          <cell r="G563">
            <v>0</v>
          </cell>
          <cell r="H563">
            <v>0</v>
          </cell>
          <cell r="I563">
            <v>0</v>
          </cell>
          <cell r="J563">
            <v>0</v>
          </cell>
          <cell r="K563">
            <v>0</v>
          </cell>
          <cell r="L563">
            <v>0</v>
          </cell>
          <cell r="M563">
            <v>0</v>
          </cell>
          <cell r="N563">
            <v>0</v>
          </cell>
          <cell r="O563">
            <v>0</v>
          </cell>
          <cell r="P563">
            <v>0</v>
          </cell>
          <cell r="Q563">
            <v>0</v>
          </cell>
        </row>
        <row r="564">
          <cell r="A564">
            <v>70336</v>
          </cell>
          <cell r="B564" t="str">
            <v>Coffe Bar</v>
          </cell>
          <cell r="E564">
            <v>0</v>
          </cell>
          <cell r="F564">
            <v>0</v>
          </cell>
          <cell r="G564">
            <v>0</v>
          </cell>
          <cell r="H564">
            <v>0</v>
          </cell>
          <cell r="I564">
            <v>0</v>
          </cell>
          <cell r="J564">
            <v>0</v>
          </cell>
          <cell r="K564">
            <v>0</v>
          </cell>
          <cell r="L564">
            <v>0</v>
          </cell>
          <cell r="M564">
            <v>0</v>
          </cell>
          <cell r="N564">
            <v>0</v>
          </cell>
          <cell r="O564">
            <v>0</v>
          </cell>
          <cell r="P564">
            <v>0</v>
          </cell>
          <cell r="Q564">
            <v>0</v>
          </cell>
        </row>
        <row r="565">
          <cell r="A565">
            <v>70345</v>
          </cell>
          <cell r="B565" t="str">
            <v>Security Services</v>
          </cell>
          <cell r="E565">
            <v>0</v>
          </cell>
          <cell r="F565">
            <v>0</v>
          </cell>
          <cell r="G565">
            <v>0</v>
          </cell>
          <cell r="H565">
            <v>0</v>
          </cell>
          <cell r="I565">
            <v>0</v>
          </cell>
          <cell r="J565">
            <v>0</v>
          </cell>
          <cell r="K565">
            <v>0</v>
          </cell>
          <cell r="L565">
            <v>0</v>
          </cell>
          <cell r="M565">
            <v>0</v>
          </cell>
          <cell r="N565">
            <v>0</v>
          </cell>
          <cell r="O565">
            <v>0</v>
          </cell>
          <cell r="P565">
            <v>0</v>
          </cell>
          <cell r="Q565">
            <v>0</v>
          </cell>
        </row>
        <row r="566">
          <cell r="A566">
            <v>70357</v>
          </cell>
          <cell r="B566" t="str">
            <v>Permits</v>
          </cell>
          <cell r="E566">
            <v>0</v>
          </cell>
          <cell r="F566">
            <v>0</v>
          </cell>
          <cell r="G566">
            <v>0</v>
          </cell>
          <cell r="H566">
            <v>0</v>
          </cell>
          <cell r="I566">
            <v>0</v>
          </cell>
          <cell r="J566">
            <v>0</v>
          </cell>
          <cell r="K566">
            <v>0</v>
          </cell>
          <cell r="L566">
            <v>0</v>
          </cell>
          <cell r="M566">
            <v>0</v>
          </cell>
          <cell r="N566">
            <v>0</v>
          </cell>
          <cell r="O566">
            <v>0</v>
          </cell>
          <cell r="P566">
            <v>0</v>
          </cell>
          <cell r="Q566">
            <v>0</v>
          </cell>
        </row>
        <row r="567">
          <cell r="A567">
            <v>70370</v>
          </cell>
          <cell r="B567" t="str">
            <v>Bonds Expense</v>
          </cell>
          <cell r="E567">
            <v>0</v>
          </cell>
          <cell r="F567">
            <v>0</v>
          </cell>
          <cell r="G567">
            <v>0</v>
          </cell>
          <cell r="H567">
            <v>0</v>
          </cell>
          <cell r="I567">
            <v>0</v>
          </cell>
          <cell r="J567">
            <v>0</v>
          </cell>
          <cell r="K567">
            <v>0</v>
          </cell>
          <cell r="L567">
            <v>0</v>
          </cell>
          <cell r="M567">
            <v>0</v>
          </cell>
          <cell r="N567">
            <v>0</v>
          </cell>
          <cell r="O567">
            <v>0</v>
          </cell>
          <cell r="P567">
            <v>0</v>
          </cell>
          <cell r="Q567">
            <v>0</v>
          </cell>
        </row>
        <row r="568">
          <cell r="A568">
            <v>70371</v>
          </cell>
          <cell r="B568" t="str">
            <v>Board of Directors Fees</v>
          </cell>
          <cell r="E568">
            <v>0</v>
          </cell>
          <cell r="F568">
            <v>0</v>
          </cell>
          <cell r="G568">
            <v>0</v>
          </cell>
          <cell r="H568">
            <v>0</v>
          </cell>
          <cell r="I568">
            <v>0</v>
          </cell>
          <cell r="J568">
            <v>0</v>
          </cell>
          <cell r="K568">
            <v>0</v>
          </cell>
          <cell r="L568">
            <v>0</v>
          </cell>
          <cell r="M568">
            <v>0</v>
          </cell>
          <cell r="N568">
            <v>0</v>
          </cell>
          <cell r="O568">
            <v>0</v>
          </cell>
          <cell r="P568">
            <v>0</v>
          </cell>
          <cell r="Q568">
            <v>0</v>
          </cell>
        </row>
        <row r="569">
          <cell r="A569">
            <v>70372</v>
          </cell>
          <cell r="B569" t="str">
            <v>Board of Directors Expense Report</v>
          </cell>
          <cell r="E569">
            <v>0</v>
          </cell>
          <cell r="F569">
            <v>0</v>
          </cell>
          <cell r="G569">
            <v>0</v>
          </cell>
          <cell r="H569">
            <v>0</v>
          </cell>
          <cell r="I569">
            <v>0</v>
          </cell>
          <cell r="J569">
            <v>0</v>
          </cell>
          <cell r="K569">
            <v>0</v>
          </cell>
          <cell r="L569">
            <v>0</v>
          </cell>
          <cell r="M569">
            <v>0</v>
          </cell>
          <cell r="N569">
            <v>0</v>
          </cell>
          <cell r="O569">
            <v>0</v>
          </cell>
          <cell r="P569">
            <v>0</v>
          </cell>
          <cell r="Q569">
            <v>0</v>
          </cell>
        </row>
        <row r="570">
          <cell r="A570">
            <v>70475</v>
          </cell>
          <cell r="B570" t="str">
            <v>Trade Shows</v>
          </cell>
          <cell r="E570">
            <v>0</v>
          </cell>
          <cell r="F570">
            <v>0</v>
          </cell>
          <cell r="G570">
            <v>0</v>
          </cell>
          <cell r="H570">
            <v>0</v>
          </cell>
          <cell r="I570">
            <v>0</v>
          </cell>
          <cell r="J570">
            <v>0</v>
          </cell>
          <cell r="K570">
            <v>0</v>
          </cell>
          <cell r="L570">
            <v>0</v>
          </cell>
          <cell r="M570">
            <v>0</v>
          </cell>
          <cell r="N570">
            <v>0</v>
          </cell>
          <cell r="O570">
            <v>0</v>
          </cell>
          <cell r="P570">
            <v>0</v>
          </cell>
          <cell r="Q570">
            <v>0</v>
          </cell>
        </row>
        <row r="571">
          <cell r="A571">
            <v>70900</v>
          </cell>
          <cell r="B571" t="str">
            <v>Entitiy Formation Costs</v>
          </cell>
          <cell r="E571">
            <v>0</v>
          </cell>
          <cell r="F571">
            <v>0</v>
          </cell>
          <cell r="G571">
            <v>0</v>
          </cell>
          <cell r="H571">
            <v>0</v>
          </cell>
          <cell r="I571">
            <v>0</v>
          </cell>
          <cell r="J571">
            <v>0</v>
          </cell>
          <cell r="K571">
            <v>0</v>
          </cell>
          <cell r="L571">
            <v>0</v>
          </cell>
          <cell r="M571">
            <v>0</v>
          </cell>
          <cell r="N571">
            <v>0</v>
          </cell>
          <cell r="O571">
            <v>0</v>
          </cell>
          <cell r="P571">
            <v>0</v>
          </cell>
          <cell r="Q571">
            <v>0</v>
          </cell>
        </row>
        <row r="572">
          <cell r="A572">
            <v>70998</v>
          </cell>
          <cell r="B572" t="str">
            <v>Allocation Out - District</v>
          </cell>
          <cell r="E572">
            <v>0</v>
          </cell>
          <cell r="F572">
            <v>0</v>
          </cell>
          <cell r="G572">
            <v>0</v>
          </cell>
          <cell r="H572">
            <v>0</v>
          </cell>
          <cell r="I572">
            <v>0</v>
          </cell>
          <cell r="J572">
            <v>0</v>
          </cell>
          <cell r="K572">
            <v>0</v>
          </cell>
          <cell r="L572">
            <v>0</v>
          </cell>
          <cell r="M572">
            <v>0</v>
          </cell>
          <cell r="N572">
            <v>0</v>
          </cell>
          <cell r="O572">
            <v>0</v>
          </cell>
          <cell r="P572">
            <v>0</v>
          </cell>
          <cell r="Q572">
            <v>0</v>
          </cell>
        </row>
        <row r="573">
          <cell r="A573">
            <v>70999</v>
          </cell>
          <cell r="B573" t="str">
            <v>Allocation Out - Out District</v>
          </cell>
          <cell r="E573">
            <v>0</v>
          </cell>
          <cell r="F573">
            <v>0</v>
          </cell>
          <cell r="G573">
            <v>0</v>
          </cell>
          <cell r="H573">
            <v>0</v>
          </cell>
          <cell r="I573">
            <v>0</v>
          </cell>
          <cell r="J573">
            <v>0</v>
          </cell>
          <cell r="K573">
            <v>0</v>
          </cell>
          <cell r="L573">
            <v>0</v>
          </cell>
          <cell r="M573">
            <v>0</v>
          </cell>
          <cell r="N573">
            <v>0</v>
          </cell>
          <cell r="O573">
            <v>0</v>
          </cell>
          <cell r="P573">
            <v>0</v>
          </cell>
          <cell r="Q573">
            <v>0</v>
          </cell>
        </row>
        <row r="574">
          <cell r="A574">
            <v>71000</v>
          </cell>
          <cell r="B574" t="str">
            <v>Stock Comp Expense</v>
          </cell>
          <cell r="E574">
            <v>0</v>
          </cell>
          <cell r="F574">
            <v>0</v>
          </cell>
          <cell r="G574">
            <v>0</v>
          </cell>
          <cell r="H574">
            <v>0</v>
          </cell>
          <cell r="I574">
            <v>0</v>
          </cell>
          <cell r="J574">
            <v>0</v>
          </cell>
          <cell r="K574">
            <v>0</v>
          </cell>
          <cell r="L574">
            <v>0</v>
          </cell>
          <cell r="M574">
            <v>0</v>
          </cell>
          <cell r="N574">
            <v>0</v>
          </cell>
          <cell r="O574">
            <v>0</v>
          </cell>
          <cell r="P574">
            <v>0</v>
          </cell>
          <cell r="Q574">
            <v>0</v>
          </cell>
        </row>
        <row r="575">
          <cell r="A575" t="str">
            <v>Total G&amp;A</v>
          </cell>
          <cell r="E575">
            <v>207906.74000000002</v>
          </cell>
          <cell r="F575">
            <v>66798.010000000024</v>
          </cell>
          <cell r="G575">
            <v>161263.80000000002</v>
          </cell>
          <cell r="H575">
            <v>86311.12999999999</v>
          </cell>
          <cell r="I575">
            <v>177403</v>
          </cell>
          <cell r="J575">
            <v>90607.349999999991</v>
          </cell>
          <cell r="K575">
            <v>198820.07000000004</v>
          </cell>
          <cell r="L575">
            <v>89006.530000000013</v>
          </cell>
          <cell r="M575">
            <v>188289.78000000003</v>
          </cell>
          <cell r="N575">
            <v>72891.83</v>
          </cell>
          <cell r="O575">
            <v>194697.06000000006</v>
          </cell>
          <cell r="P575">
            <v>96799.019999999931</v>
          </cell>
          <cell r="Q575">
            <v>1630794.3199999996</v>
          </cell>
        </row>
        <row r="577">
          <cell r="A577" t="str">
            <v>Overhead</v>
          </cell>
        </row>
        <row r="578">
          <cell r="A578">
            <v>70149</v>
          </cell>
          <cell r="B578" t="str">
            <v>Corporate Overhead Allocation In</v>
          </cell>
          <cell r="E578">
            <v>55340.22</v>
          </cell>
          <cell r="F578">
            <v>54315.21</v>
          </cell>
          <cell r="G578">
            <v>54439.91</v>
          </cell>
          <cell r="H578">
            <v>55653.47</v>
          </cell>
          <cell r="I578">
            <v>54826.44</v>
          </cell>
          <cell r="J578">
            <v>55802.53</v>
          </cell>
          <cell r="K578">
            <v>55353.69</v>
          </cell>
          <cell r="L578">
            <v>57179.64</v>
          </cell>
          <cell r="M578">
            <v>55296.08</v>
          </cell>
          <cell r="N578">
            <v>55281.99</v>
          </cell>
          <cell r="O578">
            <v>54995.29</v>
          </cell>
          <cell r="P578">
            <v>55389.94</v>
          </cell>
          <cell r="Q578">
            <v>663874.41000000015</v>
          </cell>
        </row>
        <row r="579">
          <cell r="A579">
            <v>70159</v>
          </cell>
          <cell r="B579" t="str">
            <v>Region Overhead Allocation In</v>
          </cell>
          <cell r="E579">
            <v>0</v>
          </cell>
          <cell r="F579">
            <v>0</v>
          </cell>
          <cell r="G579">
            <v>0</v>
          </cell>
          <cell r="H579">
            <v>0</v>
          </cell>
          <cell r="I579">
            <v>0</v>
          </cell>
          <cell r="J579">
            <v>0</v>
          </cell>
          <cell r="K579">
            <v>0</v>
          </cell>
          <cell r="L579">
            <v>0</v>
          </cell>
          <cell r="M579">
            <v>0</v>
          </cell>
          <cell r="N579">
            <v>0</v>
          </cell>
          <cell r="O579">
            <v>0</v>
          </cell>
          <cell r="P579">
            <v>0</v>
          </cell>
          <cell r="Q579">
            <v>0</v>
          </cell>
        </row>
        <row r="580">
          <cell r="A580" t="str">
            <v>Total Overhead</v>
          </cell>
          <cell r="E580">
            <v>55340.22</v>
          </cell>
          <cell r="F580">
            <v>54315.21</v>
          </cell>
          <cell r="G580">
            <v>54439.91</v>
          </cell>
          <cell r="H580">
            <v>55653.47</v>
          </cell>
          <cell r="I580">
            <v>54826.44</v>
          </cell>
          <cell r="J580">
            <v>55802.53</v>
          </cell>
          <cell r="K580">
            <v>55353.69</v>
          </cell>
          <cell r="L580">
            <v>57179.64</v>
          </cell>
          <cell r="M580">
            <v>55296.08</v>
          </cell>
          <cell r="N580">
            <v>55281.99</v>
          </cell>
          <cell r="O580">
            <v>54995.29</v>
          </cell>
          <cell r="P580">
            <v>55389.94</v>
          </cell>
          <cell r="Q580">
            <v>663874.41000000015</v>
          </cell>
        </row>
        <row r="582">
          <cell r="A582" t="str">
            <v>Total SG&amp;A</v>
          </cell>
          <cell r="E582">
            <v>263246.96000000002</v>
          </cell>
          <cell r="F582">
            <v>121113.22000000003</v>
          </cell>
          <cell r="G582">
            <v>215703.71000000002</v>
          </cell>
          <cell r="H582">
            <v>141964.59999999998</v>
          </cell>
          <cell r="I582">
            <v>232229.44</v>
          </cell>
          <cell r="J582">
            <v>146409.88</v>
          </cell>
          <cell r="K582">
            <v>254173.76000000004</v>
          </cell>
          <cell r="L582">
            <v>146186.17000000001</v>
          </cell>
          <cell r="M582">
            <v>243585.86000000004</v>
          </cell>
          <cell r="N582">
            <v>128173.82</v>
          </cell>
          <cell r="O582">
            <v>249692.35000000006</v>
          </cell>
          <cell r="P582">
            <v>155426.55999999994</v>
          </cell>
          <cell r="Q582">
            <v>2297906.3299999996</v>
          </cell>
        </row>
        <row r="584">
          <cell r="A584" t="str">
            <v>EBITDA</v>
          </cell>
          <cell r="E584">
            <v>20388.780000000086</v>
          </cell>
          <cell r="F584">
            <v>275898.64999999997</v>
          </cell>
          <cell r="G584">
            <v>77705.549999999872</v>
          </cell>
          <cell r="H584">
            <v>153218.83000000007</v>
          </cell>
          <cell r="I584">
            <v>139863.27999999974</v>
          </cell>
          <cell r="J584">
            <v>204338.71000000008</v>
          </cell>
          <cell r="K584">
            <v>93342.360000000015</v>
          </cell>
          <cell r="L584">
            <v>241833.84</v>
          </cell>
          <cell r="M584">
            <v>134242.65999999997</v>
          </cell>
          <cell r="N584">
            <v>254051.7099999999</v>
          </cell>
          <cell r="O584">
            <v>61738.860000000132</v>
          </cell>
          <cell r="P584">
            <v>151328.35999999987</v>
          </cell>
          <cell r="Q584">
            <v>1807951.5899999957</v>
          </cell>
        </row>
        <row r="586">
          <cell r="A586" t="str">
            <v>DD&amp;A</v>
          </cell>
        </row>
        <row r="587">
          <cell r="A587" t="str">
            <v>Depreciation</v>
          </cell>
        </row>
        <row r="588">
          <cell r="A588">
            <v>51260</v>
          </cell>
          <cell r="B588" t="str">
            <v>Depreciation</v>
          </cell>
          <cell r="E588">
            <v>49490.6</v>
          </cell>
          <cell r="F588">
            <v>49625.87</v>
          </cell>
          <cell r="G588">
            <v>49625.95</v>
          </cell>
          <cell r="H588">
            <v>49620.11</v>
          </cell>
          <cell r="I588">
            <v>49620.2</v>
          </cell>
          <cell r="J588">
            <v>48737.05</v>
          </cell>
          <cell r="K588">
            <v>48736.639999999999</v>
          </cell>
          <cell r="L588">
            <v>47681.86</v>
          </cell>
          <cell r="M588">
            <v>47682.18</v>
          </cell>
          <cell r="N588">
            <v>47681.87</v>
          </cell>
          <cell r="O588">
            <v>47328.05</v>
          </cell>
          <cell r="P588">
            <v>47849.53</v>
          </cell>
          <cell r="Q588">
            <v>583679.91</v>
          </cell>
        </row>
        <row r="589">
          <cell r="A589">
            <v>54260</v>
          </cell>
          <cell r="B589" t="str">
            <v>Depreciation</v>
          </cell>
          <cell r="E589">
            <v>11933.53</v>
          </cell>
          <cell r="F589">
            <v>11933.51</v>
          </cell>
          <cell r="G589">
            <v>11933.4</v>
          </cell>
          <cell r="H589">
            <v>11933.26</v>
          </cell>
          <cell r="I589">
            <v>11933.49</v>
          </cell>
          <cell r="J589">
            <v>11933.83</v>
          </cell>
          <cell r="K589">
            <v>11932.86</v>
          </cell>
          <cell r="L589">
            <v>11933.32</v>
          </cell>
          <cell r="M589">
            <v>11933.62</v>
          </cell>
          <cell r="N589">
            <v>11933.41</v>
          </cell>
          <cell r="O589">
            <v>11933.19</v>
          </cell>
          <cell r="P589">
            <v>11933.37</v>
          </cell>
          <cell r="Q589">
            <v>143200.79</v>
          </cell>
        </row>
        <row r="590">
          <cell r="A590">
            <v>56260</v>
          </cell>
          <cell r="B590" t="str">
            <v>Depreciation</v>
          </cell>
          <cell r="E590">
            <v>0</v>
          </cell>
          <cell r="F590">
            <v>0</v>
          </cell>
          <cell r="G590">
            <v>0</v>
          </cell>
          <cell r="H590">
            <v>0</v>
          </cell>
          <cell r="I590">
            <v>0</v>
          </cell>
          <cell r="J590">
            <v>0</v>
          </cell>
          <cell r="K590">
            <v>0</v>
          </cell>
          <cell r="L590">
            <v>0</v>
          </cell>
          <cell r="M590">
            <v>0</v>
          </cell>
          <cell r="N590">
            <v>0</v>
          </cell>
          <cell r="O590">
            <v>0</v>
          </cell>
          <cell r="P590">
            <v>0</v>
          </cell>
          <cell r="Q590">
            <v>0</v>
          </cell>
        </row>
        <row r="591">
          <cell r="A591">
            <v>57260</v>
          </cell>
          <cell r="B591" t="str">
            <v>Depreciation</v>
          </cell>
          <cell r="E591">
            <v>2414.64</v>
          </cell>
          <cell r="F591">
            <v>2414.6799999999998</v>
          </cell>
          <cell r="G591">
            <v>2414.64</v>
          </cell>
          <cell r="H591">
            <v>2441.84</v>
          </cell>
          <cell r="I591">
            <v>2441.87</v>
          </cell>
          <cell r="J591">
            <v>2441.86</v>
          </cell>
          <cell r="K591">
            <v>2441.83</v>
          </cell>
          <cell r="L591">
            <v>2503.59</v>
          </cell>
          <cell r="M591">
            <v>2503.59</v>
          </cell>
          <cell r="N591">
            <v>3307.76</v>
          </cell>
          <cell r="O591">
            <v>3318.13</v>
          </cell>
          <cell r="P591">
            <v>3312.93</v>
          </cell>
          <cell r="Q591">
            <v>31957.360000000004</v>
          </cell>
        </row>
        <row r="592">
          <cell r="A592">
            <v>60260</v>
          </cell>
          <cell r="B592" t="str">
            <v>Depreciation</v>
          </cell>
          <cell r="E592">
            <v>0</v>
          </cell>
          <cell r="F592">
            <v>0</v>
          </cell>
          <cell r="G592">
            <v>0</v>
          </cell>
          <cell r="H592">
            <v>0</v>
          </cell>
          <cell r="I592">
            <v>0</v>
          </cell>
          <cell r="J592">
            <v>0</v>
          </cell>
          <cell r="K592">
            <v>0</v>
          </cell>
          <cell r="L592">
            <v>0</v>
          </cell>
          <cell r="M592">
            <v>0</v>
          </cell>
          <cell r="N592">
            <v>0</v>
          </cell>
          <cell r="O592">
            <v>0</v>
          </cell>
          <cell r="P592">
            <v>0</v>
          </cell>
          <cell r="Q592">
            <v>0</v>
          </cell>
        </row>
        <row r="593">
          <cell r="A593">
            <v>70257</v>
          </cell>
          <cell r="B593" t="str">
            <v>Depreciation</v>
          </cell>
          <cell r="E593">
            <v>0</v>
          </cell>
          <cell r="F593">
            <v>0</v>
          </cell>
          <cell r="G593">
            <v>0</v>
          </cell>
          <cell r="H593">
            <v>0</v>
          </cell>
          <cell r="I593">
            <v>0</v>
          </cell>
          <cell r="J593">
            <v>0</v>
          </cell>
          <cell r="K593">
            <v>0</v>
          </cell>
          <cell r="L593">
            <v>0</v>
          </cell>
          <cell r="M593">
            <v>0</v>
          </cell>
          <cell r="N593">
            <v>0</v>
          </cell>
          <cell r="O593">
            <v>0</v>
          </cell>
          <cell r="P593">
            <v>0</v>
          </cell>
          <cell r="Q593">
            <v>0</v>
          </cell>
        </row>
        <row r="594">
          <cell r="A594">
            <v>70260</v>
          </cell>
          <cell r="B594" t="str">
            <v>Depreciation</v>
          </cell>
          <cell r="E594">
            <v>1532.42</v>
          </cell>
          <cell r="F594">
            <v>1532.4</v>
          </cell>
          <cell r="G594">
            <v>1532.42</v>
          </cell>
          <cell r="H594">
            <v>1459.5</v>
          </cell>
          <cell r="I594">
            <v>1459.49</v>
          </cell>
          <cell r="J594">
            <v>1422.66</v>
          </cell>
          <cell r="K594">
            <v>1422.61</v>
          </cell>
          <cell r="L594">
            <v>1422.6</v>
          </cell>
          <cell r="M594">
            <v>1422.64</v>
          </cell>
          <cell r="N594">
            <v>1422.61</v>
          </cell>
          <cell r="O594">
            <v>1422.62</v>
          </cell>
          <cell r="P594">
            <v>1595.38</v>
          </cell>
          <cell r="Q594">
            <v>17647.350000000002</v>
          </cell>
        </row>
        <row r="595">
          <cell r="A595" t="str">
            <v>Total Depreciation</v>
          </cell>
          <cell r="E595">
            <v>65371.189999999995</v>
          </cell>
          <cell r="F595">
            <v>65506.460000000006</v>
          </cell>
          <cell r="G595">
            <v>65506.409999999996</v>
          </cell>
          <cell r="H595">
            <v>65454.710000000006</v>
          </cell>
          <cell r="I595">
            <v>65455.049999999996</v>
          </cell>
          <cell r="J595">
            <v>64535.400000000009</v>
          </cell>
          <cell r="K595">
            <v>64533.94</v>
          </cell>
          <cell r="L595">
            <v>63541.37</v>
          </cell>
          <cell r="M595">
            <v>63542.03</v>
          </cell>
          <cell r="N595">
            <v>64345.65</v>
          </cell>
          <cell r="O595">
            <v>64001.990000000005</v>
          </cell>
          <cell r="P595">
            <v>64691.21</v>
          </cell>
          <cell r="Q595">
            <v>776485.41</v>
          </cell>
        </row>
        <row r="597">
          <cell r="A597" t="str">
            <v>Depletion</v>
          </cell>
        </row>
        <row r="598">
          <cell r="A598">
            <v>46000</v>
          </cell>
          <cell r="B598" t="str">
            <v>Depletion</v>
          </cell>
          <cell r="E598">
            <v>0</v>
          </cell>
          <cell r="F598">
            <v>0</v>
          </cell>
          <cell r="G598">
            <v>0</v>
          </cell>
          <cell r="H598">
            <v>0</v>
          </cell>
          <cell r="I598">
            <v>0</v>
          </cell>
          <cell r="J598">
            <v>0</v>
          </cell>
          <cell r="K598">
            <v>0</v>
          </cell>
          <cell r="L598">
            <v>0</v>
          </cell>
          <cell r="M598">
            <v>0</v>
          </cell>
          <cell r="N598">
            <v>0</v>
          </cell>
          <cell r="O598">
            <v>0</v>
          </cell>
          <cell r="P598">
            <v>0</v>
          </cell>
          <cell r="Q598">
            <v>0</v>
          </cell>
        </row>
        <row r="599">
          <cell r="A599">
            <v>46010</v>
          </cell>
          <cell r="B599" t="str">
            <v>Closure Amortization</v>
          </cell>
          <cell r="E599">
            <v>0</v>
          </cell>
          <cell r="F599">
            <v>0</v>
          </cell>
          <cell r="G599">
            <v>0</v>
          </cell>
          <cell r="H599">
            <v>0</v>
          </cell>
          <cell r="I599">
            <v>0</v>
          </cell>
          <cell r="J599">
            <v>0</v>
          </cell>
          <cell r="K599">
            <v>0</v>
          </cell>
          <cell r="L599">
            <v>0</v>
          </cell>
          <cell r="M599">
            <v>0</v>
          </cell>
          <cell r="N599">
            <v>0</v>
          </cell>
          <cell r="O599">
            <v>0</v>
          </cell>
          <cell r="P599">
            <v>0</v>
          </cell>
          <cell r="Q599">
            <v>0</v>
          </cell>
        </row>
        <row r="600">
          <cell r="A600">
            <v>57261</v>
          </cell>
          <cell r="B600" t="str">
            <v>Airspace Amortization</v>
          </cell>
          <cell r="E600">
            <v>0</v>
          </cell>
          <cell r="F600">
            <v>0</v>
          </cell>
          <cell r="G600">
            <v>0</v>
          </cell>
          <cell r="H600">
            <v>0</v>
          </cell>
          <cell r="I600">
            <v>0</v>
          </cell>
          <cell r="J600">
            <v>0</v>
          </cell>
          <cell r="K600">
            <v>0</v>
          </cell>
          <cell r="L600">
            <v>0</v>
          </cell>
          <cell r="M600">
            <v>0</v>
          </cell>
          <cell r="N600">
            <v>0</v>
          </cell>
          <cell r="O600">
            <v>0</v>
          </cell>
          <cell r="P600">
            <v>0</v>
          </cell>
          <cell r="Q600">
            <v>0</v>
          </cell>
        </row>
        <row r="601">
          <cell r="A601" t="str">
            <v>Total Depletion</v>
          </cell>
          <cell r="E601">
            <v>0</v>
          </cell>
          <cell r="F601">
            <v>0</v>
          </cell>
          <cell r="G601">
            <v>0</v>
          </cell>
          <cell r="H601">
            <v>0</v>
          </cell>
          <cell r="I601">
            <v>0</v>
          </cell>
          <cell r="J601">
            <v>0</v>
          </cell>
          <cell r="K601">
            <v>0</v>
          </cell>
          <cell r="L601">
            <v>0</v>
          </cell>
          <cell r="M601">
            <v>0</v>
          </cell>
          <cell r="N601">
            <v>0</v>
          </cell>
          <cell r="O601">
            <v>0</v>
          </cell>
          <cell r="P601">
            <v>0</v>
          </cell>
          <cell r="Q601">
            <v>0</v>
          </cell>
        </row>
        <row r="603">
          <cell r="A603" t="str">
            <v>Amortization</v>
          </cell>
        </row>
        <row r="604">
          <cell r="A604">
            <v>70264</v>
          </cell>
          <cell r="B604" t="str">
            <v>Amortization</v>
          </cell>
          <cell r="E604">
            <v>0</v>
          </cell>
          <cell r="F604">
            <v>0</v>
          </cell>
          <cell r="G604">
            <v>0</v>
          </cell>
          <cell r="H604">
            <v>0</v>
          </cell>
          <cell r="I604">
            <v>0</v>
          </cell>
          <cell r="J604">
            <v>0</v>
          </cell>
          <cell r="K604">
            <v>0</v>
          </cell>
          <cell r="L604">
            <v>0</v>
          </cell>
          <cell r="M604">
            <v>0</v>
          </cell>
          <cell r="N604">
            <v>0</v>
          </cell>
          <cell r="O604">
            <v>0</v>
          </cell>
          <cell r="P604">
            <v>0</v>
          </cell>
          <cell r="Q604">
            <v>0</v>
          </cell>
        </row>
        <row r="605">
          <cell r="A605">
            <v>70266</v>
          </cell>
          <cell r="B605" t="str">
            <v>Cov. Not to Compete</v>
          </cell>
          <cell r="E605">
            <v>0</v>
          </cell>
          <cell r="F605">
            <v>0</v>
          </cell>
          <cell r="G605">
            <v>0</v>
          </cell>
          <cell r="H605">
            <v>0</v>
          </cell>
          <cell r="I605">
            <v>0</v>
          </cell>
          <cell r="J605">
            <v>0</v>
          </cell>
          <cell r="K605">
            <v>0</v>
          </cell>
          <cell r="L605">
            <v>0</v>
          </cell>
          <cell r="M605">
            <v>0</v>
          </cell>
          <cell r="N605">
            <v>0</v>
          </cell>
          <cell r="O605">
            <v>0</v>
          </cell>
          <cell r="P605">
            <v>0</v>
          </cell>
          <cell r="Q605">
            <v>0</v>
          </cell>
        </row>
        <row r="606">
          <cell r="A606">
            <v>70267</v>
          </cell>
          <cell r="B606" t="str">
            <v>Amortization of Goodwill - Taxable</v>
          </cell>
          <cell r="E606">
            <v>0</v>
          </cell>
          <cell r="F606">
            <v>0</v>
          </cell>
          <cell r="G606">
            <v>0</v>
          </cell>
          <cell r="H606">
            <v>0</v>
          </cell>
          <cell r="I606">
            <v>0</v>
          </cell>
          <cell r="J606">
            <v>0</v>
          </cell>
          <cell r="K606">
            <v>0</v>
          </cell>
          <cell r="L606">
            <v>0</v>
          </cell>
          <cell r="M606">
            <v>0</v>
          </cell>
          <cell r="N606">
            <v>0</v>
          </cell>
          <cell r="O606">
            <v>0</v>
          </cell>
          <cell r="P606">
            <v>0</v>
          </cell>
          <cell r="Q606">
            <v>0</v>
          </cell>
        </row>
        <row r="607">
          <cell r="A607">
            <v>70268</v>
          </cell>
          <cell r="B607" t="str">
            <v>Amortization of Goodwill - Non-Taxable</v>
          </cell>
          <cell r="E607">
            <v>0</v>
          </cell>
          <cell r="F607">
            <v>0</v>
          </cell>
          <cell r="G607">
            <v>0</v>
          </cell>
          <cell r="H607">
            <v>0</v>
          </cell>
          <cell r="I607">
            <v>0</v>
          </cell>
          <cell r="J607">
            <v>0</v>
          </cell>
          <cell r="K607">
            <v>0</v>
          </cell>
          <cell r="L607">
            <v>0</v>
          </cell>
          <cell r="M607">
            <v>0</v>
          </cell>
          <cell r="N607">
            <v>0</v>
          </cell>
          <cell r="O607">
            <v>0</v>
          </cell>
          <cell r="P607">
            <v>0</v>
          </cell>
          <cell r="Q607">
            <v>0</v>
          </cell>
        </row>
        <row r="608">
          <cell r="A608">
            <v>70269</v>
          </cell>
          <cell r="B608" t="str">
            <v>Long Term Contract Amort</v>
          </cell>
          <cell r="E608">
            <v>0</v>
          </cell>
          <cell r="F608">
            <v>0</v>
          </cell>
          <cell r="G608">
            <v>0</v>
          </cell>
          <cell r="H608">
            <v>0</v>
          </cell>
          <cell r="I608">
            <v>0</v>
          </cell>
          <cell r="J608">
            <v>0</v>
          </cell>
          <cell r="K608">
            <v>0</v>
          </cell>
          <cell r="L608">
            <v>0</v>
          </cell>
          <cell r="M608">
            <v>0</v>
          </cell>
          <cell r="N608">
            <v>0</v>
          </cell>
          <cell r="O608">
            <v>0</v>
          </cell>
          <cell r="P608">
            <v>0</v>
          </cell>
          <cell r="Q608">
            <v>0</v>
          </cell>
        </row>
        <row r="609">
          <cell r="A609" t="str">
            <v>Total Amortization</v>
          </cell>
          <cell r="E609">
            <v>0</v>
          </cell>
          <cell r="F609">
            <v>0</v>
          </cell>
          <cell r="G609">
            <v>0</v>
          </cell>
          <cell r="H609">
            <v>0</v>
          </cell>
          <cell r="I609">
            <v>0</v>
          </cell>
          <cell r="J609">
            <v>0</v>
          </cell>
          <cell r="K609">
            <v>0</v>
          </cell>
          <cell r="L609">
            <v>0</v>
          </cell>
          <cell r="M609">
            <v>0</v>
          </cell>
          <cell r="N609">
            <v>0</v>
          </cell>
          <cell r="O609">
            <v>0</v>
          </cell>
          <cell r="P609">
            <v>0</v>
          </cell>
          <cell r="Q609">
            <v>0</v>
          </cell>
        </row>
        <row r="611">
          <cell r="A611" t="str">
            <v>Total DDA</v>
          </cell>
          <cell r="E611">
            <v>65371.189999999995</v>
          </cell>
          <cell r="F611">
            <v>65506.460000000006</v>
          </cell>
          <cell r="G611">
            <v>65506.409999999996</v>
          </cell>
          <cell r="H611">
            <v>65454.710000000006</v>
          </cell>
          <cell r="I611">
            <v>65455.049999999996</v>
          </cell>
          <cell r="J611">
            <v>64535.400000000009</v>
          </cell>
          <cell r="K611">
            <v>64533.94</v>
          </cell>
          <cell r="L611">
            <v>63541.37</v>
          </cell>
          <cell r="M611">
            <v>63542.03</v>
          </cell>
          <cell r="N611">
            <v>64345.65</v>
          </cell>
          <cell r="O611">
            <v>64001.990000000005</v>
          </cell>
          <cell r="P611">
            <v>64691.21</v>
          </cell>
          <cell r="Q611">
            <v>776485.41</v>
          </cell>
        </row>
        <row r="613">
          <cell r="A613" t="str">
            <v>EBIT</v>
          </cell>
          <cell r="E613">
            <v>-44982.409999999909</v>
          </cell>
          <cell r="F613">
            <v>210392.18999999994</v>
          </cell>
          <cell r="G613">
            <v>12199.139999999876</v>
          </cell>
          <cell r="H613">
            <v>87764.120000000068</v>
          </cell>
          <cell r="I613">
            <v>74408.229999999749</v>
          </cell>
          <cell r="J613">
            <v>139803.31000000006</v>
          </cell>
          <cell r="K613">
            <v>28808.420000000013</v>
          </cell>
          <cell r="L613">
            <v>178292.47</v>
          </cell>
          <cell r="M613">
            <v>70700.629999999976</v>
          </cell>
          <cell r="N613">
            <v>189706.05999999991</v>
          </cell>
          <cell r="O613">
            <v>-2263.1299999998737</v>
          </cell>
          <cell r="P613">
            <v>86637.149999999878</v>
          </cell>
          <cell r="Q613">
            <v>1031466.1799999956</v>
          </cell>
        </row>
        <row r="615">
          <cell r="A615" t="str">
            <v>Interest Expense</v>
          </cell>
        </row>
        <row r="616">
          <cell r="A616">
            <v>80000</v>
          </cell>
          <cell r="B616" t="str">
            <v>Interest Expense</v>
          </cell>
          <cell r="E616">
            <v>0</v>
          </cell>
          <cell r="F616">
            <v>0</v>
          </cell>
          <cell r="G616">
            <v>0</v>
          </cell>
          <cell r="H616">
            <v>0</v>
          </cell>
          <cell r="I616">
            <v>0</v>
          </cell>
          <cell r="J616">
            <v>0</v>
          </cell>
          <cell r="K616">
            <v>0</v>
          </cell>
          <cell r="L616">
            <v>0</v>
          </cell>
          <cell r="M616">
            <v>0</v>
          </cell>
          <cell r="N616">
            <v>0</v>
          </cell>
          <cell r="O616">
            <v>0</v>
          </cell>
          <cell r="P616">
            <v>0</v>
          </cell>
          <cell r="Q616">
            <v>0</v>
          </cell>
        </row>
        <row r="617">
          <cell r="A617">
            <v>80001</v>
          </cell>
          <cell r="B617" t="str">
            <v>Debt Accretion</v>
          </cell>
          <cell r="E617">
            <v>0</v>
          </cell>
          <cell r="F617">
            <v>0</v>
          </cell>
          <cell r="G617">
            <v>0</v>
          </cell>
          <cell r="H617">
            <v>0</v>
          </cell>
          <cell r="I617">
            <v>0</v>
          </cell>
          <cell r="J617">
            <v>0</v>
          </cell>
          <cell r="K617">
            <v>0</v>
          </cell>
          <cell r="L617">
            <v>0</v>
          </cell>
          <cell r="M617">
            <v>0</v>
          </cell>
          <cell r="N617">
            <v>0</v>
          </cell>
          <cell r="O617">
            <v>0</v>
          </cell>
          <cell r="P617">
            <v>0</v>
          </cell>
          <cell r="Q617">
            <v>0</v>
          </cell>
        </row>
        <row r="618">
          <cell r="A618">
            <v>80009</v>
          </cell>
          <cell r="B618" t="str">
            <v>Capitalized Interest</v>
          </cell>
          <cell r="E618">
            <v>0</v>
          </cell>
          <cell r="F618">
            <v>0</v>
          </cell>
          <cell r="G618">
            <v>0</v>
          </cell>
          <cell r="H618">
            <v>0</v>
          </cell>
          <cell r="I618">
            <v>0</v>
          </cell>
          <cell r="J618">
            <v>0</v>
          </cell>
          <cell r="K618">
            <v>0</v>
          </cell>
          <cell r="L618">
            <v>0</v>
          </cell>
          <cell r="M618">
            <v>0</v>
          </cell>
          <cell r="N618">
            <v>0</v>
          </cell>
          <cell r="O618">
            <v>0</v>
          </cell>
          <cell r="P618">
            <v>0</v>
          </cell>
          <cell r="Q618">
            <v>0</v>
          </cell>
        </row>
        <row r="619">
          <cell r="A619">
            <v>80099</v>
          </cell>
          <cell r="B619" t="str">
            <v>Interest Allocation</v>
          </cell>
          <cell r="E619">
            <v>0</v>
          </cell>
          <cell r="F619">
            <v>0</v>
          </cell>
          <cell r="G619">
            <v>0</v>
          </cell>
          <cell r="H619">
            <v>0</v>
          </cell>
          <cell r="I619">
            <v>0</v>
          </cell>
          <cell r="J619">
            <v>0</v>
          </cell>
          <cell r="K619">
            <v>0</v>
          </cell>
          <cell r="L619">
            <v>0</v>
          </cell>
          <cell r="M619">
            <v>0</v>
          </cell>
          <cell r="N619">
            <v>0</v>
          </cell>
          <cell r="O619">
            <v>0</v>
          </cell>
          <cell r="P619">
            <v>0</v>
          </cell>
          <cell r="Q619">
            <v>0</v>
          </cell>
        </row>
        <row r="620">
          <cell r="A620" t="str">
            <v>Total Interest Expense</v>
          </cell>
          <cell r="E620">
            <v>0</v>
          </cell>
          <cell r="F620">
            <v>0</v>
          </cell>
          <cell r="G620">
            <v>0</v>
          </cell>
          <cell r="H620">
            <v>0</v>
          </cell>
          <cell r="I620">
            <v>0</v>
          </cell>
          <cell r="J620">
            <v>0</v>
          </cell>
          <cell r="K620">
            <v>0</v>
          </cell>
          <cell r="L620">
            <v>0</v>
          </cell>
          <cell r="M620">
            <v>0</v>
          </cell>
          <cell r="N620">
            <v>0</v>
          </cell>
          <cell r="O620">
            <v>0</v>
          </cell>
          <cell r="P620">
            <v>0</v>
          </cell>
          <cell r="Q620">
            <v>0</v>
          </cell>
        </row>
        <row r="622">
          <cell r="A622" t="str">
            <v>Interest Income</v>
          </cell>
        </row>
        <row r="623">
          <cell r="A623">
            <v>80010</v>
          </cell>
          <cell r="B623" t="str">
            <v>Interest Income</v>
          </cell>
          <cell r="E623">
            <v>0</v>
          </cell>
          <cell r="F623">
            <v>0</v>
          </cell>
          <cell r="G623">
            <v>0</v>
          </cell>
          <cell r="H623">
            <v>0</v>
          </cell>
          <cell r="I623">
            <v>0</v>
          </cell>
          <cell r="J623">
            <v>0</v>
          </cell>
          <cell r="K623">
            <v>0</v>
          </cell>
          <cell r="L623">
            <v>0</v>
          </cell>
          <cell r="M623">
            <v>0</v>
          </cell>
          <cell r="N623">
            <v>0</v>
          </cell>
          <cell r="O623">
            <v>0</v>
          </cell>
          <cell r="P623">
            <v>0</v>
          </cell>
          <cell r="Q623">
            <v>0</v>
          </cell>
        </row>
        <row r="624">
          <cell r="A624" t="str">
            <v>Total Interest Income</v>
          </cell>
          <cell r="E624">
            <v>0</v>
          </cell>
          <cell r="F624">
            <v>0</v>
          </cell>
          <cell r="G624">
            <v>0</v>
          </cell>
          <cell r="H624">
            <v>0</v>
          </cell>
          <cell r="I624">
            <v>0</v>
          </cell>
          <cell r="J624">
            <v>0</v>
          </cell>
          <cell r="K624">
            <v>0</v>
          </cell>
          <cell r="L624">
            <v>0</v>
          </cell>
          <cell r="M624">
            <v>0</v>
          </cell>
          <cell r="N624">
            <v>0</v>
          </cell>
          <cell r="O624">
            <v>0</v>
          </cell>
          <cell r="P624">
            <v>0</v>
          </cell>
          <cell r="Q624">
            <v>0</v>
          </cell>
        </row>
        <row r="626">
          <cell r="A626" t="str">
            <v>Other (Income) and Expense</v>
          </cell>
        </row>
        <row r="627">
          <cell r="A627">
            <v>70901</v>
          </cell>
          <cell r="B627" t="str">
            <v>Pooling Costs</v>
          </cell>
          <cell r="E627">
            <v>0</v>
          </cell>
          <cell r="F627">
            <v>0</v>
          </cell>
          <cell r="G627">
            <v>0</v>
          </cell>
          <cell r="H627">
            <v>0</v>
          </cell>
          <cell r="I627">
            <v>0</v>
          </cell>
          <cell r="J627">
            <v>0</v>
          </cell>
          <cell r="K627">
            <v>0</v>
          </cell>
          <cell r="L627">
            <v>0</v>
          </cell>
          <cell r="M627">
            <v>0</v>
          </cell>
          <cell r="N627">
            <v>0</v>
          </cell>
          <cell r="O627">
            <v>0</v>
          </cell>
          <cell r="P627">
            <v>0</v>
          </cell>
          <cell r="Q627">
            <v>0</v>
          </cell>
        </row>
        <row r="628">
          <cell r="A628">
            <v>91000</v>
          </cell>
          <cell r="B628" t="str">
            <v>Unusual Gain/Loss</v>
          </cell>
          <cell r="E628">
            <v>0</v>
          </cell>
          <cell r="F628">
            <v>0</v>
          </cell>
          <cell r="G628">
            <v>0</v>
          </cell>
          <cell r="H628">
            <v>0</v>
          </cell>
          <cell r="I628">
            <v>0</v>
          </cell>
          <cell r="J628">
            <v>0</v>
          </cell>
          <cell r="K628">
            <v>0</v>
          </cell>
          <cell r="L628">
            <v>0</v>
          </cell>
          <cell r="M628">
            <v>0</v>
          </cell>
          <cell r="N628">
            <v>0</v>
          </cell>
          <cell r="O628">
            <v>0</v>
          </cell>
          <cell r="P628">
            <v>0</v>
          </cell>
          <cell r="Q628">
            <v>0</v>
          </cell>
        </row>
        <row r="629">
          <cell r="A629">
            <v>91001</v>
          </cell>
          <cell r="B629" t="str">
            <v>Investment Distribution Income</v>
          </cell>
          <cell r="E629">
            <v>0</v>
          </cell>
          <cell r="F629">
            <v>0</v>
          </cell>
          <cell r="G629">
            <v>0</v>
          </cell>
          <cell r="H629">
            <v>0</v>
          </cell>
          <cell r="I629">
            <v>0</v>
          </cell>
          <cell r="J629">
            <v>0</v>
          </cell>
          <cell r="K629">
            <v>0</v>
          </cell>
          <cell r="L629">
            <v>0</v>
          </cell>
          <cell r="M629">
            <v>0</v>
          </cell>
          <cell r="N629">
            <v>0</v>
          </cell>
          <cell r="O629">
            <v>0</v>
          </cell>
          <cell r="P629">
            <v>0</v>
          </cell>
          <cell r="Q629">
            <v>0</v>
          </cell>
        </row>
        <row r="630">
          <cell r="A630">
            <v>91002</v>
          </cell>
          <cell r="B630" t="str">
            <v>NSF Fees</v>
          </cell>
          <cell r="E630">
            <v>0</v>
          </cell>
          <cell r="F630">
            <v>0</v>
          </cell>
          <cell r="G630">
            <v>0</v>
          </cell>
          <cell r="H630">
            <v>0</v>
          </cell>
          <cell r="I630">
            <v>0</v>
          </cell>
          <cell r="J630">
            <v>0</v>
          </cell>
          <cell r="K630">
            <v>0</v>
          </cell>
          <cell r="L630">
            <v>0</v>
          </cell>
          <cell r="M630">
            <v>0</v>
          </cell>
          <cell r="N630">
            <v>0</v>
          </cell>
          <cell r="O630">
            <v>0</v>
          </cell>
          <cell r="P630">
            <v>0</v>
          </cell>
          <cell r="Q630">
            <v>0</v>
          </cell>
        </row>
        <row r="631">
          <cell r="A631" t="str">
            <v>Total Other (Income) and Expense</v>
          </cell>
          <cell r="E631">
            <v>0</v>
          </cell>
          <cell r="F631">
            <v>0</v>
          </cell>
          <cell r="G631">
            <v>0</v>
          </cell>
          <cell r="H631">
            <v>0</v>
          </cell>
          <cell r="I631">
            <v>0</v>
          </cell>
          <cell r="J631">
            <v>0</v>
          </cell>
          <cell r="K631">
            <v>0</v>
          </cell>
          <cell r="L631">
            <v>0</v>
          </cell>
          <cell r="M631">
            <v>0</v>
          </cell>
          <cell r="N631">
            <v>0</v>
          </cell>
          <cell r="O631">
            <v>0</v>
          </cell>
          <cell r="P631">
            <v>0</v>
          </cell>
          <cell r="Q631">
            <v>0</v>
          </cell>
        </row>
        <row r="633">
          <cell r="A633" t="str">
            <v>Income Before Taxes and Extraordinary Items</v>
          </cell>
          <cell r="E633">
            <v>-44982.409999999909</v>
          </cell>
          <cell r="F633">
            <v>210392.18999999994</v>
          </cell>
          <cell r="G633">
            <v>12199.139999999876</v>
          </cell>
          <cell r="H633">
            <v>87764.120000000068</v>
          </cell>
          <cell r="I633">
            <v>74408.229999999749</v>
          </cell>
          <cell r="J633">
            <v>139803.31000000006</v>
          </cell>
          <cell r="K633">
            <v>28808.420000000013</v>
          </cell>
          <cell r="L633">
            <v>178292.47</v>
          </cell>
          <cell r="M633">
            <v>70700.629999999976</v>
          </cell>
          <cell r="N633">
            <v>189706.05999999991</v>
          </cell>
          <cell r="O633">
            <v>-2263.1299999998737</v>
          </cell>
          <cell r="P633">
            <v>86637.149999999878</v>
          </cell>
          <cell r="Q633">
            <v>1031466.1799999956</v>
          </cell>
        </row>
        <row r="635">
          <cell r="A635" t="str">
            <v>Extraordinary Income and Expense</v>
          </cell>
        </row>
        <row r="636">
          <cell r="A636">
            <v>92999</v>
          </cell>
          <cell r="B636" t="str">
            <v>Extraordinary Gain/Loss</v>
          </cell>
          <cell r="E636">
            <v>0</v>
          </cell>
          <cell r="F636">
            <v>0</v>
          </cell>
          <cell r="G636">
            <v>0</v>
          </cell>
          <cell r="H636">
            <v>0</v>
          </cell>
          <cell r="I636">
            <v>0</v>
          </cell>
          <cell r="J636">
            <v>0</v>
          </cell>
          <cell r="K636">
            <v>0</v>
          </cell>
          <cell r="L636">
            <v>0</v>
          </cell>
          <cell r="M636">
            <v>0</v>
          </cell>
          <cell r="N636">
            <v>0</v>
          </cell>
          <cell r="O636">
            <v>0</v>
          </cell>
          <cell r="P636">
            <v>0</v>
          </cell>
          <cell r="Q636">
            <v>0</v>
          </cell>
        </row>
        <row r="637">
          <cell r="A637" t="str">
            <v>Total Extraordinary Income and Expense</v>
          </cell>
          <cell r="E637">
            <v>0</v>
          </cell>
          <cell r="F637">
            <v>0</v>
          </cell>
          <cell r="G637">
            <v>0</v>
          </cell>
          <cell r="H637">
            <v>0</v>
          </cell>
          <cell r="I637">
            <v>0</v>
          </cell>
          <cell r="J637">
            <v>0</v>
          </cell>
          <cell r="K637">
            <v>0</v>
          </cell>
          <cell r="L637">
            <v>0</v>
          </cell>
          <cell r="M637">
            <v>0</v>
          </cell>
          <cell r="N637">
            <v>0</v>
          </cell>
          <cell r="O637">
            <v>0</v>
          </cell>
          <cell r="P637">
            <v>0</v>
          </cell>
          <cell r="Q637">
            <v>0</v>
          </cell>
        </row>
        <row r="639">
          <cell r="A639" t="str">
            <v>Net Income Before Taxes</v>
          </cell>
          <cell r="E639">
            <v>-44982.409999999909</v>
          </cell>
          <cell r="F639">
            <v>210392.18999999994</v>
          </cell>
          <cell r="G639">
            <v>12199.139999999876</v>
          </cell>
          <cell r="H639">
            <v>87764.120000000068</v>
          </cell>
          <cell r="I639">
            <v>74408.229999999749</v>
          </cell>
          <cell r="J639">
            <v>139803.31000000006</v>
          </cell>
          <cell r="K639">
            <v>28808.420000000013</v>
          </cell>
          <cell r="L639">
            <v>178292.47</v>
          </cell>
          <cell r="M639">
            <v>70700.629999999976</v>
          </cell>
          <cell r="N639">
            <v>189706.05999999991</v>
          </cell>
          <cell r="O639">
            <v>-2263.1299999998737</v>
          </cell>
          <cell r="P639">
            <v>86637.149999999878</v>
          </cell>
          <cell r="Q639">
            <v>1031466.1799999956</v>
          </cell>
        </row>
        <row r="641">
          <cell r="A641" t="str">
            <v>Income Taxes</v>
          </cell>
        </row>
        <row r="642">
          <cell r="A642">
            <v>90000</v>
          </cell>
          <cell r="B642" t="str">
            <v>Taxes -Federal</v>
          </cell>
          <cell r="E642">
            <v>0</v>
          </cell>
          <cell r="F642">
            <v>0</v>
          </cell>
          <cell r="G642">
            <v>0</v>
          </cell>
          <cell r="H642">
            <v>0</v>
          </cell>
          <cell r="I642">
            <v>0</v>
          </cell>
          <cell r="J642">
            <v>0</v>
          </cell>
          <cell r="K642">
            <v>0</v>
          </cell>
          <cell r="L642">
            <v>0</v>
          </cell>
          <cell r="M642">
            <v>0</v>
          </cell>
          <cell r="N642">
            <v>0</v>
          </cell>
          <cell r="O642">
            <v>0</v>
          </cell>
          <cell r="P642">
            <v>0</v>
          </cell>
          <cell r="Q642">
            <v>0</v>
          </cell>
        </row>
        <row r="643">
          <cell r="A643">
            <v>90010</v>
          </cell>
          <cell r="B643" t="str">
            <v>Taxes - State</v>
          </cell>
          <cell r="E643">
            <v>0</v>
          </cell>
          <cell r="F643">
            <v>0</v>
          </cell>
          <cell r="G643">
            <v>0</v>
          </cell>
          <cell r="H643">
            <v>0</v>
          </cell>
          <cell r="I643">
            <v>0</v>
          </cell>
          <cell r="J643">
            <v>0</v>
          </cell>
          <cell r="K643">
            <v>0</v>
          </cell>
          <cell r="L643">
            <v>0</v>
          </cell>
          <cell r="M643">
            <v>0</v>
          </cell>
          <cell r="N643">
            <v>0</v>
          </cell>
          <cell r="O643">
            <v>0</v>
          </cell>
          <cell r="P643">
            <v>0</v>
          </cell>
          <cell r="Q643">
            <v>0</v>
          </cell>
        </row>
        <row r="644">
          <cell r="A644" t="str">
            <v>Total Income Taxes</v>
          </cell>
          <cell r="E644">
            <v>0</v>
          </cell>
          <cell r="F644">
            <v>0</v>
          </cell>
          <cell r="G644">
            <v>0</v>
          </cell>
          <cell r="H644">
            <v>0</v>
          </cell>
          <cell r="I644">
            <v>0</v>
          </cell>
          <cell r="J644">
            <v>0</v>
          </cell>
          <cell r="K644">
            <v>0</v>
          </cell>
          <cell r="L644">
            <v>0</v>
          </cell>
          <cell r="M644">
            <v>0</v>
          </cell>
          <cell r="N644">
            <v>0</v>
          </cell>
          <cell r="O644">
            <v>0</v>
          </cell>
          <cell r="P644">
            <v>0</v>
          </cell>
          <cell r="Q644">
            <v>0</v>
          </cell>
        </row>
        <row r="646">
          <cell r="A646" t="str">
            <v>Net Income</v>
          </cell>
          <cell r="E646">
            <v>-44982.409999999909</v>
          </cell>
          <cell r="F646">
            <v>210392.18999999994</v>
          </cell>
          <cell r="G646">
            <v>12199.139999999876</v>
          </cell>
          <cell r="H646">
            <v>87764.120000000068</v>
          </cell>
          <cell r="I646">
            <v>74408.229999999749</v>
          </cell>
          <cell r="J646">
            <v>139803.31000000006</v>
          </cell>
          <cell r="K646">
            <v>28808.420000000013</v>
          </cell>
          <cell r="L646">
            <v>178292.47</v>
          </cell>
          <cell r="M646">
            <v>70700.629999999976</v>
          </cell>
          <cell r="N646">
            <v>189706.05999999991</v>
          </cell>
          <cell r="O646">
            <v>-2263.1299999998737</v>
          </cell>
          <cell r="P646">
            <v>86637.149999999878</v>
          </cell>
          <cell r="Q646">
            <v>1031466.1799999956</v>
          </cell>
        </row>
        <row r="648">
          <cell r="A648" t="str">
            <v>Noncontrolling Interests Expense</v>
          </cell>
        </row>
        <row r="649">
          <cell r="A649">
            <v>92000</v>
          </cell>
          <cell r="B649" t="str">
            <v>Noncontrolling interests</v>
          </cell>
          <cell r="E649">
            <v>0</v>
          </cell>
          <cell r="F649">
            <v>0</v>
          </cell>
          <cell r="G649">
            <v>0</v>
          </cell>
          <cell r="H649">
            <v>0</v>
          </cell>
          <cell r="I649">
            <v>0</v>
          </cell>
          <cell r="J649">
            <v>0</v>
          </cell>
          <cell r="K649">
            <v>0</v>
          </cell>
          <cell r="L649">
            <v>0</v>
          </cell>
          <cell r="M649">
            <v>0</v>
          </cell>
          <cell r="N649">
            <v>0</v>
          </cell>
          <cell r="O649">
            <v>0</v>
          </cell>
          <cell r="P649">
            <v>0</v>
          </cell>
          <cell r="Q649">
            <v>0</v>
          </cell>
        </row>
        <row r="650">
          <cell r="A650" t="str">
            <v>Total Noncontrolling Interests</v>
          </cell>
          <cell r="E650">
            <v>0</v>
          </cell>
          <cell r="F650">
            <v>0</v>
          </cell>
          <cell r="G650">
            <v>0</v>
          </cell>
          <cell r="H650">
            <v>0</v>
          </cell>
          <cell r="I650">
            <v>0</v>
          </cell>
          <cell r="J650">
            <v>0</v>
          </cell>
          <cell r="K650">
            <v>0</v>
          </cell>
          <cell r="L650">
            <v>0</v>
          </cell>
          <cell r="M650">
            <v>0</v>
          </cell>
          <cell r="N650">
            <v>0</v>
          </cell>
          <cell r="O650">
            <v>0</v>
          </cell>
          <cell r="P650">
            <v>0</v>
          </cell>
          <cell r="Q650">
            <v>0</v>
          </cell>
        </row>
        <row r="652">
          <cell r="A652" t="str">
            <v>Net Income Attributable to Waste Connections</v>
          </cell>
          <cell r="E652">
            <v>-44982.409999999909</v>
          </cell>
          <cell r="F652">
            <v>210392.18999999994</v>
          </cell>
          <cell r="G652">
            <v>12199.139999999876</v>
          </cell>
          <cell r="H652">
            <v>87764.120000000068</v>
          </cell>
          <cell r="I652">
            <v>74408.229999999749</v>
          </cell>
          <cell r="J652">
            <v>139803.31000000006</v>
          </cell>
          <cell r="K652">
            <v>28808.420000000013</v>
          </cell>
          <cell r="L652">
            <v>178292.47</v>
          </cell>
          <cell r="M652">
            <v>70700.629999999976</v>
          </cell>
          <cell r="N652">
            <v>189706.05999999991</v>
          </cell>
          <cell r="O652">
            <v>-2263.1299999998737</v>
          </cell>
          <cell r="P652">
            <v>86637.149999999878</v>
          </cell>
          <cell r="Q652">
            <v>1031466.1799999956</v>
          </cell>
        </row>
        <row r="654">
          <cell r="A654" t="str">
            <v>Net Income Attributable to Waste Connections per categories</v>
          </cell>
          <cell r="E654">
            <v>-44982.41</v>
          </cell>
          <cell r="F654">
            <v>210392.19</v>
          </cell>
          <cell r="G654">
            <v>12199.14</v>
          </cell>
          <cell r="H654">
            <v>87764.12</v>
          </cell>
          <cell r="I654">
            <v>74408.23</v>
          </cell>
          <cell r="J654">
            <v>139803.31</v>
          </cell>
          <cell r="K654">
            <v>28808.42</v>
          </cell>
          <cell r="L654">
            <v>178292.47</v>
          </cell>
          <cell r="M654">
            <v>70700.63</v>
          </cell>
          <cell r="N654">
            <v>189706.06</v>
          </cell>
          <cell r="O654">
            <v>-2263.13</v>
          </cell>
          <cell r="P654">
            <v>86637.15</v>
          </cell>
        </row>
      </sheetData>
      <sheetData sheetId="5" refreshError="1">
        <row r="12">
          <cell r="A12" t="str">
            <v>Revenue</v>
          </cell>
        </row>
        <row r="13">
          <cell r="A13" t="str">
            <v>Hauling</v>
          </cell>
        </row>
        <row r="14">
          <cell r="A14">
            <v>31000</v>
          </cell>
          <cell r="B14" t="str">
            <v>Hauling Revenue - Roll Off Permanent</v>
          </cell>
          <cell r="E14">
            <v>102444.08</v>
          </cell>
          <cell r="F14">
            <v>106574.9</v>
          </cell>
          <cell r="G14">
            <v>117486.29</v>
          </cell>
          <cell r="H14">
            <v>113663.22</v>
          </cell>
          <cell r="I14">
            <v>107537.52</v>
          </cell>
          <cell r="J14">
            <v>118709.91</v>
          </cell>
          <cell r="K14">
            <v>120424.95</v>
          </cell>
          <cell r="L14">
            <v>126593.49</v>
          </cell>
          <cell r="M14">
            <v>117849.49</v>
          </cell>
          <cell r="N14">
            <v>117031.26</v>
          </cell>
          <cell r="O14">
            <v>112018.5</v>
          </cell>
          <cell r="P14">
            <v>117369.28</v>
          </cell>
          <cell r="Q14">
            <v>1377702.89</v>
          </cell>
        </row>
        <row r="15">
          <cell r="A15">
            <v>31001</v>
          </cell>
          <cell r="B15" t="str">
            <v>Hauling Revenue - Roll Off Temporary</v>
          </cell>
          <cell r="E15">
            <v>0</v>
          </cell>
          <cell r="F15">
            <v>0</v>
          </cell>
          <cell r="G15">
            <v>0</v>
          </cell>
          <cell r="H15">
            <v>0</v>
          </cell>
          <cell r="I15">
            <v>0</v>
          </cell>
          <cell r="J15">
            <v>0</v>
          </cell>
          <cell r="K15">
            <v>0</v>
          </cell>
          <cell r="L15">
            <v>0</v>
          </cell>
          <cell r="M15">
            <v>0</v>
          </cell>
          <cell r="N15">
            <v>0</v>
          </cell>
          <cell r="O15">
            <v>0</v>
          </cell>
          <cell r="P15">
            <v>0</v>
          </cell>
          <cell r="Q15">
            <v>0</v>
          </cell>
        </row>
        <row r="16">
          <cell r="A16">
            <v>31002</v>
          </cell>
          <cell r="B16" t="str">
            <v>Hauling Revenue - Roll Off Rental</v>
          </cell>
          <cell r="E16">
            <v>0</v>
          </cell>
          <cell r="F16">
            <v>0</v>
          </cell>
          <cell r="G16">
            <v>0</v>
          </cell>
          <cell r="H16">
            <v>0</v>
          </cell>
          <cell r="I16">
            <v>0</v>
          </cell>
          <cell r="J16">
            <v>0</v>
          </cell>
          <cell r="K16">
            <v>0</v>
          </cell>
          <cell r="L16">
            <v>0</v>
          </cell>
          <cell r="M16">
            <v>0</v>
          </cell>
          <cell r="N16">
            <v>0</v>
          </cell>
          <cell r="O16">
            <v>0</v>
          </cell>
          <cell r="P16">
            <v>0</v>
          </cell>
          <cell r="Q16">
            <v>0</v>
          </cell>
        </row>
        <row r="17">
          <cell r="A17">
            <v>31003</v>
          </cell>
          <cell r="B17" t="str">
            <v>Hauling Revenue - Roll Off Compactor Ren</v>
          </cell>
          <cell r="E17">
            <v>0</v>
          </cell>
          <cell r="F17">
            <v>0</v>
          </cell>
          <cell r="G17">
            <v>0</v>
          </cell>
          <cell r="H17">
            <v>0</v>
          </cell>
          <cell r="I17">
            <v>0</v>
          </cell>
          <cell r="J17">
            <v>0</v>
          </cell>
          <cell r="K17">
            <v>0</v>
          </cell>
          <cell r="L17">
            <v>0</v>
          </cell>
          <cell r="M17">
            <v>0</v>
          </cell>
          <cell r="N17">
            <v>0</v>
          </cell>
          <cell r="O17">
            <v>0</v>
          </cell>
          <cell r="P17">
            <v>0</v>
          </cell>
          <cell r="Q17">
            <v>0</v>
          </cell>
        </row>
        <row r="18">
          <cell r="A18">
            <v>31004</v>
          </cell>
          <cell r="B18" t="str">
            <v>Hauling Revenue - Roll Off Recycling</v>
          </cell>
          <cell r="E18">
            <v>0</v>
          </cell>
          <cell r="F18">
            <v>0</v>
          </cell>
          <cell r="G18">
            <v>0</v>
          </cell>
          <cell r="H18">
            <v>0</v>
          </cell>
          <cell r="I18">
            <v>0</v>
          </cell>
          <cell r="J18">
            <v>0</v>
          </cell>
          <cell r="K18">
            <v>0</v>
          </cell>
          <cell r="L18">
            <v>0</v>
          </cell>
          <cell r="M18">
            <v>0</v>
          </cell>
          <cell r="N18">
            <v>0</v>
          </cell>
          <cell r="O18">
            <v>0</v>
          </cell>
          <cell r="P18">
            <v>0</v>
          </cell>
          <cell r="Q18">
            <v>0</v>
          </cell>
        </row>
        <row r="19">
          <cell r="A19">
            <v>31005</v>
          </cell>
          <cell r="B19" t="str">
            <v>Corporate Roll Off Disposal Charge</v>
          </cell>
          <cell r="E19">
            <v>210983.37</v>
          </cell>
          <cell r="F19">
            <v>189715.35</v>
          </cell>
          <cell r="G19">
            <v>221645.6</v>
          </cell>
          <cell r="H19">
            <v>218362.54</v>
          </cell>
          <cell r="I19">
            <v>210236.77</v>
          </cell>
          <cell r="J19">
            <v>240624.92</v>
          </cell>
          <cell r="K19">
            <v>227991.29</v>
          </cell>
          <cell r="L19">
            <v>234898.35</v>
          </cell>
          <cell r="M19">
            <v>229778.1</v>
          </cell>
          <cell r="N19">
            <v>229912.49</v>
          </cell>
          <cell r="O19">
            <v>225521.76</v>
          </cell>
          <cell r="P19">
            <v>242379.21</v>
          </cell>
          <cell r="Q19">
            <v>2682049.75</v>
          </cell>
        </row>
        <row r="20">
          <cell r="A20">
            <v>31008</v>
          </cell>
          <cell r="B20" t="str">
            <v>Hauling Revenue - Roll Off Adjustments</v>
          </cell>
          <cell r="E20">
            <v>0</v>
          </cell>
          <cell r="F20">
            <v>0</v>
          </cell>
          <cell r="G20">
            <v>0</v>
          </cell>
          <cell r="H20">
            <v>0</v>
          </cell>
          <cell r="I20">
            <v>0</v>
          </cell>
          <cell r="J20">
            <v>0</v>
          </cell>
          <cell r="K20">
            <v>0</v>
          </cell>
          <cell r="L20">
            <v>0</v>
          </cell>
          <cell r="M20">
            <v>0</v>
          </cell>
          <cell r="N20">
            <v>0</v>
          </cell>
          <cell r="O20">
            <v>0</v>
          </cell>
          <cell r="P20">
            <v>0</v>
          </cell>
          <cell r="Q20">
            <v>0</v>
          </cell>
        </row>
        <row r="21">
          <cell r="A21">
            <v>31009</v>
          </cell>
          <cell r="B21" t="str">
            <v>Hauling Revenue - Roll Off Intercompany</v>
          </cell>
          <cell r="E21">
            <v>2048.52</v>
          </cell>
          <cell r="F21">
            <v>2727.36</v>
          </cell>
          <cell r="G21">
            <v>2727.36</v>
          </cell>
          <cell r="H21">
            <v>3409.2</v>
          </cell>
          <cell r="I21">
            <v>2727.36</v>
          </cell>
          <cell r="J21">
            <v>2727.36</v>
          </cell>
          <cell r="K21">
            <v>5009.2</v>
          </cell>
          <cell r="L21">
            <v>3527.36</v>
          </cell>
          <cell r="M21">
            <v>3327.36</v>
          </cell>
          <cell r="N21">
            <v>3409.2</v>
          </cell>
          <cell r="O21">
            <v>2727.36</v>
          </cell>
          <cell r="P21">
            <v>3409.2</v>
          </cell>
          <cell r="Q21">
            <v>37776.839999999997</v>
          </cell>
        </row>
        <row r="22">
          <cell r="A22">
            <v>31010</v>
          </cell>
          <cell r="B22" t="str">
            <v>Hauling Revenue - Roll Off Extras</v>
          </cell>
          <cell r="E22">
            <v>27177.39</v>
          </cell>
          <cell r="F22">
            <v>26583.03</v>
          </cell>
          <cell r="G22">
            <v>26586.07</v>
          </cell>
          <cell r="H22">
            <v>27681.49</v>
          </cell>
          <cell r="I22">
            <v>28895.1</v>
          </cell>
          <cell r="J22">
            <v>30218.400000000001</v>
          </cell>
          <cell r="K22">
            <v>29088.41</v>
          </cell>
          <cell r="L22">
            <v>30882.48</v>
          </cell>
          <cell r="M22">
            <v>30023.54</v>
          </cell>
          <cell r="N22">
            <v>28675.83</v>
          </cell>
          <cell r="O22">
            <v>27741.67</v>
          </cell>
          <cell r="P22">
            <v>26907</v>
          </cell>
          <cell r="Q22">
            <v>340460.41</v>
          </cell>
        </row>
        <row r="23">
          <cell r="A23">
            <v>31020</v>
          </cell>
          <cell r="B23" t="str">
            <v>Hauling Revenue - Roll Off Special Waste</v>
          </cell>
          <cell r="E23">
            <v>0</v>
          </cell>
          <cell r="F23">
            <v>0</v>
          </cell>
          <cell r="G23">
            <v>0</v>
          </cell>
          <cell r="H23">
            <v>0</v>
          </cell>
          <cell r="I23">
            <v>0</v>
          </cell>
          <cell r="J23">
            <v>0</v>
          </cell>
          <cell r="K23">
            <v>0</v>
          </cell>
          <cell r="L23">
            <v>0</v>
          </cell>
          <cell r="M23">
            <v>0</v>
          </cell>
          <cell r="N23">
            <v>0</v>
          </cell>
          <cell r="O23">
            <v>0</v>
          </cell>
          <cell r="P23">
            <v>0</v>
          </cell>
          <cell r="Q23">
            <v>0</v>
          </cell>
        </row>
        <row r="24">
          <cell r="A24">
            <v>31021</v>
          </cell>
          <cell r="B24" t="str">
            <v>Hauling Revenue - Roll Off Special Waste</v>
          </cell>
          <cell r="E24">
            <v>0</v>
          </cell>
          <cell r="F24">
            <v>0</v>
          </cell>
          <cell r="G24">
            <v>0</v>
          </cell>
          <cell r="H24">
            <v>0</v>
          </cell>
          <cell r="I24">
            <v>0</v>
          </cell>
          <cell r="J24">
            <v>0</v>
          </cell>
          <cell r="K24">
            <v>0</v>
          </cell>
          <cell r="L24">
            <v>0</v>
          </cell>
          <cell r="M24">
            <v>0</v>
          </cell>
          <cell r="N24">
            <v>0</v>
          </cell>
          <cell r="O24">
            <v>0</v>
          </cell>
          <cell r="P24">
            <v>0</v>
          </cell>
          <cell r="Q24">
            <v>0</v>
          </cell>
        </row>
        <row r="25">
          <cell r="A25">
            <v>31029</v>
          </cell>
          <cell r="B25" t="str">
            <v>Hauling Revenue - Roll Off Special Waste</v>
          </cell>
          <cell r="E25">
            <v>0</v>
          </cell>
          <cell r="F25">
            <v>0</v>
          </cell>
          <cell r="G25">
            <v>0</v>
          </cell>
          <cell r="H25">
            <v>0</v>
          </cell>
          <cell r="I25">
            <v>0</v>
          </cell>
          <cell r="J25">
            <v>0</v>
          </cell>
          <cell r="K25">
            <v>0</v>
          </cell>
          <cell r="L25">
            <v>0</v>
          </cell>
          <cell r="M25">
            <v>0</v>
          </cell>
          <cell r="N25">
            <v>0</v>
          </cell>
          <cell r="O25">
            <v>0</v>
          </cell>
          <cell r="P25">
            <v>0</v>
          </cell>
          <cell r="Q25">
            <v>0</v>
          </cell>
        </row>
        <row r="26">
          <cell r="A26">
            <v>32000</v>
          </cell>
          <cell r="B26" t="str">
            <v>Hauling Revenue - Residential MSW</v>
          </cell>
          <cell r="E26">
            <v>1215495.77</v>
          </cell>
          <cell r="F26">
            <v>1200770.8</v>
          </cell>
          <cell r="G26">
            <v>1215802.44</v>
          </cell>
          <cell r="H26">
            <v>1220176.8500000001</v>
          </cell>
          <cell r="I26">
            <v>1224050.48</v>
          </cell>
          <cell r="J26">
            <v>1230237.8799999999</v>
          </cell>
          <cell r="K26">
            <v>1235768.5</v>
          </cell>
          <cell r="L26">
            <v>1230565.3500000001</v>
          </cell>
          <cell r="M26">
            <v>1233092.93</v>
          </cell>
          <cell r="N26">
            <v>1227440.83</v>
          </cell>
          <cell r="O26">
            <v>1230545.96</v>
          </cell>
          <cell r="P26">
            <v>1228126.99</v>
          </cell>
          <cell r="Q26">
            <v>14692074.779999999</v>
          </cell>
        </row>
        <row r="27">
          <cell r="A27">
            <v>32001</v>
          </cell>
          <cell r="B27" t="str">
            <v>Hauling Revenue - Residential MSW Extras</v>
          </cell>
          <cell r="E27">
            <v>29897.43</v>
          </cell>
          <cell r="F27">
            <v>23606.09</v>
          </cell>
          <cell r="G27">
            <v>37252.050000000003</v>
          </cell>
          <cell r="H27">
            <v>36299.58</v>
          </cell>
          <cell r="I27">
            <v>42698.61</v>
          </cell>
          <cell r="J27">
            <v>50366.1</v>
          </cell>
          <cell r="K27">
            <v>50649.79</v>
          </cell>
          <cell r="L27">
            <v>43300.24</v>
          </cell>
          <cell r="M27">
            <v>44830.46</v>
          </cell>
          <cell r="N27">
            <v>36083.339999999997</v>
          </cell>
          <cell r="O27">
            <v>44102.97</v>
          </cell>
          <cell r="P27">
            <v>42927.11</v>
          </cell>
          <cell r="Q27">
            <v>482013.77</v>
          </cell>
        </row>
        <row r="28">
          <cell r="A28">
            <v>32002</v>
          </cell>
          <cell r="B28" t="str">
            <v>Hauling Revenue - Residential MSW Adjust</v>
          </cell>
          <cell r="E28">
            <v>0</v>
          </cell>
          <cell r="F28">
            <v>0</v>
          </cell>
          <cell r="G28">
            <v>0</v>
          </cell>
          <cell r="H28">
            <v>0</v>
          </cell>
          <cell r="I28">
            <v>0</v>
          </cell>
          <cell r="J28">
            <v>0</v>
          </cell>
          <cell r="K28">
            <v>0</v>
          </cell>
          <cell r="L28">
            <v>0</v>
          </cell>
          <cell r="M28">
            <v>0</v>
          </cell>
          <cell r="N28">
            <v>0</v>
          </cell>
          <cell r="O28">
            <v>0</v>
          </cell>
          <cell r="P28">
            <v>0</v>
          </cell>
          <cell r="Q28">
            <v>0</v>
          </cell>
        </row>
        <row r="29">
          <cell r="A29">
            <v>32003</v>
          </cell>
          <cell r="B29" t="str">
            <v>Hauling Revenue - Residential MSW Specia</v>
          </cell>
          <cell r="E29">
            <v>0</v>
          </cell>
          <cell r="F29">
            <v>0</v>
          </cell>
          <cell r="G29">
            <v>0</v>
          </cell>
          <cell r="H29">
            <v>0</v>
          </cell>
          <cell r="I29">
            <v>0</v>
          </cell>
          <cell r="J29">
            <v>0</v>
          </cell>
          <cell r="K29">
            <v>0</v>
          </cell>
          <cell r="L29">
            <v>0</v>
          </cell>
          <cell r="M29">
            <v>0</v>
          </cell>
          <cell r="N29">
            <v>0</v>
          </cell>
          <cell r="O29">
            <v>0</v>
          </cell>
          <cell r="P29">
            <v>0</v>
          </cell>
          <cell r="Q29">
            <v>0</v>
          </cell>
        </row>
        <row r="30">
          <cell r="A30">
            <v>32009</v>
          </cell>
          <cell r="B30" t="str">
            <v>Hauling Revenue - Residential MSW Interc</v>
          </cell>
          <cell r="E30">
            <v>0</v>
          </cell>
          <cell r="F30">
            <v>0</v>
          </cell>
          <cell r="G30">
            <v>0</v>
          </cell>
          <cell r="H30">
            <v>0</v>
          </cell>
          <cell r="I30">
            <v>0</v>
          </cell>
          <cell r="J30">
            <v>0</v>
          </cell>
          <cell r="K30">
            <v>0</v>
          </cell>
          <cell r="L30">
            <v>0</v>
          </cell>
          <cell r="M30">
            <v>0</v>
          </cell>
          <cell r="N30">
            <v>0</v>
          </cell>
          <cell r="O30">
            <v>0</v>
          </cell>
          <cell r="P30">
            <v>0</v>
          </cell>
          <cell r="Q30">
            <v>0</v>
          </cell>
        </row>
        <row r="31">
          <cell r="A31">
            <v>32100</v>
          </cell>
          <cell r="B31" t="str">
            <v>Hauling Revenue - Residential Recycling</v>
          </cell>
          <cell r="E31">
            <v>0</v>
          </cell>
          <cell r="F31">
            <v>0</v>
          </cell>
          <cell r="G31">
            <v>0</v>
          </cell>
          <cell r="H31">
            <v>0</v>
          </cell>
          <cell r="I31">
            <v>0</v>
          </cell>
          <cell r="J31">
            <v>0</v>
          </cell>
          <cell r="K31">
            <v>0</v>
          </cell>
          <cell r="L31">
            <v>0</v>
          </cell>
          <cell r="M31">
            <v>0</v>
          </cell>
          <cell r="N31">
            <v>0</v>
          </cell>
          <cell r="O31">
            <v>0</v>
          </cell>
          <cell r="P31">
            <v>0</v>
          </cell>
          <cell r="Q31">
            <v>0</v>
          </cell>
        </row>
        <row r="32">
          <cell r="A32">
            <v>32101</v>
          </cell>
          <cell r="B32" t="str">
            <v>Hauling Revenue - Residential Recycling</v>
          </cell>
          <cell r="E32">
            <v>0</v>
          </cell>
          <cell r="F32">
            <v>0</v>
          </cell>
          <cell r="G32">
            <v>0</v>
          </cell>
          <cell r="H32">
            <v>0</v>
          </cell>
          <cell r="I32">
            <v>0</v>
          </cell>
          <cell r="J32">
            <v>0</v>
          </cell>
          <cell r="K32">
            <v>0</v>
          </cell>
          <cell r="L32">
            <v>0</v>
          </cell>
          <cell r="M32">
            <v>0</v>
          </cell>
          <cell r="N32">
            <v>0</v>
          </cell>
          <cell r="O32">
            <v>0</v>
          </cell>
          <cell r="P32">
            <v>0</v>
          </cell>
          <cell r="Q32">
            <v>0</v>
          </cell>
        </row>
        <row r="33">
          <cell r="A33">
            <v>32102</v>
          </cell>
          <cell r="B33" t="str">
            <v>Hauling Revenue - Residential Recycling</v>
          </cell>
          <cell r="E33">
            <v>0</v>
          </cell>
          <cell r="F33">
            <v>0</v>
          </cell>
          <cell r="G33">
            <v>0</v>
          </cell>
          <cell r="H33">
            <v>0</v>
          </cell>
          <cell r="I33">
            <v>0</v>
          </cell>
          <cell r="J33">
            <v>0</v>
          </cell>
          <cell r="K33">
            <v>0</v>
          </cell>
          <cell r="L33">
            <v>0</v>
          </cell>
          <cell r="M33">
            <v>0</v>
          </cell>
          <cell r="N33">
            <v>0</v>
          </cell>
          <cell r="O33">
            <v>0</v>
          </cell>
          <cell r="P33">
            <v>0</v>
          </cell>
          <cell r="Q33">
            <v>0</v>
          </cell>
        </row>
        <row r="34">
          <cell r="A34">
            <v>32103</v>
          </cell>
          <cell r="B34" t="str">
            <v>Hauling Revenue - Residential Recycling</v>
          </cell>
          <cell r="E34">
            <v>0</v>
          </cell>
          <cell r="F34">
            <v>0</v>
          </cell>
          <cell r="G34">
            <v>0</v>
          </cell>
          <cell r="H34">
            <v>0</v>
          </cell>
          <cell r="I34">
            <v>0</v>
          </cell>
          <cell r="J34">
            <v>0</v>
          </cell>
          <cell r="K34">
            <v>0</v>
          </cell>
          <cell r="L34">
            <v>0</v>
          </cell>
          <cell r="M34">
            <v>0</v>
          </cell>
          <cell r="N34">
            <v>0</v>
          </cell>
          <cell r="O34">
            <v>0</v>
          </cell>
          <cell r="P34">
            <v>0</v>
          </cell>
          <cell r="Q34">
            <v>0</v>
          </cell>
        </row>
        <row r="35">
          <cell r="A35">
            <v>32109</v>
          </cell>
          <cell r="B35" t="str">
            <v>Hauling Revenue - Residential Recycling</v>
          </cell>
          <cell r="E35">
            <v>0</v>
          </cell>
          <cell r="F35">
            <v>0</v>
          </cell>
          <cell r="G35">
            <v>0</v>
          </cell>
          <cell r="H35">
            <v>0</v>
          </cell>
          <cell r="I35">
            <v>0</v>
          </cell>
          <cell r="J35">
            <v>0</v>
          </cell>
          <cell r="K35">
            <v>0</v>
          </cell>
          <cell r="L35">
            <v>0</v>
          </cell>
          <cell r="M35">
            <v>0</v>
          </cell>
          <cell r="N35">
            <v>0</v>
          </cell>
          <cell r="O35">
            <v>0</v>
          </cell>
          <cell r="P35">
            <v>0</v>
          </cell>
          <cell r="Q35">
            <v>0</v>
          </cell>
        </row>
        <row r="36">
          <cell r="A36">
            <v>32110</v>
          </cell>
          <cell r="B36" t="str">
            <v>Hauling Revenue - Residential Composting</v>
          </cell>
          <cell r="E36">
            <v>232014.97</v>
          </cell>
          <cell r="F36">
            <v>232365.45</v>
          </cell>
          <cell r="G36">
            <v>257766.36</v>
          </cell>
          <cell r="H36">
            <v>270150.08</v>
          </cell>
          <cell r="I36">
            <v>281923.53999999998</v>
          </cell>
          <cell r="J36">
            <v>287780.03999999998</v>
          </cell>
          <cell r="K36">
            <v>291816.17</v>
          </cell>
          <cell r="L36">
            <v>292493.43</v>
          </cell>
          <cell r="M36">
            <v>290035.87</v>
          </cell>
          <cell r="N36">
            <v>289167.18</v>
          </cell>
          <cell r="O36">
            <v>283845.96999999997</v>
          </cell>
          <cell r="P36">
            <v>275560.67</v>
          </cell>
          <cell r="Q36">
            <v>3284919.7300000004</v>
          </cell>
        </row>
        <row r="37">
          <cell r="A37">
            <v>32111</v>
          </cell>
          <cell r="B37" t="str">
            <v>Hauling Revenue - Residential Composting</v>
          </cell>
          <cell r="E37">
            <v>0</v>
          </cell>
          <cell r="F37">
            <v>0</v>
          </cell>
          <cell r="G37">
            <v>0</v>
          </cell>
          <cell r="H37">
            <v>0</v>
          </cell>
          <cell r="I37">
            <v>0</v>
          </cell>
          <cell r="J37">
            <v>0</v>
          </cell>
          <cell r="K37">
            <v>0</v>
          </cell>
          <cell r="L37">
            <v>0</v>
          </cell>
          <cell r="M37">
            <v>0</v>
          </cell>
          <cell r="N37">
            <v>0</v>
          </cell>
          <cell r="O37">
            <v>0</v>
          </cell>
          <cell r="P37">
            <v>0</v>
          </cell>
          <cell r="Q37">
            <v>0</v>
          </cell>
        </row>
        <row r="38">
          <cell r="A38">
            <v>32112</v>
          </cell>
          <cell r="B38" t="str">
            <v>Hauling Revenue - Residential Composting</v>
          </cell>
          <cell r="E38">
            <v>0</v>
          </cell>
          <cell r="F38">
            <v>0</v>
          </cell>
          <cell r="G38">
            <v>0</v>
          </cell>
          <cell r="H38">
            <v>0</v>
          </cell>
          <cell r="I38">
            <v>0</v>
          </cell>
          <cell r="J38">
            <v>0</v>
          </cell>
          <cell r="K38">
            <v>0</v>
          </cell>
          <cell r="L38">
            <v>0</v>
          </cell>
          <cell r="M38">
            <v>0</v>
          </cell>
          <cell r="N38">
            <v>0</v>
          </cell>
          <cell r="O38">
            <v>0</v>
          </cell>
          <cell r="P38">
            <v>0</v>
          </cell>
          <cell r="Q38">
            <v>0</v>
          </cell>
        </row>
        <row r="39">
          <cell r="A39">
            <v>32113</v>
          </cell>
          <cell r="B39" t="str">
            <v>Hauling Revenue - Residential Composting</v>
          </cell>
          <cell r="E39">
            <v>0</v>
          </cell>
          <cell r="F39">
            <v>0</v>
          </cell>
          <cell r="G39">
            <v>0</v>
          </cell>
          <cell r="H39">
            <v>0</v>
          </cell>
          <cell r="I39">
            <v>0</v>
          </cell>
          <cell r="J39">
            <v>0</v>
          </cell>
          <cell r="K39">
            <v>0</v>
          </cell>
          <cell r="L39">
            <v>0</v>
          </cell>
          <cell r="M39">
            <v>0</v>
          </cell>
          <cell r="N39">
            <v>0</v>
          </cell>
          <cell r="O39">
            <v>0</v>
          </cell>
          <cell r="P39">
            <v>0</v>
          </cell>
          <cell r="Q39">
            <v>0</v>
          </cell>
        </row>
        <row r="40">
          <cell r="A40">
            <v>32119</v>
          </cell>
          <cell r="B40" t="str">
            <v>Hauling Revenue - Residential Composting</v>
          </cell>
          <cell r="E40">
            <v>0</v>
          </cell>
          <cell r="F40">
            <v>0</v>
          </cell>
          <cell r="G40">
            <v>0</v>
          </cell>
          <cell r="H40">
            <v>0</v>
          </cell>
          <cell r="I40">
            <v>0</v>
          </cell>
          <cell r="J40">
            <v>0</v>
          </cell>
          <cell r="K40">
            <v>0</v>
          </cell>
          <cell r="L40">
            <v>0</v>
          </cell>
          <cell r="M40">
            <v>0</v>
          </cell>
          <cell r="N40">
            <v>0</v>
          </cell>
          <cell r="O40">
            <v>0</v>
          </cell>
          <cell r="P40">
            <v>0</v>
          </cell>
          <cell r="Q40">
            <v>0</v>
          </cell>
        </row>
        <row r="41">
          <cell r="A41">
            <v>33000</v>
          </cell>
          <cell r="B41" t="str">
            <v>Hauling Revenue - Commercial FEL</v>
          </cell>
          <cell r="E41">
            <v>785575.03</v>
          </cell>
          <cell r="F41">
            <v>787034.21</v>
          </cell>
          <cell r="G41">
            <v>790933.58</v>
          </cell>
          <cell r="H41">
            <v>778610.72</v>
          </cell>
          <cell r="I41">
            <v>780041.46</v>
          </cell>
          <cell r="J41">
            <v>778320.61</v>
          </cell>
          <cell r="K41">
            <v>768305.23</v>
          </cell>
          <cell r="L41">
            <v>774319.69</v>
          </cell>
          <cell r="M41">
            <v>801901.87</v>
          </cell>
          <cell r="N41">
            <v>774557.42</v>
          </cell>
          <cell r="O41">
            <v>791933.57</v>
          </cell>
          <cell r="P41">
            <v>766346.74</v>
          </cell>
          <cell r="Q41">
            <v>9377880.129999999</v>
          </cell>
        </row>
        <row r="42">
          <cell r="A42">
            <v>33001</v>
          </cell>
          <cell r="B42" t="str">
            <v>Hauling Revenue - Commercial FEL Extras</v>
          </cell>
          <cell r="E42">
            <v>39516.839999999997</v>
          </cell>
          <cell r="F42">
            <v>40932.36</v>
          </cell>
          <cell r="G42">
            <v>42606.080000000002</v>
          </cell>
          <cell r="H42">
            <v>42197.16</v>
          </cell>
          <cell r="I42">
            <v>43036.11</v>
          </cell>
          <cell r="J42">
            <v>44513.7</v>
          </cell>
          <cell r="K42">
            <v>47317.760000000002</v>
          </cell>
          <cell r="L42">
            <v>46590.51</v>
          </cell>
          <cell r="M42">
            <v>43401.91</v>
          </cell>
          <cell r="N42">
            <v>44637.59</v>
          </cell>
          <cell r="O42">
            <v>43797.96</v>
          </cell>
          <cell r="P42">
            <v>45382.02</v>
          </cell>
          <cell r="Q42">
            <v>523930.00000000006</v>
          </cell>
        </row>
        <row r="43">
          <cell r="A43">
            <v>33002</v>
          </cell>
          <cell r="B43" t="str">
            <v>Hauling Revenue - Commercial FEL Adjustm</v>
          </cell>
          <cell r="E43">
            <v>0</v>
          </cell>
          <cell r="F43">
            <v>0</v>
          </cell>
          <cell r="G43">
            <v>0</v>
          </cell>
          <cell r="H43">
            <v>0</v>
          </cell>
          <cell r="I43">
            <v>0</v>
          </cell>
          <cell r="J43">
            <v>0</v>
          </cell>
          <cell r="K43">
            <v>0</v>
          </cell>
          <cell r="L43">
            <v>0</v>
          </cell>
          <cell r="M43">
            <v>0</v>
          </cell>
          <cell r="N43">
            <v>0</v>
          </cell>
          <cell r="O43">
            <v>0</v>
          </cell>
          <cell r="P43">
            <v>0</v>
          </cell>
          <cell r="Q43">
            <v>0</v>
          </cell>
        </row>
        <row r="44">
          <cell r="A44">
            <v>33009</v>
          </cell>
          <cell r="B44" t="str">
            <v>Hauling Revenue - Commercial FEL Interco</v>
          </cell>
          <cell r="E44">
            <v>0</v>
          </cell>
          <cell r="F44">
            <v>0</v>
          </cell>
          <cell r="G44">
            <v>0</v>
          </cell>
          <cell r="H44">
            <v>0</v>
          </cell>
          <cell r="I44">
            <v>0</v>
          </cell>
          <cell r="J44">
            <v>0</v>
          </cell>
          <cell r="K44">
            <v>0</v>
          </cell>
          <cell r="L44">
            <v>0</v>
          </cell>
          <cell r="M44">
            <v>0</v>
          </cell>
          <cell r="N44">
            <v>0</v>
          </cell>
          <cell r="O44">
            <v>0</v>
          </cell>
          <cell r="P44">
            <v>0</v>
          </cell>
          <cell r="Q44">
            <v>0</v>
          </cell>
        </row>
        <row r="45">
          <cell r="A45">
            <v>33010</v>
          </cell>
          <cell r="B45" t="str">
            <v>Hauling Revenue - Commercial REL</v>
          </cell>
          <cell r="E45">
            <v>0</v>
          </cell>
          <cell r="F45">
            <v>0</v>
          </cell>
          <cell r="G45">
            <v>0</v>
          </cell>
          <cell r="H45">
            <v>0</v>
          </cell>
          <cell r="I45">
            <v>0</v>
          </cell>
          <cell r="J45">
            <v>0</v>
          </cell>
          <cell r="K45">
            <v>0</v>
          </cell>
          <cell r="L45">
            <v>0</v>
          </cell>
          <cell r="M45">
            <v>0</v>
          </cell>
          <cell r="N45">
            <v>0</v>
          </cell>
          <cell r="O45">
            <v>0</v>
          </cell>
          <cell r="P45">
            <v>0</v>
          </cell>
          <cell r="Q45">
            <v>0</v>
          </cell>
        </row>
        <row r="46">
          <cell r="A46">
            <v>33011</v>
          </cell>
          <cell r="B46" t="str">
            <v>Hauling Revenue - Commercial REL Extras</v>
          </cell>
          <cell r="E46">
            <v>0</v>
          </cell>
          <cell r="F46">
            <v>0</v>
          </cell>
          <cell r="G46">
            <v>0</v>
          </cell>
          <cell r="H46">
            <v>0</v>
          </cell>
          <cell r="I46">
            <v>0</v>
          </cell>
          <cell r="J46">
            <v>0</v>
          </cell>
          <cell r="K46">
            <v>0</v>
          </cell>
          <cell r="L46">
            <v>0</v>
          </cell>
          <cell r="M46">
            <v>0</v>
          </cell>
          <cell r="N46">
            <v>0</v>
          </cell>
          <cell r="O46">
            <v>0</v>
          </cell>
          <cell r="P46">
            <v>0</v>
          </cell>
          <cell r="Q46">
            <v>0</v>
          </cell>
        </row>
        <row r="47">
          <cell r="A47">
            <v>33012</v>
          </cell>
          <cell r="B47" t="str">
            <v>Hauling Revenue - Commercial REL Adjustm</v>
          </cell>
          <cell r="E47">
            <v>0</v>
          </cell>
          <cell r="F47">
            <v>0</v>
          </cell>
          <cell r="G47">
            <v>0</v>
          </cell>
          <cell r="H47">
            <v>0</v>
          </cell>
          <cell r="I47">
            <v>0</v>
          </cell>
          <cell r="J47">
            <v>0</v>
          </cell>
          <cell r="K47">
            <v>0</v>
          </cell>
          <cell r="L47">
            <v>0</v>
          </cell>
          <cell r="M47">
            <v>0</v>
          </cell>
          <cell r="N47">
            <v>0</v>
          </cell>
          <cell r="O47">
            <v>0</v>
          </cell>
          <cell r="P47">
            <v>0</v>
          </cell>
          <cell r="Q47">
            <v>0</v>
          </cell>
        </row>
        <row r="48">
          <cell r="A48">
            <v>33019</v>
          </cell>
          <cell r="B48" t="str">
            <v>Hauling Revenue - Commercial REL Interco</v>
          </cell>
          <cell r="E48">
            <v>0</v>
          </cell>
          <cell r="F48">
            <v>0</v>
          </cell>
          <cell r="G48">
            <v>0</v>
          </cell>
          <cell r="H48">
            <v>0</v>
          </cell>
          <cell r="I48">
            <v>0</v>
          </cell>
          <cell r="J48">
            <v>0</v>
          </cell>
          <cell r="K48">
            <v>0</v>
          </cell>
          <cell r="L48">
            <v>0</v>
          </cell>
          <cell r="M48">
            <v>0</v>
          </cell>
          <cell r="N48">
            <v>0</v>
          </cell>
          <cell r="O48">
            <v>0</v>
          </cell>
          <cell r="P48">
            <v>0</v>
          </cell>
          <cell r="Q48">
            <v>0</v>
          </cell>
        </row>
        <row r="49">
          <cell r="A49">
            <v>33020</v>
          </cell>
          <cell r="B49" t="str">
            <v>Hauling Revenue - Commercial Recycling F</v>
          </cell>
          <cell r="E49">
            <v>119520.55</v>
          </cell>
          <cell r="F49">
            <v>122687.61</v>
          </cell>
          <cell r="G49">
            <v>123043.3</v>
          </cell>
          <cell r="H49">
            <v>123772.17</v>
          </cell>
          <cell r="I49">
            <v>125625.36</v>
          </cell>
          <cell r="J49">
            <v>127061.96</v>
          </cell>
          <cell r="K49">
            <v>116074.3</v>
          </cell>
          <cell r="L49">
            <v>111337.44</v>
          </cell>
          <cell r="M49">
            <v>128400.61</v>
          </cell>
          <cell r="N49">
            <v>133541.20000000001</v>
          </cell>
          <cell r="O49">
            <v>129324.87</v>
          </cell>
          <cell r="P49">
            <v>130696.08</v>
          </cell>
          <cell r="Q49">
            <v>1491085.4500000002</v>
          </cell>
        </row>
        <row r="50">
          <cell r="A50">
            <v>33021</v>
          </cell>
          <cell r="B50" t="str">
            <v>Hauling Revenue - Commercial Recycling F</v>
          </cell>
          <cell r="E50">
            <v>0</v>
          </cell>
          <cell r="F50">
            <v>0</v>
          </cell>
          <cell r="G50">
            <v>0</v>
          </cell>
          <cell r="H50">
            <v>0</v>
          </cell>
          <cell r="I50">
            <v>0</v>
          </cell>
          <cell r="J50">
            <v>0</v>
          </cell>
          <cell r="K50">
            <v>0</v>
          </cell>
          <cell r="L50">
            <v>0</v>
          </cell>
          <cell r="M50">
            <v>0</v>
          </cell>
          <cell r="N50">
            <v>0</v>
          </cell>
          <cell r="O50">
            <v>0</v>
          </cell>
          <cell r="P50">
            <v>0</v>
          </cell>
          <cell r="Q50">
            <v>0</v>
          </cell>
        </row>
        <row r="51">
          <cell r="A51">
            <v>33022</v>
          </cell>
          <cell r="B51" t="str">
            <v>Hauling Revenue - Commercial Recycling F</v>
          </cell>
          <cell r="E51">
            <v>0</v>
          </cell>
          <cell r="F51">
            <v>0</v>
          </cell>
          <cell r="G51">
            <v>0</v>
          </cell>
          <cell r="H51">
            <v>0</v>
          </cell>
          <cell r="I51">
            <v>0</v>
          </cell>
          <cell r="J51">
            <v>0</v>
          </cell>
          <cell r="K51">
            <v>0</v>
          </cell>
          <cell r="L51">
            <v>0</v>
          </cell>
          <cell r="M51">
            <v>0</v>
          </cell>
          <cell r="N51">
            <v>0</v>
          </cell>
          <cell r="O51">
            <v>0</v>
          </cell>
          <cell r="P51">
            <v>0</v>
          </cell>
          <cell r="Q51">
            <v>0</v>
          </cell>
        </row>
        <row r="52">
          <cell r="A52">
            <v>33029</v>
          </cell>
          <cell r="B52" t="str">
            <v>Hauling Revenue - Commercial Recycling F</v>
          </cell>
          <cell r="E52">
            <v>0</v>
          </cell>
          <cell r="F52">
            <v>0</v>
          </cell>
          <cell r="G52">
            <v>0</v>
          </cell>
          <cell r="H52">
            <v>0</v>
          </cell>
          <cell r="I52">
            <v>0</v>
          </cell>
          <cell r="J52">
            <v>0</v>
          </cell>
          <cell r="K52">
            <v>0</v>
          </cell>
          <cell r="L52">
            <v>0</v>
          </cell>
          <cell r="M52">
            <v>0</v>
          </cell>
          <cell r="N52">
            <v>0</v>
          </cell>
          <cell r="O52">
            <v>0</v>
          </cell>
          <cell r="P52">
            <v>0</v>
          </cell>
          <cell r="Q52">
            <v>0</v>
          </cell>
        </row>
        <row r="53">
          <cell r="A53">
            <v>33030</v>
          </cell>
          <cell r="B53" t="str">
            <v>Hauling Revenue - Commercial Recycling R</v>
          </cell>
          <cell r="E53">
            <v>0</v>
          </cell>
          <cell r="F53">
            <v>0</v>
          </cell>
          <cell r="G53">
            <v>0</v>
          </cell>
          <cell r="H53">
            <v>0</v>
          </cell>
          <cell r="I53">
            <v>0</v>
          </cell>
          <cell r="J53">
            <v>0</v>
          </cell>
          <cell r="K53">
            <v>0</v>
          </cell>
          <cell r="L53">
            <v>0</v>
          </cell>
          <cell r="M53">
            <v>0</v>
          </cell>
          <cell r="N53">
            <v>0</v>
          </cell>
          <cell r="O53">
            <v>0</v>
          </cell>
          <cell r="P53">
            <v>0</v>
          </cell>
          <cell r="Q53">
            <v>0</v>
          </cell>
        </row>
        <row r="54">
          <cell r="A54">
            <v>33031</v>
          </cell>
          <cell r="B54" t="str">
            <v>Hauling Revenue - Commercial Recycling R</v>
          </cell>
          <cell r="E54">
            <v>0</v>
          </cell>
          <cell r="F54">
            <v>0</v>
          </cell>
          <cell r="G54">
            <v>0</v>
          </cell>
          <cell r="H54">
            <v>0</v>
          </cell>
          <cell r="I54">
            <v>0</v>
          </cell>
          <cell r="J54">
            <v>0</v>
          </cell>
          <cell r="K54">
            <v>0</v>
          </cell>
          <cell r="L54">
            <v>0</v>
          </cell>
          <cell r="M54">
            <v>0</v>
          </cell>
          <cell r="N54">
            <v>0</v>
          </cell>
          <cell r="O54">
            <v>0</v>
          </cell>
          <cell r="P54">
            <v>0</v>
          </cell>
          <cell r="Q54">
            <v>0</v>
          </cell>
        </row>
        <row r="55">
          <cell r="A55">
            <v>33032</v>
          </cell>
          <cell r="B55" t="str">
            <v>Hauling Revenue - Commercial Recycling R</v>
          </cell>
          <cell r="E55">
            <v>0</v>
          </cell>
          <cell r="F55">
            <v>0</v>
          </cell>
          <cell r="G55">
            <v>0</v>
          </cell>
          <cell r="H55">
            <v>0</v>
          </cell>
          <cell r="I55">
            <v>0</v>
          </cell>
          <cell r="J55">
            <v>0</v>
          </cell>
          <cell r="K55">
            <v>0</v>
          </cell>
          <cell r="L55">
            <v>0</v>
          </cell>
          <cell r="M55">
            <v>0</v>
          </cell>
          <cell r="N55">
            <v>0</v>
          </cell>
          <cell r="O55">
            <v>0</v>
          </cell>
          <cell r="P55">
            <v>0</v>
          </cell>
          <cell r="Q55">
            <v>0</v>
          </cell>
        </row>
        <row r="56">
          <cell r="A56">
            <v>33039</v>
          </cell>
          <cell r="B56" t="str">
            <v>Hauling Revenue - Commercial Recycling R</v>
          </cell>
          <cell r="E56">
            <v>0</v>
          </cell>
          <cell r="F56">
            <v>0</v>
          </cell>
          <cell r="G56">
            <v>0</v>
          </cell>
          <cell r="H56">
            <v>0</v>
          </cell>
          <cell r="I56">
            <v>0</v>
          </cell>
          <cell r="J56">
            <v>0</v>
          </cell>
          <cell r="K56">
            <v>0</v>
          </cell>
          <cell r="L56">
            <v>0</v>
          </cell>
          <cell r="M56">
            <v>0</v>
          </cell>
          <cell r="N56">
            <v>0</v>
          </cell>
          <cell r="O56">
            <v>0</v>
          </cell>
          <cell r="P56">
            <v>0</v>
          </cell>
          <cell r="Q56">
            <v>0</v>
          </cell>
        </row>
        <row r="57">
          <cell r="A57">
            <v>33500</v>
          </cell>
          <cell r="B57" t="str">
            <v>Portable Toilet Revenue</v>
          </cell>
          <cell r="E57">
            <v>0</v>
          </cell>
          <cell r="F57">
            <v>0</v>
          </cell>
          <cell r="G57">
            <v>0</v>
          </cell>
          <cell r="H57">
            <v>0</v>
          </cell>
          <cell r="I57">
            <v>0</v>
          </cell>
          <cell r="J57">
            <v>0</v>
          </cell>
          <cell r="K57">
            <v>0</v>
          </cell>
          <cell r="L57">
            <v>0</v>
          </cell>
          <cell r="M57">
            <v>0</v>
          </cell>
          <cell r="N57">
            <v>0</v>
          </cell>
          <cell r="O57">
            <v>0</v>
          </cell>
          <cell r="P57">
            <v>0</v>
          </cell>
          <cell r="Q57">
            <v>0</v>
          </cell>
        </row>
        <row r="58">
          <cell r="A58">
            <v>33501</v>
          </cell>
          <cell r="B58" t="str">
            <v>Portable Toilet Extras</v>
          </cell>
          <cell r="E58">
            <v>0</v>
          </cell>
          <cell r="F58">
            <v>0</v>
          </cell>
          <cell r="G58">
            <v>0</v>
          </cell>
          <cell r="H58">
            <v>0</v>
          </cell>
          <cell r="I58">
            <v>0</v>
          </cell>
          <cell r="J58">
            <v>0</v>
          </cell>
          <cell r="K58">
            <v>0</v>
          </cell>
          <cell r="L58">
            <v>0</v>
          </cell>
          <cell r="M58">
            <v>0</v>
          </cell>
          <cell r="N58">
            <v>0</v>
          </cell>
          <cell r="O58">
            <v>0</v>
          </cell>
          <cell r="P58">
            <v>0</v>
          </cell>
          <cell r="Q58">
            <v>0</v>
          </cell>
        </row>
        <row r="59">
          <cell r="A59">
            <v>33502</v>
          </cell>
          <cell r="B59" t="str">
            <v>Portable Toilet Adjustments</v>
          </cell>
          <cell r="E59">
            <v>0</v>
          </cell>
          <cell r="F59">
            <v>0</v>
          </cell>
          <cell r="G59">
            <v>0</v>
          </cell>
          <cell r="H59">
            <v>0</v>
          </cell>
          <cell r="I59">
            <v>0</v>
          </cell>
          <cell r="J59">
            <v>0</v>
          </cell>
          <cell r="K59">
            <v>0</v>
          </cell>
          <cell r="L59">
            <v>0</v>
          </cell>
          <cell r="M59">
            <v>0</v>
          </cell>
          <cell r="N59">
            <v>0</v>
          </cell>
          <cell r="O59">
            <v>0</v>
          </cell>
          <cell r="P59">
            <v>0</v>
          </cell>
          <cell r="Q59">
            <v>0</v>
          </cell>
        </row>
        <row r="60">
          <cell r="A60">
            <v>33509</v>
          </cell>
          <cell r="B60" t="str">
            <v>Portable Toilet Intercompany</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Total Hauling</v>
          </cell>
          <cell r="E61">
            <v>2764673.9499999997</v>
          </cell>
          <cell r="F61">
            <v>2732997.1599999997</v>
          </cell>
          <cell r="G61">
            <v>2835849.13</v>
          </cell>
          <cell r="H61">
            <v>2834323.0100000002</v>
          </cell>
          <cell r="I61">
            <v>2846772.3099999996</v>
          </cell>
          <cell r="J61">
            <v>2910560.8800000004</v>
          </cell>
          <cell r="K61">
            <v>2892445.5999999996</v>
          </cell>
          <cell r="L61">
            <v>2894508.3399999994</v>
          </cell>
          <cell r="M61">
            <v>2922642.14</v>
          </cell>
          <cell r="N61">
            <v>2884456.3400000003</v>
          </cell>
          <cell r="O61">
            <v>2891560.59</v>
          </cell>
          <cell r="P61">
            <v>2879104.3000000003</v>
          </cell>
          <cell r="Q61">
            <v>34289893.75</v>
          </cell>
        </row>
        <row r="63">
          <cell r="A63" t="str">
            <v>Transfer</v>
          </cell>
        </row>
        <row r="64">
          <cell r="A64">
            <v>35000</v>
          </cell>
          <cell r="B64" t="str">
            <v>Transfer Station - Third Party</v>
          </cell>
          <cell r="E64">
            <v>0</v>
          </cell>
          <cell r="F64">
            <v>0</v>
          </cell>
          <cell r="G64">
            <v>0</v>
          </cell>
          <cell r="H64">
            <v>0</v>
          </cell>
          <cell r="I64">
            <v>0</v>
          </cell>
          <cell r="J64">
            <v>0</v>
          </cell>
          <cell r="K64">
            <v>0</v>
          </cell>
          <cell r="L64">
            <v>0</v>
          </cell>
          <cell r="M64">
            <v>0</v>
          </cell>
          <cell r="N64">
            <v>0</v>
          </cell>
          <cell r="O64">
            <v>0</v>
          </cell>
          <cell r="P64">
            <v>0</v>
          </cell>
          <cell r="Q64">
            <v>0</v>
          </cell>
        </row>
        <row r="65">
          <cell r="A65">
            <v>35001</v>
          </cell>
          <cell r="B65" t="str">
            <v>Transfer Station - Third Party Adjustmen</v>
          </cell>
          <cell r="E65">
            <v>0</v>
          </cell>
          <cell r="F65">
            <v>0</v>
          </cell>
          <cell r="G65">
            <v>0</v>
          </cell>
          <cell r="H65">
            <v>0</v>
          </cell>
          <cell r="I65">
            <v>0</v>
          </cell>
          <cell r="J65">
            <v>0</v>
          </cell>
          <cell r="K65">
            <v>0</v>
          </cell>
          <cell r="L65">
            <v>0</v>
          </cell>
          <cell r="M65">
            <v>0</v>
          </cell>
          <cell r="N65">
            <v>0</v>
          </cell>
          <cell r="O65">
            <v>0</v>
          </cell>
          <cell r="P65">
            <v>0</v>
          </cell>
          <cell r="Q65">
            <v>0</v>
          </cell>
        </row>
        <row r="66">
          <cell r="A66">
            <v>35009</v>
          </cell>
          <cell r="B66" t="str">
            <v>Transfer Station - Intercompany</v>
          </cell>
          <cell r="E66">
            <v>0</v>
          </cell>
          <cell r="F66">
            <v>0</v>
          </cell>
          <cell r="G66">
            <v>0</v>
          </cell>
          <cell r="H66">
            <v>0</v>
          </cell>
          <cell r="I66">
            <v>0</v>
          </cell>
          <cell r="J66">
            <v>0</v>
          </cell>
          <cell r="K66">
            <v>0</v>
          </cell>
          <cell r="L66">
            <v>0</v>
          </cell>
          <cell r="M66">
            <v>0</v>
          </cell>
          <cell r="N66">
            <v>0</v>
          </cell>
          <cell r="O66">
            <v>0</v>
          </cell>
          <cell r="P66">
            <v>0</v>
          </cell>
          <cell r="Q66">
            <v>0</v>
          </cell>
        </row>
        <row r="67">
          <cell r="A67">
            <v>35500</v>
          </cell>
          <cell r="B67" t="str">
            <v>MRF Processing Charge</v>
          </cell>
          <cell r="E67">
            <v>0</v>
          </cell>
          <cell r="F67">
            <v>0</v>
          </cell>
          <cell r="G67">
            <v>0</v>
          </cell>
          <cell r="H67">
            <v>0</v>
          </cell>
          <cell r="I67">
            <v>0</v>
          </cell>
          <cell r="J67">
            <v>0</v>
          </cell>
          <cell r="K67">
            <v>0</v>
          </cell>
          <cell r="L67">
            <v>0</v>
          </cell>
          <cell r="M67">
            <v>0</v>
          </cell>
          <cell r="N67">
            <v>0</v>
          </cell>
          <cell r="O67">
            <v>0</v>
          </cell>
          <cell r="P67">
            <v>0</v>
          </cell>
          <cell r="Q67">
            <v>0</v>
          </cell>
        </row>
        <row r="68">
          <cell r="A68">
            <v>35501</v>
          </cell>
          <cell r="B68" t="str">
            <v>MRF Processing Charge Adjustments</v>
          </cell>
          <cell r="E68">
            <v>0</v>
          </cell>
          <cell r="F68">
            <v>0</v>
          </cell>
          <cell r="G68">
            <v>0</v>
          </cell>
          <cell r="H68">
            <v>0</v>
          </cell>
          <cell r="I68">
            <v>0</v>
          </cell>
          <cell r="J68">
            <v>0</v>
          </cell>
          <cell r="K68">
            <v>0</v>
          </cell>
          <cell r="L68">
            <v>0</v>
          </cell>
          <cell r="M68">
            <v>0</v>
          </cell>
          <cell r="N68">
            <v>0</v>
          </cell>
          <cell r="O68">
            <v>0</v>
          </cell>
          <cell r="P68">
            <v>0</v>
          </cell>
          <cell r="Q68">
            <v>0</v>
          </cell>
        </row>
        <row r="69">
          <cell r="A69">
            <v>35509</v>
          </cell>
          <cell r="B69" t="str">
            <v>MRF Processing Charge Intercompany</v>
          </cell>
          <cell r="E69">
            <v>0</v>
          </cell>
          <cell r="F69">
            <v>0</v>
          </cell>
          <cell r="G69">
            <v>0</v>
          </cell>
          <cell r="H69">
            <v>0</v>
          </cell>
          <cell r="I69">
            <v>0</v>
          </cell>
          <cell r="J69">
            <v>0</v>
          </cell>
          <cell r="K69">
            <v>0</v>
          </cell>
          <cell r="L69">
            <v>0</v>
          </cell>
          <cell r="M69">
            <v>0</v>
          </cell>
          <cell r="N69">
            <v>0</v>
          </cell>
          <cell r="O69">
            <v>0</v>
          </cell>
          <cell r="P69">
            <v>0</v>
          </cell>
          <cell r="Q69">
            <v>0</v>
          </cell>
        </row>
        <row r="70">
          <cell r="A70" t="str">
            <v>Total Transfer</v>
          </cell>
          <cell r="E70">
            <v>0</v>
          </cell>
          <cell r="F70">
            <v>0</v>
          </cell>
          <cell r="G70">
            <v>0</v>
          </cell>
          <cell r="H70">
            <v>0</v>
          </cell>
          <cell r="I70">
            <v>0</v>
          </cell>
          <cell r="J70">
            <v>0</v>
          </cell>
          <cell r="K70">
            <v>0</v>
          </cell>
          <cell r="L70">
            <v>0</v>
          </cell>
          <cell r="M70">
            <v>0</v>
          </cell>
          <cell r="N70">
            <v>0</v>
          </cell>
          <cell r="O70">
            <v>0</v>
          </cell>
          <cell r="P70">
            <v>0</v>
          </cell>
          <cell r="Q70">
            <v>0</v>
          </cell>
        </row>
        <row r="72">
          <cell r="A72" t="str">
            <v>MRF</v>
          </cell>
        </row>
        <row r="73">
          <cell r="A73">
            <v>35510</v>
          </cell>
          <cell r="B73" t="str">
            <v>Proceeds - OCC</v>
          </cell>
          <cell r="E73">
            <v>0</v>
          </cell>
          <cell r="F73">
            <v>0</v>
          </cell>
          <cell r="G73">
            <v>0</v>
          </cell>
          <cell r="H73">
            <v>0</v>
          </cell>
          <cell r="I73">
            <v>0</v>
          </cell>
          <cell r="J73">
            <v>0</v>
          </cell>
          <cell r="K73">
            <v>0</v>
          </cell>
          <cell r="L73">
            <v>0</v>
          </cell>
          <cell r="M73">
            <v>0</v>
          </cell>
          <cell r="N73">
            <v>0</v>
          </cell>
          <cell r="O73">
            <v>0</v>
          </cell>
          <cell r="P73">
            <v>0</v>
          </cell>
          <cell r="Q73">
            <v>0</v>
          </cell>
        </row>
        <row r="74">
          <cell r="A74">
            <v>35511</v>
          </cell>
          <cell r="B74" t="str">
            <v>Proceeds - ONP</v>
          </cell>
          <cell r="E74">
            <v>0</v>
          </cell>
          <cell r="F74">
            <v>0</v>
          </cell>
          <cell r="G74">
            <v>0</v>
          </cell>
          <cell r="H74">
            <v>0</v>
          </cell>
          <cell r="I74">
            <v>0</v>
          </cell>
          <cell r="J74">
            <v>0</v>
          </cell>
          <cell r="K74">
            <v>0</v>
          </cell>
          <cell r="L74">
            <v>0</v>
          </cell>
          <cell r="M74">
            <v>0</v>
          </cell>
          <cell r="N74">
            <v>0</v>
          </cell>
          <cell r="O74">
            <v>0</v>
          </cell>
          <cell r="P74">
            <v>0</v>
          </cell>
          <cell r="Q74">
            <v>0</v>
          </cell>
        </row>
        <row r="75">
          <cell r="A75">
            <v>35512</v>
          </cell>
          <cell r="B75" t="str">
            <v>Proceeds - Other Paper</v>
          </cell>
          <cell r="E75">
            <v>0</v>
          </cell>
          <cell r="F75">
            <v>0</v>
          </cell>
          <cell r="G75">
            <v>0</v>
          </cell>
          <cell r="H75">
            <v>0</v>
          </cell>
          <cell r="I75">
            <v>0</v>
          </cell>
          <cell r="J75">
            <v>0</v>
          </cell>
          <cell r="K75">
            <v>0</v>
          </cell>
          <cell r="L75">
            <v>0</v>
          </cell>
          <cell r="M75">
            <v>0</v>
          </cell>
          <cell r="N75">
            <v>0</v>
          </cell>
          <cell r="O75">
            <v>0</v>
          </cell>
          <cell r="P75">
            <v>0</v>
          </cell>
          <cell r="Q75">
            <v>0</v>
          </cell>
        </row>
        <row r="76">
          <cell r="A76">
            <v>35513</v>
          </cell>
          <cell r="B76" t="str">
            <v>Proceeds - Aluminum</v>
          </cell>
          <cell r="E76">
            <v>0</v>
          </cell>
          <cell r="F76">
            <v>0</v>
          </cell>
          <cell r="G76">
            <v>0</v>
          </cell>
          <cell r="H76">
            <v>0</v>
          </cell>
          <cell r="I76">
            <v>0</v>
          </cell>
          <cell r="J76">
            <v>0</v>
          </cell>
          <cell r="K76">
            <v>0</v>
          </cell>
          <cell r="L76">
            <v>0</v>
          </cell>
          <cell r="M76">
            <v>0</v>
          </cell>
          <cell r="N76">
            <v>0</v>
          </cell>
          <cell r="O76">
            <v>0</v>
          </cell>
          <cell r="P76">
            <v>0</v>
          </cell>
          <cell r="Q76">
            <v>0</v>
          </cell>
        </row>
        <row r="77">
          <cell r="A77">
            <v>35514</v>
          </cell>
          <cell r="B77" t="str">
            <v>Proceeds - Metal</v>
          </cell>
          <cell r="E77">
            <v>745.55</v>
          </cell>
          <cell r="F77">
            <v>533.20000000000005</v>
          </cell>
          <cell r="G77">
            <v>3342.9</v>
          </cell>
          <cell r="H77">
            <v>13178.15</v>
          </cell>
          <cell r="I77">
            <v>5247</v>
          </cell>
          <cell r="J77">
            <v>16966.05</v>
          </cell>
          <cell r="K77">
            <v>7984.5</v>
          </cell>
          <cell r="L77">
            <v>1463.55</v>
          </cell>
          <cell r="M77">
            <v>-1454.1</v>
          </cell>
          <cell r="N77">
            <v>1425.6</v>
          </cell>
          <cell r="O77">
            <v>1051.75</v>
          </cell>
          <cell r="P77">
            <v>1088</v>
          </cell>
          <cell r="Q77">
            <v>51572.15</v>
          </cell>
        </row>
        <row r="78">
          <cell r="A78">
            <v>35515</v>
          </cell>
          <cell r="B78" t="str">
            <v>Proceeds - Glass</v>
          </cell>
          <cell r="E78">
            <v>0</v>
          </cell>
          <cell r="F78">
            <v>0</v>
          </cell>
          <cell r="G78">
            <v>0</v>
          </cell>
          <cell r="H78">
            <v>0</v>
          </cell>
          <cell r="I78">
            <v>0</v>
          </cell>
          <cell r="J78">
            <v>0</v>
          </cell>
          <cell r="K78">
            <v>0</v>
          </cell>
          <cell r="L78">
            <v>0</v>
          </cell>
          <cell r="M78">
            <v>0</v>
          </cell>
          <cell r="N78">
            <v>0</v>
          </cell>
          <cell r="O78">
            <v>0</v>
          </cell>
          <cell r="P78">
            <v>0</v>
          </cell>
          <cell r="Q78">
            <v>0</v>
          </cell>
        </row>
        <row r="79">
          <cell r="A79">
            <v>35516</v>
          </cell>
          <cell r="B79" t="str">
            <v>Proceeds - Plastic</v>
          </cell>
          <cell r="E79">
            <v>387</v>
          </cell>
          <cell r="F79">
            <v>318.60000000000002</v>
          </cell>
          <cell r="G79">
            <v>0</v>
          </cell>
          <cell r="H79">
            <v>331.2</v>
          </cell>
          <cell r="I79">
            <v>0</v>
          </cell>
          <cell r="J79">
            <v>412.2</v>
          </cell>
          <cell r="K79">
            <v>644.4</v>
          </cell>
          <cell r="L79">
            <v>0</v>
          </cell>
          <cell r="M79">
            <v>0</v>
          </cell>
          <cell r="N79">
            <v>-644.4</v>
          </cell>
          <cell r="O79">
            <v>652</v>
          </cell>
          <cell r="P79">
            <v>0</v>
          </cell>
          <cell r="Q79">
            <v>2101</v>
          </cell>
        </row>
        <row r="80">
          <cell r="A80">
            <v>35517</v>
          </cell>
          <cell r="B80" t="str">
            <v>Proceeds - Other Recyclables</v>
          </cell>
          <cell r="E80">
            <v>0</v>
          </cell>
          <cell r="F80">
            <v>0</v>
          </cell>
          <cell r="G80">
            <v>0</v>
          </cell>
          <cell r="H80">
            <v>0</v>
          </cell>
          <cell r="I80">
            <v>0</v>
          </cell>
          <cell r="J80">
            <v>0</v>
          </cell>
          <cell r="K80">
            <v>0</v>
          </cell>
          <cell r="L80">
            <v>0</v>
          </cell>
          <cell r="M80">
            <v>0</v>
          </cell>
          <cell r="N80">
            <v>0</v>
          </cell>
          <cell r="O80">
            <v>0</v>
          </cell>
          <cell r="P80">
            <v>0</v>
          </cell>
          <cell r="Q80">
            <v>0</v>
          </cell>
        </row>
        <row r="81">
          <cell r="A81">
            <v>35518</v>
          </cell>
          <cell r="B81" t="str">
            <v>Proceeds - Commingled</v>
          </cell>
          <cell r="E81">
            <v>0</v>
          </cell>
          <cell r="F81">
            <v>0</v>
          </cell>
          <cell r="G81">
            <v>0</v>
          </cell>
          <cell r="H81">
            <v>0</v>
          </cell>
          <cell r="I81">
            <v>0</v>
          </cell>
          <cell r="J81">
            <v>0</v>
          </cell>
          <cell r="K81">
            <v>0</v>
          </cell>
          <cell r="L81">
            <v>0</v>
          </cell>
          <cell r="M81">
            <v>0</v>
          </cell>
          <cell r="N81">
            <v>0</v>
          </cell>
          <cell r="O81">
            <v>0</v>
          </cell>
          <cell r="P81">
            <v>0</v>
          </cell>
          <cell r="Q81">
            <v>0</v>
          </cell>
        </row>
        <row r="82">
          <cell r="A82">
            <v>35519</v>
          </cell>
          <cell r="B82" t="str">
            <v>Proceeds - Intercompany Material Sales</v>
          </cell>
          <cell r="E82">
            <v>65030.879999999997</v>
          </cell>
          <cell r="F82">
            <v>76173.81</v>
          </cell>
          <cell r="G82">
            <v>70361.429999999993</v>
          </cell>
          <cell r="H82">
            <v>74831.539999999994</v>
          </cell>
          <cell r="I82">
            <v>73578.62</v>
          </cell>
          <cell r="J82">
            <v>75531.38</v>
          </cell>
          <cell r="K82">
            <v>73771.45</v>
          </cell>
          <cell r="L82">
            <v>57407.56</v>
          </cell>
          <cell r="M82">
            <v>68624.86</v>
          </cell>
          <cell r="N82">
            <v>71603.88</v>
          </cell>
          <cell r="O82">
            <v>84200.36</v>
          </cell>
          <cell r="P82">
            <v>95665.68</v>
          </cell>
          <cell r="Q82">
            <v>886781.45</v>
          </cell>
        </row>
        <row r="83">
          <cell r="A83">
            <v>35520</v>
          </cell>
          <cell r="B83" t="str">
            <v>Support - OCC</v>
          </cell>
          <cell r="E83">
            <v>0</v>
          </cell>
          <cell r="F83">
            <v>0</v>
          </cell>
          <cell r="G83">
            <v>0</v>
          </cell>
          <cell r="H83">
            <v>0</v>
          </cell>
          <cell r="I83">
            <v>0</v>
          </cell>
          <cell r="J83">
            <v>0</v>
          </cell>
          <cell r="K83">
            <v>0</v>
          </cell>
          <cell r="L83">
            <v>0</v>
          </cell>
          <cell r="M83">
            <v>0</v>
          </cell>
          <cell r="N83">
            <v>0</v>
          </cell>
          <cell r="O83">
            <v>0</v>
          </cell>
          <cell r="P83">
            <v>0</v>
          </cell>
          <cell r="Q83">
            <v>0</v>
          </cell>
        </row>
        <row r="84">
          <cell r="A84">
            <v>35521</v>
          </cell>
          <cell r="B84" t="str">
            <v>Support - ONP</v>
          </cell>
          <cell r="E84">
            <v>0</v>
          </cell>
          <cell r="F84">
            <v>0</v>
          </cell>
          <cell r="G84">
            <v>0</v>
          </cell>
          <cell r="H84">
            <v>0</v>
          </cell>
          <cell r="I84">
            <v>0</v>
          </cell>
          <cell r="J84">
            <v>0</v>
          </cell>
          <cell r="K84">
            <v>0</v>
          </cell>
          <cell r="L84">
            <v>0</v>
          </cell>
          <cell r="M84">
            <v>0</v>
          </cell>
          <cell r="N84">
            <v>0</v>
          </cell>
          <cell r="O84">
            <v>0</v>
          </cell>
          <cell r="P84">
            <v>0</v>
          </cell>
          <cell r="Q84">
            <v>0</v>
          </cell>
        </row>
        <row r="85">
          <cell r="A85">
            <v>35522</v>
          </cell>
          <cell r="B85" t="str">
            <v>Support - Other Paper</v>
          </cell>
          <cell r="E85">
            <v>0</v>
          </cell>
          <cell r="F85">
            <v>0</v>
          </cell>
          <cell r="G85">
            <v>0</v>
          </cell>
          <cell r="H85">
            <v>0</v>
          </cell>
          <cell r="I85">
            <v>0</v>
          </cell>
          <cell r="J85">
            <v>0</v>
          </cell>
          <cell r="K85">
            <v>0</v>
          </cell>
          <cell r="L85">
            <v>0</v>
          </cell>
          <cell r="M85">
            <v>0</v>
          </cell>
          <cell r="N85">
            <v>0</v>
          </cell>
          <cell r="O85">
            <v>0</v>
          </cell>
          <cell r="P85">
            <v>0</v>
          </cell>
          <cell r="Q85">
            <v>0</v>
          </cell>
        </row>
        <row r="86">
          <cell r="A86">
            <v>35523</v>
          </cell>
          <cell r="B86" t="str">
            <v>Support - Aluminum</v>
          </cell>
          <cell r="E86">
            <v>0</v>
          </cell>
          <cell r="F86">
            <v>0</v>
          </cell>
          <cell r="G86">
            <v>0</v>
          </cell>
          <cell r="H86">
            <v>0</v>
          </cell>
          <cell r="I86">
            <v>0</v>
          </cell>
          <cell r="J86">
            <v>0</v>
          </cell>
          <cell r="K86">
            <v>0</v>
          </cell>
          <cell r="L86">
            <v>0</v>
          </cell>
          <cell r="M86">
            <v>0</v>
          </cell>
          <cell r="N86">
            <v>0</v>
          </cell>
          <cell r="O86">
            <v>0</v>
          </cell>
          <cell r="P86">
            <v>0</v>
          </cell>
          <cell r="Q86">
            <v>0</v>
          </cell>
        </row>
        <row r="87">
          <cell r="A87">
            <v>35524</v>
          </cell>
          <cell r="B87" t="str">
            <v>Support - Metal</v>
          </cell>
          <cell r="E87">
            <v>0</v>
          </cell>
          <cell r="F87">
            <v>0</v>
          </cell>
          <cell r="G87">
            <v>0</v>
          </cell>
          <cell r="H87">
            <v>0</v>
          </cell>
          <cell r="I87">
            <v>0</v>
          </cell>
          <cell r="J87">
            <v>0</v>
          </cell>
          <cell r="K87">
            <v>0</v>
          </cell>
          <cell r="L87">
            <v>0</v>
          </cell>
          <cell r="M87">
            <v>0</v>
          </cell>
          <cell r="N87">
            <v>0</v>
          </cell>
          <cell r="O87">
            <v>0</v>
          </cell>
          <cell r="P87">
            <v>0</v>
          </cell>
          <cell r="Q87">
            <v>0</v>
          </cell>
        </row>
        <row r="88">
          <cell r="A88">
            <v>35525</v>
          </cell>
          <cell r="B88" t="str">
            <v>Support - Glass</v>
          </cell>
          <cell r="E88">
            <v>0</v>
          </cell>
          <cell r="F88">
            <v>0</v>
          </cell>
          <cell r="G88">
            <v>0</v>
          </cell>
          <cell r="H88">
            <v>0</v>
          </cell>
          <cell r="I88">
            <v>0</v>
          </cell>
          <cell r="J88">
            <v>0</v>
          </cell>
          <cell r="K88">
            <v>0</v>
          </cell>
          <cell r="L88">
            <v>0</v>
          </cell>
          <cell r="M88">
            <v>0</v>
          </cell>
          <cell r="N88">
            <v>0</v>
          </cell>
          <cell r="O88">
            <v>0</v>
          </cell>
          <cell r="P88">
            <v>0</v>
          </cell>
          <cell r="Q88">
            <v>0</v>
          </cell>
        </row>
        <row r="89">
          <cell r="A89">
            <v>35526</v>
          </cell>
          <cell r="B89" t="str">
            <v>Support - Plastic</v>
          </cell>
          <cell r="E89">
            <v>0</v>
          </cell>
          <cell r="F89">
            <v>0</v>
          </cell>
          <cell r="G89">
            <v>0</v>
          </cell>
          <cell r="H89">
            <v>0</v>
          </cell>
          <cell r="I89">
            <v>0</v>
          </cell>
          <cell r="J89">
            <v>0</v>
          </cell>
          <cell r="K89">
            <v>0</v>
          </cell>
          <cell r="L89">
            <v>0</v>
          </cell>
          <cell r="M89">
            <v>0</v>
          </cell>
          <cell r="N89">
            <v>0</v>
          </cell>
          <cell r="O89">
            <v>0</v>
          </cell>
          <cell r="P89">
            <v>0</v>
          </cell>
          <cell r="Q89">
            <v>0</v>
          </cell>
        </row>
        <row r="90">
          <cell r="A90">
            <v>35527</v>
          </cell>
          <cell r="B90" t="str">
            <v>Support - Other Recyclables</v>
          </cell>
          <cell r="E90">
            <v>0</v>
          </cell>
          <cell r="F90">
            <v>0</v>
          </cell>
          <cell r="G90">
            <v>0</v>
          </cell>
          <cell r="H90">
            <v>0</v>
          </cell>
          <cell r="I90">
            <v>0</v>
          </cell>
          <cell r="J90">
            <v>0</v>
          </cell>
          <cell r="K90">
            <v>0</v>
          </cell>
          <cell r="L90">
            <v>0</v>
          </cell>
          <cell r="M90">
            <v>0</v>
          </cell>
          <cell r="N90">
            <v>0</v>
          </cell>
          <cell r="O90">
            <v>0</v>
          </cell>
          <cell r="P90">
            <v>0</v>
          </cell>
          <cell r="Q90">
            <v>0</v>
          </cell>
        </row>
        <row r="91">
          <cell r="A91">
            <v>35529</v>
          </cell>
          <cell r="B91" t="str">
            <v>Support - Intercompany Material Sales</v>
          </cell>
          <cell r="E91">
            <v>0</v>
          </cell>
          <cell r="F91">
            <v>0</v>
          </cell>
          <cell r="G91">
            <v>0</v>
          </cell>
          <cell r="H91">
            <v>0</v>
          </cell>
          <cell r="I91">
            <v>0</v>
          </cell>
          <cell r="J91">
            <v>0</v>
          </cell>
          <cell r="K91">
            <v>0</v>
          </cell>
          <cell r="L91">
            <v>0</v>
          </cell>
          <cell r="M91">
            <v>0</v>
          </cell>
          <cell r="N91">
            <v>0</v>
          </cell>
          <cell r="O91">
            <v>0</v>
          </cell>
          <cell r="P91">
            <v>0</v>
          </cell>
          <cell r="Q91">
            <v>0</v>
          </cell>
        </row>
        <row r="92">
          <cell r="A92">
            <v>35551</v>
          </cell>
          <cell r="B92" t="str">
            <v>Proceeds - Compost</v>
          </cell>
          <cell r="E92">
            <v>0</v>
          </cell>
          <cell r="F92">
            <v>0</v>
          </cell>
          <cell r="G92">
            <v>0</v>
          </cell>
          <cell r="H92">
            <v>0</v>
          </cell>
          <cell r="I92">
            <v>0</v>
          </cell>
          <cell r="J92">
            <v>0</v>
          </cell>
          <cell r="K92">
            <v>0</v>
          </cell>
          <cell r="L92">
            <v>0</v>
          </cell>
          <cell r="M92">
            <v>0</v>
          </cell>
          <cell r="N92">
            <v>0</v>
          </cell>
          <cell r="O92">
            <v>0</v>
          </cell>
          <cell r="P92">
            <v>0</v>
          </cell>
          <cell r="Q92">
            <v>0</v>
          </cell>
        </row>
        <row r="93">
          <cell r="A93">
            <v>35552</v>
          </cell>
          <cell r="B93" t="str">
            <v>Proceeds - Fuel</v>
          </cell>
          <cell r="E93">
            <v>0</v>
          </cell>
          <cell r="F93">
            <v>0</v>
          </cell>
          <cell r="G93">
            <v>0</v>
          </cell>
          <cell r="H93">
            <v>0</v>
          </cell>
          <cell r="I93">
            <v>0</v>
          </cell>
          <cell r="J93">
            <v>0</v>
          </cell>
          <cell r="K93">
            <v>0</v>
          </cell>
          <cell r="L93">
            <v>0</v>
          </cell>
          <cell r="M93">
            <v>0</v>
          </cell>
          <cell r="N93">
            <v>0</v>
          </cell>
          <cell r="O93">
            <v>0</v>
          </cell>
          <cell r="P93">
            <v>0</v>
          </cell>
          <cell r="Q93">
            <v>0</v>
          </cell>
        </row>
        <row r="94">
          <cell r="A94">
            <v>35553</v>
          </cell>
          <cell r="B94" t="str">
            <v>Proceeds - Landscape Materials</v>
          </cell>
          <cell r="E94">
            <v>0</v>
          </cell>
          <cell r="F94">
            <v>0</v>
          </cell>
          <cell r="G94">
            <v>0</v>
          </cell>
          <cell r="H94">
            <v>0</v>
          </cell>
          <cell r="I94">
            <v>0</v>
          </cell>
          <cell r="J94">
            <v>0</v>
          </cell>
          <cell r="K94">
            <v>0</v>
          </cell>
          <cell r="L94">
            <v>0</v>
          </cell>
          <cell r="M94">
            <v>0</v>
          </cell>
          <cell r="N94">
            <v>0</v>
          </cell>
          <cell r="O94">
            <v>0</v>
          </cell>
          <cell r="P94">
            <v>0</v>
          </cell>
          <cell r="Q94">
            <v>0</v>
          </cell>
        </row>
        <row r="95">
          <cell r="A95" t="str">
            <v>Total MRF</v>
          </cell>
          <cell r="E95">
            <v>66163.429999999993</v>
          </cell>
          <cell r="F95">
            <v>77025.61</v>
          </cell>
          <cell r="G95">
            <v>73704.329999999987</v>
          </cell>
          <cell r="H95">
            <v>88340.89</v>
          </cell>
          <cell r="I95">
            <v>78825.62</v>
          </cell>
          <cell r="J95">
            <v>92909.63</v>
          </cell>
          <cell r="K95">
            <v>82400.349999999991</v>
          </cell>
          <cell r="L95">
            <v>58871.11</v>
          </cell>
          <cell r="M95">
            <v>67170.759999999995</v>
          </cell>
          <cell r="N95">
            <v>72385.08</v>
          </cell>
          <cell r="O95">
            <v>85904.11</v>
          </cell>
          <cell r="P95">
            <v>96753.68</v>
          </cell>
          <cell r="Q95">
            <v>940454.6</v>
          </cell>
        </row>
        <row r="97">
          <cell r="A97" t="str">
            <v>Landfill</v>
          </cell>
        </row>
        <row r="98">
          <cell r="A98">
            <v>36000</v>
          </cell>
          <cell r="B98" t="str">
            <v>Landfill Revenue - MSW</v>
          </cell>
          <cell r="E98">
            <v>0</v>
          </cell>
          <cell r="F98">
            <v>0</v>
          </cell>
          <cell r="G98">
            <v>0</v>
          </cell>
          <cell r="H98">
            <v>0</v>
          </cell>
          <cell r="I98">
            <v>0</v>
          </cell>
          <cell r="J98">
            <v>0</v>
          </cell>
          <cell r="K98">
            <v>0</v>
          </cell>
          <cell r="L98">
            <v>0</v>
          </cell>
          <cell r="M98">
            <v>0</v>
          </cell>
          <cell r="N98">
            <v>0</v>
          </cell>
          <cell r="O98">
            <v>0</v>
          </cell>
          <cell r="P98">
            <v>0</v>
          </cell>
          <cell r="Q98">
            <v>0</v>
          </cell>
        </row>
        <row r="99">
          <cell r="A99">
            <v>36001</v>
          </cell>
          <cell r="B99" t="str">
            <v>Landfill Revenue - MSW Adjustments</v>
          </cell>
          <cell r="E99">
            <v>0</v>
          </cell>
          <cell r="F99">
            <v>0</v>
          </cell>
          <cell r="G99">
            <v>0</v>
          </cell>
          <cell r="H99">
            <v>0</v>
          </cell>
          <cell r="I99">
            <v>0</v>
          </cell>
          <cell r="J99">
            <v>0</v>
          </cell>
          <cell r="K99">
            <v>0</v>
          </cell>
          <cell r="L99">
            <v>0</v>
          </cell>
          <cell r="M99">
            <v>0</v>
          </cell>
          <cell r="N99">
            <v>0</v>
          </cell>
          <cell r="O99">
            <v>0</v>
          </cell>
          <cell r="P99">
            <v>0</v>
          </cell>
          <cell r="Q99">
            <v>0</v>
          </cell>
        </row>
        <row r="100">
          <cell r="A100">
            <v>36002</v>
          </cell>
          <cell r="B100" t="str">
            <v>Landfill Revenue - Extras</v>
          </cell>
          <cell r="E100">
            <v>0</v>
          </cell>
          <cell r="F100">
            <v>0</v>
          </cell>
          <cell r="G100">
            <v>0</v>
          </cell>
          <cell r="H100">
            <v>0</v>
          </cell>
          <cell r="I100">
            <v>0</v>
          </cell>
          <cell r="J100">
            <v>0</v>
          </cell>
          <cell r="K100">
            <v>0</v>
          </cell>
          <cell r="L100">
            <v>0</v>
          </cell>
          <cell r="M100">
            <v>0</v>
          </cell>
          <cell r="N100">
            <v>0</v>
          </cell>
          <cell r="O100">
            <v>0</v>
          </cell>
          <cell r="P100">
            <v>0</v>
          </cell>
          <cell r="Q100">
            <v>0</v>
          </cell>
        </row>
        <row r="101">
          <cell r="A101">
            <v>36009</v>
          </cell>
          <cell r="B101" t="str">
            <v>Landfill Revenue - MSW Intercompany</v>
          </cell>
          <cell r="E101">
            <v>0</v>
          </cell>
          <cell r="F101">
            <v>0</v>
          </cell>
          <cell r="G101">
            <v>0</v>
          </cell>
          <cell r="H101">
            <v>0</v>
          </cell>
          <cell r="I101">
            <v>0</v>
          </cell>
          <cell r="J101">
            <v>0</v>
          </cell>
          <cell r="K101">
            <v>0</v>
          </cell>
          <cell r="L101">
            <v>0</v>
          </cell>
          <cell r="M101">
            <v>0</v>
          </cell>
          <cell r="N101">
            <v>0</v>
          </cell>
          <cell r="O101">
            <v>0</v>
          </cell>
          <cell r="P101">
            <v>0</v>
          </cell>
          <cell r="Q101">
            <v>0</v>
          </cell>
        </row>
        <row r="102">
          <cell r="A102">
            <v>36010</v>
          </cell>
          <cell r="B102" t="str">
            <v>Landfill Revenue - C&amp;D</v>
          </cell>
          <cell r="E102">
            <v>0</v>
          </cell>
          <cell r="F102">
            <v>0</v>
          </cell>
          <cell r="G102">
            <v>0</v>
          </cell>
          <cell r="H102">
            <v>0</v>
          </cell>
          <cell r="I102">
            <v>0</v>
          </cell>
          <cell r="J102">
            <v>0</v>
          </cell>
          <cell r="K102">
            <v>0</v>
          </cell>
          <cell r="L102">
            <v>0</v>
          </cell>
          <cell r="M102">
            <v>0</v>
          </cell>
          <cell r="N102">
            <v>0</v>
          </cell>
          <cell r="O102">
            <v>0</v>
          </cell>
          <cell r="P102">
            <v>0</v>
          </cell>
          <cell r="Q102">
            <v>0</v>
          </cell>
        </row>
        <row r="103">
          <cell r="A103">
            <v>36011</v>
          </cell>
          <cell r="B103" t="str">
            <v>Landfill Revenue - C&amp;D Adjustments</v>
          </cell>
          <cell r="E103">
            <v>0</v>
          </cell>
          <cell r="F103">
            <v>0</v>
          </cell>
          <cell r="G103">
            <v>0</v>
          </cell>
          <cell r="H103">
            <v>0</v>
          </cell>
          <cell r="I103">
            <v>0</v>
          </cell>
          <cell r="J103">
            <v>0</v>
          </cell>
          <cell r="K103">
            <v>0</v>
          </cell>
          <cell r="L103">
            <v>0</v>
          </cell>
          <cell r="M103">
            <v>0</v>
          </cell>
          <cell r="N103">
            <v>0</v>
          </cell>
          <cell r="O103">
            <v>0</v>
          </cell>
          <cell r="P103">
            <v>0</v>
          </cell>
          <cell r="Q103">
            <v>0</v>
          </cell>
        </row>
        <row r="104">
          <cell r="A104">
            <v>36019</v>
          </cell>
          <cell r="B104" t="str">
            <v>Landfill Revenue - C&amp;D Intercompany</v>
          </cell>
          <cell r="E104">
            <v>0</v>
          </cell>
          <cell r="F104">
            <v>0</v>
          </cell>
          <cell r="G104">
            <v>0</v>
          </cell>
          <cell r="H104">
            <v>0</v>
          </cell>
          <cell r="I104">
            <v>0</v>
          </cell>
          <cell r="J104">
            <v>0</v>
          </cell>
          <cell r="K104">
            <v>0</v>
          </cell>
          <cell r="L104">
            <v>0</v>
          </cell>
          <cell r="M104">
            <v>0</v>
          </cell>
          <cell r="N104">
            <v>0</v>
          </cell>
          <cell r="O104">
            <v>0</v>
          </cell>
          <cell r="P104">
            <v>0</v>
          </cell>
          <cell r="Q104">
            <v>0</v>
          </cell>
        </row>
        <row r="105">
          <cell r="A105">
            <v>36020</v>
          </cell>
          <cell r="B105" t="str">
            <v>Landfill Revenue - Special Waste</v>
          </cell>
          <cell r="E105">
            <v>0</v>
          </cell>
          <cell r="F105">
            <v>0</v>
          </cell>
          <cell r="G105">
            <v>0</v>
          </cell>
          <cell r="H105">
            <v>0</v>
          </cell>
          <cell r="I105">
            <v>0</v>
          </cell>
          <cell r="J105">
            <v>0</v>
          </cell>
          <cell r="K105">
            <v>0</v>
          </cell>
          <cell r="L105">
            <v>0</v>
          </cell>
          <cell r="M105">
            <v>0</v>
          </cell>
          <cell r="N105">
            <v>0</v>
          </cell>
          <cell r="O105">
            <v>0</v>
          </cell>
          <cell r="P105">
            <v>0</v>
          </cell>
          <cell r="Q105">
            <v>0</v>
          </cell>
        </row>
        <row r="106">
          <cell r="A106">
            <v>36021</v>
          </cell>
          <cell r="B106" t="str">
            <v>Landfill Revenue - Special Waste Adjustm</v>
          </cell>
          <cell r="E106">
            <v>0</v>
          </cell>
          <cell r="F106">
            <v>0</v>
          </cell>
          <cell r="G106">
            <v>0</v>
          </cell>
          <cell r="H106">
            <v>0</v>
          </cell>
          <cell r="I106">
            <v>0</v>
          </cell>
          <cell r="J106">
            <v>0</v>
          </cell>
          <cell r="K106">
            <v>0</v>
          </cell>
          <cell r="L106">
            <v>0</v>
          </cell>
          <cell r="M106">
            <v>0</v>
          </cell>
          <cell r="N106">
            <v>0</v>
          </cell>
          <cell r="O106">
            <v>0</v>
          </cell>
          <cell r="P106">
            <v>0</v>
          </cell>
          <cell r="Q106">
            <v>0</v>
          </cell>
        </row>
        <row r="107">
          <cell r="A107">
            <v>36029</v>
          </cell>
          <cell r="B107" t="str">
            <v>Landfill Revenue - Special Waste Interco</v>
          </cell>
          <cell r="E107">
            <v>0</v>
          </cell>
          <cell r="F107">
            <v>0</v>
          </cell>
          <cell r="G107">
            <v>0</v>
          </cell>
          <cell r="H107">
            <v>0</v>
          </cell>
          <cell r="I107">
            <v>0</v>
          </cell>
          <cell r="J107">
            <v>0</v>
          </cell>
          <cell r="K107">
            <v>0</v>
          </cell>
          <cell r="L107">
            <v>0</v>
          </cell>
          <cell r="M107">
            <v>0</v>
          </cell>
          <cell r="N107">
            <v>0</v>
          </cell>
          <cell r="O107">
            <v>0</v>
          </cell>
          <cell r="P107">
            <v>0</v>
          </cell>
          <cell r="Q107">
            <v>0</v>
          </cell>
        </row>
        <row r="108">
          <cell r="A108">
            <v>36030</v>
          </cell>
          <cell r="B108" t="str">
            <v>Landfill Revenue - Asbestos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A109">
            <v>36031</v>
          </cell>
          <cell r="B109" t="str">
            <v>Landfill Revenue - Asbestos Adjustments</v>
          </cell>
          <cell r="E109">
            <v>0</v>
          </cell>
          <cell r="F109">
            <v>0</v>
          </cell>
          <cell r="G109">
            <v>0</v>
          </cell>
          <cell r="H109">
            <v>0</v>
          </cell>
          <cell r="I109">
            <v>0</v>
          </cell>
          <cell r="J109">
            <v>0</v>
          </cell>
          <cell r="K109">
            <v>0</v>
          </cell>
          <cell r="L109">
            <v>0</v>
          </cell>
          <cell r="M109">
            <v>0</v>
          </cell>
          <cell r="N109">
            <v>0</v>
          </cell>
          <cell r="O109">
            <v>0</v>
          </cell>
          <cell r="P109">
            <v>0</v>
          </cell>
          <cell r="Q109">
            <v>0</v>
          </cell>
        </row>
        <row r="110">
          <cell r="A110">
            <v>36039</v>
          </cell>
          <cell r="B110" t="str">
            <v>Landfill Revenue - Asbestos Intercompany</v>
          </cell>
          <cell r="E110">
            <v>0</v>
          </cell>
          <cell r="F110">
            <v>0</v>
          </cell>
          <cell r="G110">
            <v>0</v>
          </cell>
          <cell r="H110">
            <v>0</v>
          </cell>
          <cell r="I110">
            <v>0</v>
          </cell>
          <cell r="J110">
            <v>0</v>
          </cell>
          <cell r="K110">
            <v>0</v>
          </cell>
          <cell r="L110">
            <v>0</v>
          </cell>
          <cell r="M110">
            <v>0</v>
          </cell>
          <cell r="N110">
            <v>0</v>
          </cell>
          <cell r="O110">
            <v>0</v>
          </cell>
          <cell r="P110">
            <v>0</v>
          </cell>
          <cell r="Q110">
            <v>0</v>
          </cell>
        </row>
        <row r="111">
          <cell r="A111">
            <v>36040</v>
          </cell>
          <cell r="B111" t="str">
            <v>Landfill Revenue - Contaminated Soil</v>
          </cell>
          <cell r="E111">
            <v>0</v>
          </cell>
          <cell r="F111">
            <v>0</v>
          </cell>
          <cell r="G111">
            <v>0</v>
          </cell>
          <cell r="H111">
            <v>0</v>
          </cell>
          <cell r="I111">
            <v>0</v>
          </cell>
          <cell r="J111">
            <v>0</v>
          </cell>
          <cell r="K111">
            <v>0</v>
          </cell>
          <cell r="L111">
            <v>0</v>
          </cell>
          <cell r="M111">
            <v>0</v>
          </cell>
          <cell r="N111">
            <v>0</v>
          </cell>
          <cell r="O111">
            <v>0</v>
          </cell>
          <cell r="P111">
            <v>0</v>
          </cell>
          <cell r="Q111">
            <v>0</v>
          </cell>
        </row>
        <row r="112">
          <cell r="A112">
            <v>36041</v>
          </cell>
          <cell r="B112" t="str">
            <v>Landfill Revenue - Contaminated Soil Adj</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A113">
            <v>36049</v>
          </cell>
          <cell r="B113" t="str">
            <v>Landfill Revenue - Contaminated Soil Int</v>
          </cell>
          <cell r="E113">
            <v>0</v>
          </cell>
          <cell r="F113">
            <v>0</v>
          </cell>
          <cell r="G113">
            <v>0</v>
          </cell>
          <cell r="H113">
            <v>0</v>
          </cell>
          <cell r="I113">
            <v>0</v>
          </cell>
          <cell r="J113">
            <v>0</v>
          </cell>
          <cell r="K113">
            <v>0</v>
          </cell>
          <cell r="L113">
            <v>0</v>
          </cell>
          <cell r="M113">
            <v>0</v>
          </cell>
          <cell r="N113">
            <v>0</v>
          </cell>
          <cell r="O113">
            <v>0</v>
          </cell>
          <cell r="P113">
            <v>0</v>
          </cell>
          <cell r="Q113">
            <v>0</v>
          </cell>
        </row>
        <row r="114">
          <cell r="A114">
            <v>36050</v>
          </cell>
          <cell r="B114" t="str">
            <v>Landfill Revenue - Yard Waste</v>
          </cell>
          <cell r="E114">
            <v>0</v>
          </cell>
          <cell r="F114">
            <v>0</v>
          </cell>
          <cell r="G114">
            <v>0</v>
          </cell>
          <cell r="H114">
            <v>0</v>
          </cell>
          <cell r="I114">
            <v>0</v>
          </cell>
          <cell r="J114">
            <v>0</v>
          </cell>
          <cell r="K114">
            <v>0</v>
          </cell>
          <cell r="L114">
            <v>0</v>
          </cell>
          <cell r="M114">
            <v>0</v>
          </cell>
          <cell r="N114">
            <v>0</v>
          </cell>
          <cell r="O114">
            <v>0</v>
          </cell>
          <cell r="P114">
            <v>0</v>
          </cell>
          <cell r="Q114">
            <v>0</v>
          </cell>
        </row>
        <row r="115">
          <cell r="A115">
            <v>36051</v>
          </cell>
          <cell r="B115" t="str">
            <v>Landfill Revenue - Yard Waste Adjustment</v>
          </cell>
          <cell r="E115">
            <v>0</v>
          </cell>
          <cell r="F115">
            <v>0</v>
          </cell>
          <cell r="G115">
            <v>0</v>
          </cell>
          <cell r="H115">
            <v>0</v>
          </cell>
          <cell r="I115">
            <v>0</v>
          </cell>
          <cell r="J115">
            <v>0</v>
          </cell>
          <cell r="K115">
            <v>0</v>
          </cell>
          <cell r="L115">
            <v>0</v>
          </cell>
          <cell r="M115">
            <v>0</v>
          </cell>
          <cell r="N115">
            <v>0</v>
          </cell>
          <cell r="O115">
            <v>0</v>
          </cell>
          <cell r="P115">
            <v>0</v>
          </cell>
          <cell r="Q115">
            <v>0</v>
          </cell>
        </row>
        <row r="116">
          <cell r="A116">
            <v>36059</v>
          </cell>
          <cell r="B116" t="str">
            <v>Landfill Revenue - Yard Waste Intercompa</v>
          </cell>
          <cell r="E116">
            <v>0</v>
          </cell>
          <cell r="F116">
            <v>0</v>
          </cell>
          <cell r="G116">
            <v>0</v>
          </cell>
          <cell r="H116">
            <v>0</v>
          </cell>
          <cell r="I116">
            <v>0</v>
          </cell>
          <cell r="J116">
            <v>0</v>
          </cell>
          <cell r="K116">
            <v>0</v>
          </cell>
          <cell r="L116">
            <v>0</v>
          </cell>
          <cell r="M116">
            <v>0</v>
          </cell>
          <cell r="N116">
            <v>0</v>
          </cell>
          <cell r="O116">
            <v>0</v>
          </cell>
          <cell r="P116">
            <v>0</v>
          </cell>
          <cell r="Q116">
            <v>0</v>
          </cell>
        </row>
        <row r="117">
          <cell r="A117">
            <v>36090</v>
          </cell>
          <cell r="B117" t="str">
            <v>Landfill Pass Through Revenue</v>
          </cell>
          <cell r="E117">
            <v>0</v>
          </cell>
          <cell r="F117">
            <v>0</v>
          </cell>
          <cell r="G117">
            <v>0</v>
          </cell>
          <cell r="H117">
            <v>0</v>
          </cell>
          <cell r="I117">
            <v>0</v>
          </cell>
          <cell r="J117">
            <v>0</v>
          </cell>
          <cell r="K117">
            <v>0</v>
          </cell>
          <cell r="L117">
            <v>0</v>
          </cell>
          <cell r="M117">
            <v>0</v>
          </cell>
          <cell r="N117">
            <v>0</v>
          </cell>
          <cell r="O117">
            <v>0</v>
          </cell>
          <cell r="P117">
            <v>0</v>
          </cell>
          <cell r="Q117">
            <v>0</v>
          </cell>
        </row>
        <row r="118">
          <cell r="A118">
            <v>36099</v>
          </cell>
          <cell r="B118" t="str">
            <v>Landfill Pass Through Revenue Intercompany</v>
          </cell>
          <cell r="E118">
            <v>0</v>
          </cell>
          <cell r="F118">
            <v>0</v>
          </cell>
          <cell r="G118">
            <v>0</v>
          </cell>
          <cell r="H118">
            <v>0</v>
          </cell>
          <cell r="I118">
            <v>0</v>
          </cell>
          <cell r="J118">
            <v>0</v>
          </cell>
          <cell r="K118">
            <v>0</v>
          </cell>
          <cell r="L118">
            <v>0</v>
          </cell>
          <cell r="M118">
            <v>0</v>
          </cell>
          <cell r="N118">
            <v>0</v>
          </cell>
          <cell r="O118">
            <v>0</v>
          </cell>
          <cell r="P118">
            <v>0</v>
          </cell>
          <cell r="Q118">
            <v>0</v>
          </cell>
        </row>
        <row r="119">
          <cell r="A119">
            <v>36301</v>
          </cell>
          <cell r="B119" t="str">
            <v>E&amp;P Liquids - Non Count Waste</v>
          </cell>
          <cell r="E119">
            <v>0</v>
          </cell>
          <cell r="F119">
            <v>0</v>
          </cell>
          <cell r="G119">
            <v>0</v>
          </cell>
          <cell r="H119">
            <v>0</v>
          </cell>
          <cell r="I119">
            <v>0</v>
          </cell>
          <cell r="J119">
            <v>0</v>
          </cell>
          <cell r="K119">
            <v>0</v>
          </cell>
          <cell r="L119">
            <v>0</v>
          </cell>
          <cell r="M119">
            <v>0</v>
          </cell>
          <cell r="N119">
            <v>0</v>
          </cell>
          <cell r="O119">
            <v>0</v>
          </cell>
          <cell r="P119">
            <v>0</v>
          </cell>
          <cell r="Q119">
            <v>0</v>
          </cell>
        </row>
        <row r="120">
          <cell r="A120">
            <v>36309</v>
          </cell>
          <cell r="B120" t="str">
            <v>E&amp;P Liquids - Non Count Waste Intercompany</v>
          </cell>
          <cell r="E120">
            <v>0</v>
          </cell>
          <cell r="F120">
            <v>0</v>
          </cell>
          <cell r="G120">
            <v>0</v>
          </cell>
          <cell r="H120">
            <v>0</v>
          </cell>
          <cell r="I120">
            <v>0</v>
          </cell>
          <cell r="J120">
            <v>0</v>
          </cell>
          <cell r="K120">
            <v>0</v>
          </cell>
          <cell r="L120">
            <v>0</v>
          </cell>
          <cell r="M120">
            <v>0</v>
          </cell>
          <cell r="N120">
            <v>0</v>
          </cell>
          <cell r="O120">
            <v>0</v>
          </cell>
          <cell r="P120">
            <v>0</v>
          </cell>
          <cell r="Q120">
            <v>0</v>
          </cell>
        </row>
        <row r="121">
          <cell r="A121">
            <v>36311</v>
          </cell>
          <cell r="B121" t="str">
            <v>E&amp;P Liquids - Count Waste</v>
          </cell>
          <cell r="E121">
            <v>0</v>
          </cell>
          <cell r="F121">
            <v>0</v>
          </cell>
          <cell r="G121">
            <v>0</v>
          </cell>
          <cell r="H121">
            <v>0</v>
          </cell>
          <cell r="I121">
            <v>0</v>
          </cell>
          <cell r="J121">
            <v>0</v>
          </cell>
          <cell r="K121">
            <v>0</v>
          </cell>
          <cell r="L121">
            <v>0</v>
          </cell>
          <cell r="M121">
            <v>0</v>
          </cell>
          <cell r="N121">
            <v>0</v>
          </cell>
          <cell r="O121">
            <v>0</v>
          </cell>
          <cell r="P121">
            <v>0</v>
          </cell>
          <cell r="Q121">
            <v>0</v>
          </cell>
        </row>
        <row r="122">
          <cell r="A122">
            <v>36319</v>
          </cell>
          <cell r="B122" t="str">
            <v>E&amp;P Liquids - Count Waste Intercompany</v>
          </cell>
          <cell r="E122">
            <v>0</v>
          </cell>
          <cell r="F122">
            <v>0</v>
          </cell>
          <cell r="G122">
            <v>0</v>
          </cell>
          <cell r="H122">
            <v>0</v>
          </cell>
          <cell r="I122">
            <v>0</v>
          </cell>
          <cell r="J122">
            <v>0</v>
          </cell>
          <cell r="K122">
            <v>0</v>
          </cell>
          <cell r="L122">
            <v>0</v>
          </cell>
          <cell r="M122">
            <v>0</v>
          </cell>
          <cell r="N122">
            <v>0</v>
          </cell>
          <cell r="O122">
            <v>0</v>
          </cell>
          <cell r="P122">
            <v>0</v>
          </cell>
          <cell r="Q122">
            <v>0</v>
          </cell>
        </row>
        <row r="123">
          <cell r="A123">
            <v>36321</v>
          </cell>
          <cell r="B123" t="str">
            <v>Other Liquids - Non E&amp;P</v>
          </cell>
          <cell r="E123">
            <v>0</v>
          </cell>
          <cell r="F123">
            <v>0</v>
          </cell>
          <cell r="G123">
            <v>0</v>
          </cell>
          <cell r="H123">
            <v>0</v>
          </cell>
          <cell r="I123">
            <v>0</v>
          </cell>
          <cell r="J123">
            <v>0</v>
          </cell>
          <cell r="K123">
            <v>0</v>
          </cell>
          <cell r="L123">
            <v>0</v>
          </cell>
          <cell r="M123">
            <v>0</v>
          </cell>
          <cell r="N123">
            <v>0</v>
          </cell>
          <cell r="O123">
            <v>0</v>
          </cell>
          <cell r="P123">
            <v>0</v>
          </cell>
          <cell r="Q123">
            <v>0</v>
          </cell>
        </row>
        <row r="124">
          <cell r="A124">
            <v>36329</v>
          </cell>
          <cell r="B124" t="str">
            <v>Other Liquids - Non E&amp;P Intercompany</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A125">
            <v>36331</v>
          </cell>
          <cell r="B125" t="str">
            <v>E&amp;P Solids - Count Waste</v>
          </cell>
          <cell r="E125">
            <v>0</v>
          </cell>
          <cell r="F125">
            <v>0</v>
          </cell>
          <cell r="G125">
            <v>0</v>
          </cell>
          <cell r="H125">
            <v>0</v>
          </cell>
          <cell r="I125">
            <v>0</v>
          </cell>
          <cell r="J125">
            <v>0</v>
          </cell>
          <cell r="K125">
            <v>0</v>
          </cell>
          <cell r="L125">
            <v>0</v>
          </cell>
          <cell r="M125">
            <v>0</v>
          </cell>
          <cell r="N125">
            <v>0</v>
          </cell>
          <cell r="O125">
            <v>0</v>
          </cell>
          <cell r="P125">
            <v>0</v>
          </cell>
          <cell r="Q125">
            <v>0</v>
          </cell>
        </row>
        <row r="126">
          <cell r="A126">
            <v>36339</v>
          </cell>
          <cell r="B126" t="str">
            <v>E&amp;P Solids - Count Waste Intercompany</v>
          </cell>
          <cell r="E126">
            <v>0</v>
          </cell>
          <cell r="F126">
            <v>0</v>
          </cell>
          <cell r="G126">
            <v>0</v>
          </cell>
          <cell r="H126">
            <v>0</v>
          </cell>
          <cell r="I126">
            <v>0</v>
          </cell>
          <cell r="J126">
            <v>0</v>
          </cell>
          <cell r="K126">
            <v>0</v>
          </cell>
          <cell r="L126">
            <v>0</v>
          </cell>
          <cell r="M126">
            <v>0</v>
          </cell>
          <cell r="N126">
            <v>0</v>
          </cell>
          <cell r="O126">
            <v>0</v>
          </cell>
          <cell r="P126">
            <v>0</v>
          </cell>
          <cell r="Q126">
            <v>0</v>
          </cell>
        </row>
        <row r="127">
          <cell r="A127" t="str">
            <v>Total Landfill</v>
          </cell>
          <cell r="E127">
            <v>0</v>
          </cell>
          <cell r="F127">
            <v>0</v>
          </cell>
          <cell r="G127">
            <v>0</v>
          </cell>
          <cell r="H127">
            <v>0</v>
          </cell>
          <cell r="I127">
            <v>0</v>
          </cell>
          <cell r="J127">
            <v>0</v>
          </cell>
          <cell r="K127">
            <v>0</v>
          </cell>
          <cell r="L127">
            <v>0</v>
          </cell>
          <cell r="M127">
            <v>0</v>
          </cell>
          <cell r="N127">
            <v>0</v>
          </cell>
          <cell r="O127">
            <v>0</v>
          </cell>
          <cell r="P127">
            <v>0</v>
          </cell>
          <cell r="Q127">
            <v>0</v>
          </cell>
        </row>
        <row r="129">
          <cell r="A129" t="str">
            <v>Intermodal</v>
          </cell>
        </row>
        <row r="130">
          <cell r="A130">
            <v>36101</v>
          </cell>
          <cell r="B130" t="str">
            <v>Rail Drayage Revenue</v>
          </cell>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A131">
            <v>36109</v>
          </cell>
          <cell r="B131" t="str">
            <v>Rail Drayage Revenue - Intercompany</v>
          </cell>
          <cell r="E131">
            <v>0</v>
          </cell>
          <cell r="F131">
            <v>0</v>
          </cell>
          <cell r="G131">
            <v>0</v>
          </cell>
          <cell r="H131">
            <v>0</v>
          </cell>
          <cell r="I131">
            <v>0</v>
          </cell>
          <cell r="J131">
            <v>0</v>
          </cell>
          <cell r="K131">
            <v>0</v>
          </cell>
          <cell r="L131">
            <v>0</v>
          </cell>
          <cell r="M131">
            <v>0</v>
          </cell>
          <cell r="N131">
            <v>0</v>
          </cell>
          <cell r="O131">
            <v>0</v>
          </cell>
          <cell r="P131">
            <v>0</v>
          </cell>
          <cell r="Q131">
            <v>0</v>
          </cell>
        </row>
        <row r="132">
          <cell r="A132">
            <v>36111</v>
          </cell>
          <cell r="B132" t="str">
            <v>Truck Drayage Revenue</v>
          </cell>
          <cell r="E132">
            <v>0</v>
          </cell>
          <cell r="F132">
            <v>0</v>
          </cell>
          <cell r="G132">
            <v>0</v>
          </cell>
          <cell r="H132">
            <v>0</v>
          </cell>
          <cell r="I132">
            <v>0</v>
          </cell>
          <cell r="J132">
            <v>0</v>
          </cell>
          <cell r="K132">
            <v>0</v>
          </cell>
          <cell r="L132">
            <v>0</v>
          </cell>
          <cell r="M132">
            <v>0</v>
          </cell>
          <cell r="N132">
            <v>0</v>
          </cell>
          <cell r="O132">
            <v>0</v>
          </cell>
          <cell r="P132">
            <v>0</v>
          </cell>
          <cell r="Q132">
            <v>0</v>
          </cell>
        </row>
        <row r="133">
          <cell r="A133">
            <v>36119</v>
          </cell>
          <cell r="B133" t="str">
            <v>Truck Drayage Revenue - Intercompany</v>
          </cell>
          <cell r="E133">
            <v>0</v>
          </cell>
          <cell r="F133">
            <v>0</v>
          </cell>
          <cell r="G133">
            <v>0</v>
          </cell>
          <cell r="H133">
            <v>0</v>
          </cell>
          <cell r="I133">
            <v>0</v>
          </cell>
          <cell r="J133">
            <v>0</v>
          </cell>
          <cell r="K133">
            <v>0</v>
          </cell>
          <cell r="L133">
            <v>0</v>
          </cell>
          <cell r="M133">
            <v>0</v>
          </cell>
          <cell r="N133">
            <v>0</v>
          </cell>
          <cell r="O133">
            <v>0</v>
          </cell>
          <cell r="P133">
            <v>0</v>
          </cell>
          <cell r="Q133">
            <v>0</v>
          </cell>
        </row>
        <row r="134">
          <cell r="A134">
            <v>36121</v>
          </cell>
          <cell r="B134" t="str">
            <v>Barge Drayage Revenue</v>
          </cell>
          <cell r="E134">
            <v>0</v>
          </cell>
          <cell r="F134">
            <v>0</v>
          </cell>
          <cell r="G134">
            <v>0</v>
          </cell>
          <cell r="H134">
            <v>0</v>
          </cell>
          <cell r="I134">
            <v>0</v>
          </cell>
          <cell r="J134">
            <v>0</v>
          </cell>
          <cell r="K134">
            <v>0</v>
          </cell>
          <cell r="L134">
            <v>0</v>
          </cell>
          <cell r="M134">
            <v>0</v>
          </cell>
          <cell r="N134">
            <v>0</v>
          </cell>
          <cell r="O134">
            <v>0</v>
          </cell>
          <cell r="P134">
            <v>0</v>
          </cell>
          <cell r="Q134">
            <v>0</v>
          </cell>
        </row>
        <row r="135">
          <cell r="A135">
            <v>36131</v>
          </cell>
          <cell r="B135" t="str">
            <v>Service Labor Revenue</v>
          </cell>
          <cell r="E135">
            <v>0</v>
          </cell>
          <cell r="F135">
            <v>0</v>
          </cell>
          <cell r="G135">
            <v>0</v>
          </cell>
          <cell r="H135">
            <v>0</v>
          </cell>
          <cell r="I135">
            <v>0</v>
          </cell>
          <cell r="J135">
            <v>0</v>
          </cell>
          <cell r="K135">
            <v>0</v>
          </cell>
          <cell r="L135">
            <v>0</v>
          </cell>
          <cell r="M135">
            <v>0</v>
          </cell>
          <cell r="N135">
            <v>0</v>
          </cell>
          <cell r="O135">
            <v>0</v>
          </cell>
          <cell r="P135">
            <v>0</v>
          </cell>
          <cell r="Q135">
            <v>0</v>
          </cell>
        </row>
        <row r="136">
          <cell r="A136">
            <v>36141</v>
          </cell>
          <cell r="B136" t="str">
            <v>Refrigeration Labor Revenue</v>
          </cell>
          <cell r="E136">
            <v>0</v>
          </cell>
          <cell r="F136">
            <v>0</v>
          </cell>
          <cell r="G136">
            <v>0</v>
          </cell>
          <cell r="H136">
            <v>0</v>
          </cell>
          <cell r="I136">
            <v>0</v>
          </cell>
          <cell r="J136">
            <v>0</v>
          </cell>
          <cell r="K136">
            <v>0</v>
          </cell>
          <cell r="L136">
            <v>0</v>
          </cell>
          <cell r="M136">
            <v>0</v>
          </cell>
          <cell r="N136">
            <v>0</v>
          </cell>
          <cell r="O136">
            <v>0</v>
          </cell>
          <cell r="P136">
            <v>0</v>
          </cell>
          <cell r="Q136">
            <v>0</v>
          </cell>
        </row>
        <row r="137">
          <cell r="A137">
            <v>36145</v>
          </cell>
          <cell r="B137" t="str">
            <v>Parts Revenue</v>
          </cell>
          <cell r="E137">
            <v>0</v>
          </cell>
          <cell r="F137">
            <v>0</v>
          </cell>
          <cell r="G137">
            <v>0</v>
          </cell>
          <cell r="H137">
            <v>0</v>
          </cell>
          <cell r="I137">
            <v>0</v>
          </cell>
          <cell r="J137">
            <v>0</v>
          </cell>
          <cell r="K137">
            <v>0</v>
          </cell>
          <cell r="L137">
            <v>0</v>
          </cell>
          <cell r="M137">
            <v>0</v>
          </cell>
          <cell r="N137">
            <v>0</v>
          </cell>
          <cell r="O137">
            <v>0</v>
          </cell>
          <cell r="P137">
            <v>0</v>
          </cell>
          <cell r="Q137">
            <v>0</v>
          </cell>
        </row>
        <row r="138">
          <cell r="A138">
            <v>36151</v>
          </cell>
          <cell r="B138" t="str">
            <v>Container Sales Revenue</v>
          </cell>
          <cell r="E138">
            <v>0</v>
          </cell>
          <cell r="F138">
            <v>0</v>
          </cell>
          <cell r="G138">
            <v>0</v>
          </cell>
          <cell r="H138">
            <v>0</v>
          </cell>
          <cell r="I138">
            <v>0</v>
          </cell>
          <cell r="J138">
            <v>0</v>
          </cell>
          <cell r="K138">
            <v>0</v>
          </cell>
          <cell r="L138">
            <v>0</v>
          </cell>
          <cell r="M138">
            <v>0</v>
          </cell>
          <cell r="N138">
            <v>0</v>
          </cell>
          <cell r="O138">
            <v>0</v>
          </cell>
          <cell r="P138">
            <v>0</v>
          </cell>
          <cell r="Q138">
            <v>0</v>
          </cell>
        </row>
        <row r="139">
          <cell r="A139">
            <v>36161</v>
          </cell>
          <cell r="B139" t="str">
            <v>Container Rental Revenue</v>
          </cell>
          <cell r="E139">
            <v>0</v>
          </cell>
          <cell r="F139">
            <v>0</v>
          </cell>
          <cell r="G139">
            <v>0</v>
          </cell>
          <cell r="H139">
            <v>0</v>
          </cell>
          <cell r="I139">
            <v>0</v>
          </cell>
          <cell r="J139">
            <v>0</v>
          </cell>
          <cell r="K139">
            <v>0</v>
          </cell>
          <cell r="L139">
            <v>0</v>
          </cell>
          <cell r="M139">
            <v>0</v>
          </cell>
          <cell r="N139">
            <v>0</v>
          </cell>
          <cell r="O139">
            <v>0</v>
          </cell>
          <cell r="P139">
            <v>0</v>
          </cell>
          <cell r="Q139">
            <v>0</v>
          </cell>
        </row>
        <row r="140">
          <cell r="A140">
            <v>36171</v>
          </cell>
          <cell r="B140" t="str">
            <v>Intermodal Revenue</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A141">
            <v>36181</v>
          </cell>
          <cell r="B141" t="str">
            <v>Chassis Lease Revenue</v>
          </cell>
          <cell r="E141">
            <v>0</v>
          </cell>
          <cell r="F141">
            <v>0</v>
          </cell>
          <cell r="G141">
            <v>0</v>
          </cell>
          <cell r="H141">
            <v>0</v>
          </cell>
          <cell r="I141">
            <v>0</v>
          </cell>
          <cell r="J141">
            <v>0</v>
          </cell>
          <cell r="K141">
            <v>0</v>
          </cell>
          <cell r="L141">
            <v>0</v>
          </cell>
          <cell r="M141">
            <v>0</v>
          </cell>
          <cell r="N141">
            <v>0</v>
          </cell>
          <cell r="O141">
            <v>0</v>
          </cell>
          <cell r="P141">
            <v>0</v>
          </cell>
          <cell r="Q141">
            <v>0</v>
          </cell>
        </row>
        <row r="142">
          <cell r="A142">
            <v>36191</v>
          </cell>
          <cell r="B142" t="str">
            <v>Interchanges Revenue</v>
          </cell>
          <cell r="E142">
            <v>0</v>
          </cell>
          <cell r="F142">
            <v>0</v>
          </cell>
          <cell r="G142">
            <v>0</v>
          </cell>
          <cell r="H142">
            <v>0</v>
          </cell>
          <cell r="I142">
            <v>0</v>
          </cell>
          <cell r="J142">
            <v>0</v>
          </cell>
          <cell r="K142">
            <v>0</v>
          </cell>
          <cell r="L142">
            <v>0</v>
          </cell>
          <cell r="M142">
            <v>0</v>
          </cell>
          <cell r="N142">
            <v>0</v>
          </cell>
          <cell r="O142">
            <v>0</v>
          </cell>
          <cell r="P142">
            <v>0</v>
          </cell>
          <cell r="Q142">
            <v>0</v>
          </cell>
        </row>
        <row r="143">
          <cell r="A143">
            <v>36201</v>
          </cell>
          <cell r="B143" t="str">
            <v>Storage Revenue</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A144">
            <v>36211</v>
          </cell>
          <cell r="B144" t="str">
            <v>Empty Lifts Revenue</v>
          </cell>
          <cell r="E144">
            <v>0</v>
          </cell>
          <cell r="F144">
            <v>0</v>
          </cell>
          <cell r="G144">
            <v>0</v>
          </cell>
          <cell r="H144">
            <v>0</v>
          </cell>
          <cell r="I144">
            <v>0</v>
          </cell>
          <cell r="J144">
            <v>0</v>
          </cell>
          <cell r="K144">
            <v>0</v>
          </cell>
          <cell r="L144">
            <v>0</v>
          </cell>
          <cell r="M144">
            <v>0</v>
          </cell>
          <cell r="N144">
            <v>0</v>
          </cell>
          <cell r="O144">
            <v>0</v>
          </cell>
          <cell r="P144">
            <v>0</v>
          </cell>
          <cell r="Q144">
            <v>0</v>
          </cell>
        </row>
        <row r="145">
          <cell r="A145">
            <v>36221</v>
          </cell>
          <cell r="B145" t="str">
            <v>Load Lifts Revenue</v>
          </cell>
          <cell r="E145">
            <v>0</v>
          </cell>
          <cell r="F145">
            <v>0</v>
          </cell>
          <cell r="G145">
            <v>0</v>
          </cell>
          <cell r="H145">
            <v>0</v>
          </cell>
          <cell r="I145">
            <v>0</v>
          </cell>
          <cell r="J145">
            <v>0</v>
          </cell>
          <cell r="K145">
            <v>0</v>
          </cell>
          <cell r="L145">
            <v>0</v>
          </cell>
          <cell r="M145">
            <v>0</v>
          </cell>
          <cell r="N145">
            <v>0</v>
          </cell>
          <cell r="O145">
            <v>0</v>
          </cell>
          <cell r="P145">
            <v>0</v>
          </cell>
          <cell r="Q145">
            <v>0</v>
          </cell>
        </row>
        <row r="146">
          <cell r="A146" t="str">
            <v>Total Intermodal</v>
          </cell>
          <cell r="E146">
            <v>0</v>
          </cell>
          <cell r="F146">
            <v>0</v>
          </cell>
          <cell r="G146">
            <v>0</v>
          </cell>
          <cell r="H146">
            <v>0</v>
          </cell>
          <cell r="I146">
            <v>0</v>
          </cell>
          <cell r="J146">
            <v>0</v>
          </cell>
          <cell r="K146">
            <v>0</v>
          </cell>
          <cell r="L146">
            <v>0</v>
          </cell>
          <cell r="M146">
            <v>0</v>
          </cell>
          <cell r="N146">
            <v>0</v>
          </cell>
          <cell r="O146">
            <v>0</v>
          </cell>
          <cell r="P146">
            <v>0</v>
          </cell>
          <cell r="Q146">
            <v>0</v>
          </cell>
        </row>
        <row r="148">
          <cell r="A148" t="str">
            <v>Other Revenue</v>
          </cell>
        </row>
        <row r="149">
          <cell r="A149">
            <v>37001</v>
          </cell>
          <cell r="B149" t="str">
            <v>Sale of Equipment</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A150">
            <v>37010</v>
          </cell>
          <cell r="B150" t="str">
            <v>Tire Processing Revenue</v>
          </cell>
          <cell r="E150">
            <v>0</v>
          </cell>
          <cell r="F150">
            <v>0</v>
          </cell>
          <cell r="G150">
            <v>0</v>
          </cell>
          <cell r="H150">
            <v>0</v>
          </cell>
          <cell r="I150">
            <v>0</v>
          </cell>
          <cell r="J150">
            <v>0</v>
          </cell>
          <cell r="K150">
            <v>0</v>
          </cell>
          <cell r="L150">
            <v>0</v>
          </cell>
          <cell r="M150">
            <v>0</v>
          </cell>
          <cell r="N150">
            <v>0</v>
          </cell>
          <cell r="O150">
            <v>0</v>
          </cell>
          <cell r="P150">
            <v>0</v>
          </cell>
          <cell r="Q150">
            <v>0</v>
          </cell>
        </row>
        <row r="151">
          <cell r="A151">
            <v>37019</v>
          </cell>
          <cell r="B151" t="str">
            <v>Tire Processing Revenue - Intercompany</v>
          </cell>
          <cell r="E151">
            <v>0</v>
          </cell>
          <cell r="F151">
            <v>0</v>
          </cell>
          <cell r="G151">
            <v>0</v>
          </cell>
          <cell r="H151">
            <v>0</v>
          </cell>
          <cell r="I151">
            <v>0</v>
          </cell>
          <cell r="J151">
            <v>0</v>
          </cell>
          <cell r="K151">
            <v>0</v>
          </cell>
          <cell r="L151">
            <v>0</v>
          </cell>
          <cell r="M151">
            <v>0</v>
          </cell>
          <cell r="N151">
            <v>0</v>
          </cell>
          <cell r="O151">
            <v>0</v>
          </cell>
          <cell r="P151">
            <v>0</v>
          </cell>
          <cell r="Q151">
            <v>0</v>
          </cell>
        </row>
        <row r="152">
          <cell r="A152">
            <v>38000</v>
          </cell>
          <cell r="B152" t="str">
            <v>Corporate Other Revenue</v>
          </cell>
          <cell r="E152">
            <v>8589.2099999999991</v>
          </cell>
          <cell r="F152">
            <v>1694.09</v>
          </cell>
          <cell r="G152">
            <v>4218.3599999999997</v>
          </cell>
          <cell r="H152">
            <v>1373.97</v>
          </cell>
          <cell r="I152">
            <v>5262.72</v>
          </cell>
          <cell r="J152">
            <v>1769.91</v>
          </cell>
          <cell r="K152">
            <v>5502.45</v>
          </cell>
          <cell r="L152">
            <v>1702.72</v>
          </cell>
          <cell r="M152">
            <v>5805.85</v>
          </cell>
          <cell r="N152">
            <v>2208.19</v>
          </cell>
          <cell r="O152">
            <v>5752.25</v>
          </cell>
          <cell r="P152">
            <v>3433.24</v>
          </cell>
          <cell r="Q152">
            <v>47312.959999999999</v>
          </cell>
        </row>
        <row r="153">
          <cell r="A153">
            <v>38001</v>
          </cell>
          <cell r="B153" t="str">
            <v>P-Card Rebate Revenue</v>
          </cell>
          <cell r="E153">
            <v>0</v>
          </cell>
          <cell r="F153">
            <v>0</v>
          </cell>
          <cell r="G153">
            <v>0</v>
          </cell>
          <cell r="H153">
            <v>0</v>
          </cell>
          <cell r="I153">
            <v>0</v>
          </cell>
          <cell r="J153">
            <v>0</v>
          </cell>
          <cell r="K153">
            <v>0</v>
          </cell>
          <cell r="L153">
            <v>0</v>
          </cell>
          <cell r="M153">
            <v>0</v>
          </cell>
          <cell r="N153">
            <v>0</v>
          </cell>
          <cell r="O153">
            <v>0</v>
          </cell>
          <cell r="P153">
            <v>0</v>
          </cell>
          <cell r="Q153">
            <v>0</v>
          </cell>
        </row>
        <row r="154">
          <cell r="A154" t="str">
            <v>Total Other Revenue</v>
          </cell>
          <cell r="E154">
            <v>8589.2099999999991</v>
          </cell>
          <cell r="F154">
            <v>1694.09</v>
          </cell>
          <cell r="G154">
            <v>4218.3599999999997</v>
          </cell>
          <cell r="H154">
            <v>1373.97</v>
          </cell>
          <cell r="I154">
            <v>5262.72</v>
          </cell>
          <cell r="J154">
            <v>1769.91</v>
          </cell>
          <cell r="K154">
            <v>5502.45</v>
          </cell>
          <cell r="L154">
            <v>1702.72</v>
          </cell>
          <cell r="M154">
            <v>5805.85</v>
          </cell>
          <cell r="N154">
            <v>2208.19</v>
          </cell>
          <cell r="O154">
            <v>5752.25</v>
          </cell>
          <cell r="P154">
            <v>3433.24</v>
          </cell>
          <cell r="Q154">
            <v>47312.959999999999</v>
          </cell>
        </row>
        <row r="156">
          <cell r="A156" t="str">
            <v>Total Revenue</v>
          </cell>
          <cell r="E156">
            <v>2839426.59</v>
          </cell>
          <cell r="F156">
            <v>2811716.86</v>
          </cell>
          <cell r="G156">
            <v>2913771.82</v>
          </cell>
          <cell r="H156">
            <v>2924037.87</v>
          </cell>
          <cell r="I156">
            <v>2930860.6499999994</v>
          </cell>
          <cell r="J156">
            <v>3005240.4200000004</v>
          </cell>
          <cell r="K156">
            <v>2980348.3999999994</v>
          </cell>
          <cell r="L156">
            <v>2955082.1699999995</v>
          </cell>
          <cell r="M156">
            <v>2995618.75</v>
          </cell>
          <cell r="N156">
            <v>2959049.6100000003</v>
          </cell>
          <cell r="O156">
            <v>2983216.9499999997</v>
          </cell>
          <cell r="P156">
            <v>2979291.22</v>
          </cell>
          <cell r="Q156">
            <v>35277661.310000002</v>
          </cell>
        </row>
        <row r="158">
          <cell r="A158" t="str">
            <v>Revenue Reductions</v>
          </cell>
        </row>
        <row r="159">
          <cell r="A159" t="str">
            <v>Disposal</v>
          </cell>
        </row>
        <row r="160">
          <cell r="A160">
            <v>40101</v>
          </cell>
          <cell r="B160" t="str">
            <v>Disposal Landfill</v>
          </cell>
          <cell r="E160">
            <v>23350.03</v>
          </cell>
          <cell r="F160">
            <v>26834.720000000001</v>
          </cell>
          <cell r="G160">
            <v>42381.84</v>
          </cell>
          <cell r="H160">
            <v>36707.01</v>
          </cell>
          <cell r="I160">
            <v>39327.86</v>
          </cell>
          <cell r="J160">
            <v>44813.91</v>
          </cell>
          <cell r="K160">
            <v>45601.91</v>
          </cell>
          <cell r="L160">
            <v>42594.05</v>
          </cell>
          <cell r="M160">
            <v>39719.949999999997</v>
          </cell>
          <cell r="N160">
            <v>37160.81</v>
          </cell>
          <cell r="O160">
            <v>33518.03</v>
          </cell>
          <cell r="P160">
            <v>28405.79</v>
          </cell>
          <cell r="Q160">
            <v>440415.91</v>
          </cell>
        </row>
        <row r="161">
          <cell r="A161">
            <v>40109</v>
          </cell>
          <cell r="B161" t="str">
            <v>Disposal Landfill Intercompany</v>
          </cell>
          <cell r="E161">
            <v>194.6</v>
          </cell>
          <cell r="F161">
            <v>327.96</v>
          </cell>
          <cell r="G161">
            <v>99.4</v>
          </cell>
          <cell r="H161">
            <v>8930.7999999999993</v>
          </cell>
          <cell r="I161">
            <v>8418</v>
          </cell>
          <cell r="J161">
            <v>10225</v>
          </cell>
          <cell r="K161">
            <v>9550</v>
          </cell>
          <cell r="L161">
            <v>8953</v>
          </cell>
          <cell r="M161">
            <v>8660</v>
          </cell>
          <cell r="N161">
            <v>8485</v>
          </cell>
          <cell r="O161">
            <v>8205</v>
          </cell>
          <cell r="P161">
            <v>8111.2</v>
          </cell>
          <cell r="Q161">
            <v>80159.959999999992</v>
          </cell>
        </row>
        <row r="162">
          <cell r="A162">
            <v>40121</v>
          </cell>
          <cell r="B162" t="str">
            <v>Disposal Incineration</v>
          </cell>
          <cell r="E162">
            <v>0</v>
          </cell>
          <cell r="F162">
            <v>0</v>
          </cell>
          <cell r="G162">
            <v>0</v>
          </cell>
          <cell r="H162">
            <v>0</v>
          </cell>
          <cell r="I162">
            <v>0</v>
          </cell>
          <cell r="J162">
            <v>0</v>
          </cell>
          <cell r="K162">
            <v>0</v>
          </cell>
          <cell r="L162">
            <v>0</v>
          </cell>
          <cell r="M162">
            <v>0</v>
          </cell>
          <cell r="N162">
            <v>0</v>
          </cell>
          <cell r="O162">
            <v>0</v>
          </cell>
          <cell r="P162">
            <v>0</v>
          </cell>
          <cell r="Q162">
            <v>0</v>
          </cell>
        </row>
        <row r="163">
          <cell r="A163">
            <v>40122</v>
          </cell>
          <cell r="B163" t="str">
            <v>Disposal Other</v>
          </cell>
          <cell r="E163">
            <v>0</v>
          </cell>
          <cell r="F163">
            <v>0</v>
          </cell>
          <cell r="G163">
            <v>0</v>
          </cell>
          <cell r="H163">
            <v>0</v>
          </cell>
          <cell r="I163">
            <v>0</v>
          </cell>
          <cell r="J163">
            <v>0</v>
          </cell>
          <cell r="K163">
            <v>0</v>
          </cell>
          <cell r="L163">
            <v>0</v>
          </cell>
          <cell r="M163">
            <v>0</v>
          </cell>
          <cell r="N163">
            <v>0</v>
          </cell>
          <cell r="O163">
            <v>0</v>
          </cell>
          <cell r="P163">
            <v>0</v>
          </cell>
          <cell r="Q163">
            <v>0</v>
          </cell>
        </row>
        <row r="164">
          <cell r="A164">
            <v>40129</v>
          </cell>
          <cell r="B164" t="str">
            <v>Disposal Other</v>
          </cell>
          <cell r="E164">
            <v>0</v>
          </cell>
          <cell r="F164">
            <v>0</v>
          </cell>
          <cell r="G164">
            <v>0</v>
          </cell>
          <cell r="H164">
            <v>0</v>
          </cell>
          <cell r="I164">
            <v>0</v>
          </cell>
          <cell r="J164">
            <v>0</v>
          </cell>
          <cell r="K164">
            <v>0</v>
          </cell>
          <cell r="L164">
            <v>0</v>
          </cell>
          <cell r="M164">
            <v>0</v>
          </cell>
          <cell r="N164">
            <v>0</v>
          </cell>
          <cell r="O164">
            <v>0</v>
          </cell>
          <cell r="P164">
            <v>0</v>
          </cell>
          <cell r="Q164">
            <v>0</v>
          </cell>
        </row>
        <row r="165">
          <cell r="A165">
            <v>40131</v>
          </cell>
          <cell r="B165" t="str">
            <v>Disposal Transfer</v>
          </cell>
          <cell r="E165">
            <v>4652.22</v>
          </cell>
          <cell r="F165">
            <v>5422.23</v>
          </cell>
          <cell r="G165">
            <v>6556.26</v>
          </cell>
          <cell r="H165">
            <v>5248.01</v>
          </cell>
          <cell r="I165">
            <v>6285.68</v>
          </cell>
          <cell r="J165">
            <v>5271.25</v>
          </cell>
          <cell r="K165">
            <v>2375.48</v>
          </cell>
          <cell r="L165">
            <v>2345.9499999999998</v>
          </cell>
          <cell r="M165">
            <v>4253.9399999999996</v>
          </cell>
          <cell r="N165">
            <v>5654.19</v>
          </cell>
          <cell r="O165">
            <v>5131.53</v>
          </cell>
          <cell r="P165">
            <v>5010.78</v>
          </cell>
          <cell r="Q165">
            <v>58207.520000000004</v>
          </cell>
        </row>
        <row r="166">
          <cell r="A166">
            <v>40139</v>
          </cell>
          <cell r="B166" t="str">
            <v>Disposal Transfer Intercompany</v>
          </cell>
          <cell r="E166">
            <v>593825.03</v>
          </cell>
          <cell r="F166">
            <v>547142.99</v>
          </cell>
          <cell r="G166">
            <v>630810.36</v>
          </cell>
          <cell r="H166">
            <v>605643.42000000004</v>
          </cell>
          <cell r="I166">
            <v>594549.89</v>
          </cell>
          <cell r="J166">
            <v>658860.29</v>
          </cell>
          <cell r="K166">
            <v>621190.5</v>
          </cell>
          <cell r="L166">
            <v>619548.27</v>
          </cell>
          <cell r="M166">
            <v>634021.85</v>
          </cell>
          <cell r="N166">
            <v>591478.38</v>
          </cell>
          <cell r="O166">
            <v>635582.61</v>
          </cell>
          <cell r="P166">
            <v>652795.86</v>
          </cell>
          <cell r="Q166">
            <v>7385449.4500000002</v>
          </cell>
        </row>
        <row r="167">
          <cell r="A167" t="str">
            <v>Total Disposal</v>
          </cell>
          <cell r="E167">
            <v>622021.88</v>
          </cell>
          <cell r="F167">
            <v>579727.9</v>
          </cell>
          <cell r="G167">
            <v>679847.86</v>
          </cell>
          <cell r="H167">
            <v>656529.24</v>
          </cell>
          <cell r="I167">
            <v>648581.43000000005</v>
          </cell>
          <cell r="J167">
            <v>719170.45000000007</v>
          </cell>
          <cell r="K167">
            <v>678717.89</v>
          </cell>
          <cell r="L167">
            <v>673441.27</v>
          </cell>
          <cell r="M167">
            <v>686655.74</v>
          </cell>
          <cell r="N167">
            <v>642778.38</v>
          </cell>
          <cell r="O167">
            <v>682437.16999999993</v>
          </cell>
          <cell r="P167">
            <v>694323.63</v>
          </cell>
          <cell r="Q167">
            <v>7964232.8399999999</v>
          </cell>
        </row>
        <row r="169">
          <cell r="A169" t="str">
            <v>MRF Processing</v>
          </cell>
        </row>
        <row r="170">
          <cell r="A170">
            <v>40861</v>
          </cell>
          <cell r="B170" t="str">
            <v>Processing Fees MRF</v>
          </cell>
          <cell r="E170">
            <v>0</v>
          </cell>
          <cell r="F170">
            <v>0</v>
          </cell>
          <cell r="G170">
            <v>0</v>
          </cell>
          <cell r="H170">
            <v>0</v>
          </cell>
          <cell r="I170">
            <v>0</v>
          </cell>
          <cell r="J170">
            <v>0</v>
          </cell>
          <cell r="K170">
            <v>0</v>
          </cell>
          <cell r="L170">
            <v>0</v>
          </cell>
          <cell r="M170">
            <v>0</v>
          </cell>
          <cell r="N170">
            <v>0</v>
          </cell>
          <cell r="O170">
            <v>0</v>
          </cell>
          <cell r="P170">
            <v>0</v>
          </cell>
          <cell r="Q170">
            <v>0</v>
          </cell>
        </row>
        <row r="171">
          <cell r="A171">
            <v>40869</v>
          </cell>
          <cell r="B171" t="str">
            <v>Processing Fees MRF Intercompany</v>
          </cell>
          <cell r="E171">
            <v>0</v>
          </cell>
          <cell r="F171">
            <v>0</v>
          </cell>
          <cell r="G171">
            <v>0</v>
          </cell>
          <cell r="H171">
            <v>0</v>
          </cell>
          <cell r="I171">
            <v>0</v>
          </cell>
          <cell r="J171">
            <v>0</v>
          </cell>
          <cell r="K171">
            <v>0</v>
          </cell>
          <cell r="L171">
            <v>0</v>
          </cell>
          <cell r="M171">
            <v>0</v>
          </cell>
          <cell r="N171">
            <v>0</v>
          </cell>
          <cell r="O171">
            <v>0</v>
          </cell>
          <cell r="P171">
            <v>0</v>
          </cell>
          <cell r="Q171">
            <v>0</v>
          </cell>
        </row>
        <row r="172">
          <cell r="A172" t="str">
            <v>Total MRF Processing</v>
          </cell>
          <cell r="E172">
            <v>0</v>
          </cell>
          <cell r="F172">
            <v>0</v>
          </cell>
          <cell r="G172">
            <v>0</v>
          </cell>
          <cell r="H172">
            <v>0</v>
          </cell>
          <cell r="I172">
            <v>0</v>
          </cell>
          <cell r="J172">
            <v>0</v>
          </cell>
          <cell r="K172">
            <v>0</v>
          </cell>
          <cell r="L172">
            <v>0</v>
          </cell>
          <cell r="M172">
            <v>0</v>
          </cell>
          <cell r="N172">
            <v>0</v>
          </cell>
          <cell r="O172">
            <v>0</v>
          </cell>
          <cell r="P172">
            <v>0</v>
          </cell>
          <cell r="Q172">
            <v>0</v>
          </cell>
        </row>
        <row r="174">
          <cell r="A174" t="str">
            <v>Brokerage, Rebates and Taxes</v>
          </cell>
        </row>
        <row r="175">
          <cell r="A175">
            <v>41121</v>
          </cell>
          <cell r="B175" t="str">
            <v>Brokerage Cost</v>
          </cell>
          <cell r="E175">
            <v>0</v>
          </cell>
          <cell r="F175">
            <v>0</v>
          </cell>
          <cell r="G175">
            <v>0</v>
          </cell>
          <cell r="H175">
            <v>178.39</v>
          </cell>
          <cell r="I175">
            <v>0</v>
          </cell>
          <cell r="J175">
            <v>0</v>
          </cell>
          <cell r="K175">
            <v>0</v>
          </cell>
          <cell r="L175">
            <v>0</v>
          </cell>
          <cell r="M175">
            <v>0</v>
          </cell>
          <cell r="N175">
            <v>0</v>
          </cell>
          <cell r="O175">
            <v>0</v>
          </cell>
          <cell r="P175">
            <v>0</v>
          </cell>
          <cell r="Q175">
            <v>178.39</v>
          </cell>
        </row>
        <row r="176">
          <cell r="A176">
            <v>41129</v>
          </cell>
          <cell r="B176" t="str">
            <v>Brokerage Cost Intercompany</v>
          </cell>
          <cell r="E176">
            <v>0</v>
          </cell>
          <cell r="F176">
            <v>0</v>
          </cell>
          <cell r="G176">
            <v>0</v>
          </cell>
          <cell r="H176">
            <v>0</v>
          </cell>
          <cell r="I176">
            <v>0</v>
          </cell>
          <cell r="J176">
            <v>0</v>
          </cell>
          <cell r="K176">
            <v>0</v>
          </cell>
          <cell r="L176">
            <v>0</v>
          </cell>
          <cell r="M176">
            <v>0</v>
          </cell>
          <cell r="N176">
            <v>0</v>
          </cell>
          <cell r="O176">
            <v>0</v>
          </cell>
          <cell r="P176">
            <v>0</v>
          </cell>
          <cell r="Q176">
            <v>0</v>
          </cell>
        </row>
        <row r="177">
          <cell r="A177">
            <v>41131</v>
          </cell>
          <cell r="B177" t="str">
            <v>Rail Drayage Expenses</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A178">
            <v>41135</v>
          </cell>
          <cell r="B178" t="str">
            <v>Resale Parts - Cost of Goods Sold</v>
          </cell>
          <cell r="E178">
            <v>0</v>
          </cell>
          <cell r="F178">
            <v>0</v>
          </cell>
          <cell r="G178">
            <v>0</v>
          </cell>
          <cell r="H178">
            <v>0</v>
          </cell>
          <cell r="I178">
            <v>0</v>
          </cell>
          <cell r="J178">
            <v>0</v>
          </cell>
          <cell r="K178">
            <v>0</v>
          </cell>
          <cell r="L178">
            <v>0</v>
          </cell>
          <cell r="M178">
            <v>0</v>
          </cell>
          <cell r="N178">
            <v>0</v>
          </cell>
          <cell r="O178">
            <v>0</v>
          </cell>
          <cell r="P178">
            <v>0</v>
          </cell>
          <cell r="Q178">
            <v>0</v>
          </cell>
        </row>
        <row r="179">
          <cell r="A179">
            <v>41139</v>
          </cell>
          <cell r="B179" t="str">
            <v>Rail Drayage Expenses - Intercompany</v>
          </cell>
          <cell r="E179">
            <v>0</v>
          </cell>
          <cell r="F179">
            <v>0</v>
          </cell>
          <cell r="G179">
            <v>0</v>
          </cell>
          <cell r="H179">
            <v>0</v>
          </cell>
          <cell r="I179">
            <v>0</v>
          </cell>
          <cell r="J179">
            <v>0</v>
          </cell>
          <cell r="K179">
            <v>0</v>
          </cell>
          <cell r="L179">
            <v>0</v>
          </cell>
          <cell r="M179">
            <v>0</v>
          </cell>
          <cell r="N179">
            <v>0</v>
          </cell>
          <cell r="O179">
            <v>0</v>
          </cell>
          <cell r="P179">
            <v>0</v>
          </cell>
          <cell r="Q179">
            <v>0</v>
          </cell>
        </row>
        <row r="180">
          <cell r="A180">
            <v>41141</v>
          </cell>
          <cell r="B180" t="str">
            <v>Truck Drayage Expenses</v>
          </cell>
          <cell r="E180">
            <v>0</v>
          </cell>
          <cell r="F180">
            <v>0</v>
          </cell>
          <cell r="G180">
            <v>0</v>
          </cell>
          <cell r="H180">
            <v>0</v>
          </cell>
          <cell r="I180">
            <v>0</v>
          </cell>
          <cell r="J180">
            <v>0</v>
          </cell>
          <cell r="K180">
            <v>0</v>
          </cell>
          <cell r="L180">
            <v>0</v>
          </cell>
          <cell r="M180">
            <v>0</v>
          </cell>
          <cell r="N180">
            <v>0</v>
          </cell>
          <cell r="O180">
            <v>0</v>
          </cell>
          <cell r="P180">
            <v>0</v>
          </cell>
          <cell r="Q180">
            <v>0</v>
          </cell>
        </row>
        <row r="181">
          <cell r="A181">
            <v>41149</v>
          </cell>
          <cell r="B181" t="str">
            <v>Truck Drayage Expenses - Intercompany</v>
          </cell>
          <cell r="E181">
            <v>0</v>
          </cell>
          <cell r="F181">
            <v>0</v>
          </cell>
          <cell r="G181">
            <v>0</v>
          </cell>
          <cell r="H181">
            <v>0</v>
          </cell>
          <cell r="I181">
            <v>0</v>
          </cell>
          <cell r="J181">
            <v>0</v>
          </cell>
          <cell r="K181">
            <v>0</v>
          </cell>
          <cell r="L181">
            <v>0</v>
          </cell>
          <cell r="M181">
            <v>0</v>
          </cell>
          <cell r="N181">
            <v>0</v>
          </cell>
          <cell r="O181">
            <v>0</v>
          </cell>
          <cell r="P181">
            <v>0</v>
          </cell>
          <cell r="Q181">
            <v>0</v>
          </cell>
        </row>
        <row r="182">
          <cell r="A182">
            <v>41151</v>
          </cell>
          <cell r="B182" t="str">
            <v>Intermodal Expenses</v>
          </cell>
          <cell r="E182">
            <v>0</v>
          </cell>
          <cell r="F182">
            <v>0</v>
          </cell>
          <cell r="G182">
            <v>0</v>
          </cell>
          <cell r="H182">
            <v>0</v>
          </cell>
          <cell r="I182">
            <v>0</v>
          </cell>
          <cell r="J182">
            <v>0</v>
          </cell>
          <cell r="K182">
            <v>0</v>
          </cell>
          <cell r="L182">
            <v>0</v>
          </cell>
          <cell r="M182">
            <v>0</v>
          </cell>
          <cell r="N182">
            <v>0</v>
          </cell>
          <cell r="O182">
            <v>0</v>
          </cell>
          <cell r="P182">
            <v>0</v>
          </cell>
          <cell r="Q182">
            <v>0</v>
          </cell>
        </row>
        <row r="183">
          <cell r="A183">
            <v>41201</v>
          </cell>
          <cell r="B183" t="str">
            <v>Rebates and Revenue Sharing</v>
          </cell>
          <cell r="E183">
            <v>521936.87</v>
          </cell>
          <cell r="F183">
            <v>516837.5</v>
          </cell>
          <cell r="G183">
            <v>526589.43999999994</v>
          </cell>
          <cell r="H183">
            <v>507133.7</v>
          </cell>
          <cell r="I183">
            <v>514778.73</v>
          </cell>
          <cell r="J183">
            <v>520529.95</v>
          </cell>
          <cell r="K183">
            <v>523325.23</v>
          </cell>
          <cell r="L183">
            <v>525169.91</v>
          </cell>
          <cell r="M183">
            <v>526242.24</v>
          </cell>
          <cell r="N183">
            <v>522492.7</v>
          </cell>
          <cell r="O183">
            <v>519798.37</v>
          </cell>
          <cell r="P183">
            <v>519523.19</v>
          </cell>
          <cell r="Q183">
            <v>6244357.830000001</v>
          </cell>
        </row>
        <row r="184">
          <cell r="A184">
            <v>43001</v>
          </cell>
          <cell r="B184" t="str">
            <v>Taxes and Pass Thru Fees</v>
          </cell>
          <cell r="E184">
            <v>41543.1</v>
          </cell>
          <cell r="F184">
            <v>40952.97</v>
          </cell>
          <cell r="G184">
            <v>42462.54</v>
          </cell>
          <cell r="H184">
            <v>45489.33</v>
          </cell>
          <cell r="I184">
            <v>48581.71</v>
          </cell>
          <cell r="J184">
            <v>53321.59</v>
          </cell>
          <cell r="K184">
            <v>51875.89</v>
          </cell>
          <cell r="L184">
            <v>52096.88</v>
          </cell>
          <cell r="M184">
            <v>52109.83</v>
          </cell>
          <cell r="N184">
            <v>51665.29</v>
          </cell>
          <cell r="O184">
            <v>51559.19</v>
          </cell>
          <cell r="P184">
            <v>51703.040000000001</v>
          </cell>
          <cell r="Q184">
            <v>583361.3600000001</v>
          </cell>
        </row>
        <row r="185">
          <cell r="A185">
            <v>43002</v>
          </cell>
          <cell r="B185" t="str">
            <v>WUTC Taxes</v>
          </cell>
          <cell r="E185">
            <v>0</v>
          </cell>
          <cell r="F185">
            <v>0</v>
          </cell>
          <cell r="G185">
            <v>0</v>
          </cell>
          <cell r="H185">
            <v>0</v>
          </cell>
          <cell r="I185">
            <v>0</v>
          </cell>
          <cell r="J185">
            <v>0</v>
          </cell>
          <cell r="K185">
            <v>0</v>
          </cell>
          <cell r="L185">
            <v>0</v>
          </cell>
          <cell r="M185">
            <v>0</v>
          </cell>
          <cell r="N185">
            <v>0</v>
          </cell>
          <cell r="O185">
            <v>0</v>
          </cell>
          <cell r="P185">
            <v>0</v>
          </cell>
          <cell r="Q185">
            <v>0</v>
          </cell>
        </row>
        <row r="186">
          <cell r="A186">
            <v>43090</v>
          </cell>
          <cell r="B186" t="str">
            <v>Pass Through Expenses</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A187">
            <v>43099</v>
          </cell>
          <cell r="B187" t="str">
            <v>Pass Through Expenses Intercompany</v>
          </cell>
          <cell r="E187">
            <v>0</v>
          </cell>
          <cell r="F187">
            <v>0</v>
          </cell>
          <cell r="G187">
            <v>0</v>
          </cell>
          <cell r="H187">
            <v>0</v>
          </cell>
          <cell r="I187">
            <v>0</v>
          </cell>
          <cell r="J187">
            <v>0</v>
          </cell>
          <cell r="K187">
            <v>0</v>
          </cell>
          <cell r="L187">
            <v>0</v>
          </cell>
          <cell r="M187">
            <v>0</v>
          </cell>
          <cell r="N187">
            <v>0</v>
          </cell>
          <cell r="O187">
            <v>0</v>
          </cell>
          <cell r="P187">
            <v>0</v>
          </cell>
          <cell r="Q187">
            <v>0</v>
          </cell>
        </row>
        <row r="188">
          <cell r="A188" t="str">
            <v>Total Brokerage, Rebates and Taxes</v>
          </cell>
          <cell r="E188">
            <v>563479.97</v>
          </cell>
          <cell r="F188">
            <v>557790.47</v>
          </cell>
          <cell r="G188">
            <v>569051.98</v>
          </cell>
          <cell r="H188">
            <v>552801.42000000004</v>
          </cell>
          <cell r="I188">
            <v>563360.43999999994</v>
          </cell>
          <cell r="J188">
            <v>573851.54</v>
          </cell>
          <cell r="K188">
            <v>575201.12</v>
          </cell>
          <cell r="L188">
            <v>577266.79</v>
          </cell>
          <cell r="M188">
            <v>578352.06999999995</v>
          </cell>
          <cell r="N188">
            <v>574157.99</v>
          </cell>
          <cell r="O188">
            <v>571357.56000000006</v>
          </cell>
          <cell r="P188">
            <v>571226.23</v>
          </cell>
          <cell r="Q188">
            <v>6827897.580000001</v>
          </cell>
        </row>
        <row r="190">
          <cell r="A190" t="str">
            <v>Recycling Materials Expense</v>
          </cell>
        </row>
        <row r="191">
          <cell r="A191">
            <v>44161</v>
          </cell>
          <cell r="B191" t="str">
            <v>Cost of Materials - OCC</v>
          </cell>
          <cell r="E191">
            <v>2426.64</v>
          </cell>
          <cell r="F191">
            <v>2389.0700000000002</v>
          </cell>
          <cell r="G191">
            <v>2400.6</v>
          </cell>
          <cell r="H191">
            <v>2445.6799999999998</v>
          </cell>
          <cell r="I191">
            <v>2403.29</v>
          </cell>
          <cell r="J191">
            <v>2402.11</v>
          </cell>
          <cell r="K191">
            <v>437.67</v>
          </cell>
          <cell r="L191">
            <v>1356.93</v>
          </cell>
          <cell r="M191">
            <v>2409.56</v>
          </cell>
          <cell r="N191">
            <v>2530.52</v>
          </cell>
          <cell r="O191">
            <v>2633.11</v>
          </cell>
          <cell r="P191">
            <v>2651.26</v>
          </cell>
          <cell r="Q191">
            <v>26486.440000000002</v>
          </cell>
        </row>
        <row r="192">
          <cell r="A192">
            <v>44162</v>
          </cell>
          <cell r="B192" t="str">
            <v>Cost of Materials - ONP</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v>44163</v>
          </cell>
          <cell r="B193" t="str">
            <v>Cost of Materials - Other Paper</v>
          </cell>
          <cell r="E193">
            <v>0</v>
          </cell>
          <cell r="F193">
            <v>0</v>
          </cell>
          <cell r="G193">
            <v>0</v>
          </cell>
          <cell r="H193">
            <v>0</v>
          </cell>
          <cell r="I193">
            <v>0</v>
          </cell>
          <cell r="J193">
            <v>0</v>
          </cell>
          <cell r="K193">
            <v>0</v>
          </cell>
          <cell r="L193">
            <v>0</v>
          </cell>
          <cell r="M193">
            <v>0</v>
          </cell>
          <cell r="N193">
            <v>0</v>
          </cell>
          <cell r="O193">
            <v>0</v>
          </cell>
          <cell r="P193">
            <v>0</v>
          </cell>
          <cell r="Q193">
            <v>0</v>
          </cell>
        </row>
        <row r="194">
          <cell r="A194">
            <v>44164</v>
          </cell>
          <cell r="B194" t="str">
            <v>Cost of Materials - Aluminum</v>
          </cell>
          <cell r="E194">
            <v>0</v>
          </cell>
          <cell r="F194">
            <v>0</v>
          </cell>
          <cell r="G194">
            <v>0</v>
          </cell>
          <cell r="H194">
            <v>0</v>
          </cell>
          <cell r="I194">
            <v>0</v>
          </cell>
          <cell r="J194">
            <v>0</v>
          </cell>
          <cell r="K194">
            <v>0</v>
          </cell>
          <cell r="L194">
            <v>0</v>
          </cell>
          <cell r="M194">
            <v>0</v>
          </cell>
          <cell r="N194">
            <v>0</v>
          </cell>
          <cell r="O194">
            <v>0</v>
          </cell>
          <cell r="P194">
            <v>0</v>
          </cell>
          <cell r="Q194">
            <v>0</v>
          </cell>
        </row>
        <row r="195">
          <cell r="A195">
            <v>44165</v>
          </cell>
          <cell r="B195" t="str">
            <v>Cost of Materials - Metal</v>
          </cell>
          <cell r="E195">
            <v>0</v>
          </cell>
          <cell r="F195">
            <v>0</v>
          </cell>
          <cell r="G195">
            <v>0</v>
          </cell>
          <cell r="H195">
            <v>0</v>
          </cell>
          <cell r="I195">
            <v>0</v>
          </cell>
          <cell r="J195">
            <v>0</v>
          </cell>
          <cell r="K195">
            <v>0</v>
          </cell>
          <cell r="L195">
            <v>0</v>
          </cell>
          <cell r="M195">
            <v>0</v>
          </cell>
          <cell r="N195">
            <v>0</v>
          </cell>
          <cell r="O195">
            <v>0</v>
          </cell>
          <cell r="P195">
            <v>0</v>
          </cell>
          <cell r="Q195">
            <v>0</v>
          </cell>
        </row>
        <row r="196">
          <cell r="A196">
            <v>44166</v>
          </cell>
          <cell r="B196" t="str">
            <v>Cost of Materials - Glass</v>
          </cell>
          <cell r="E196">
            <v>0</v>
          </cell>
          <cell r="F196">
            <v>0</v>
          </cell>
          <cell r="G196">
            <v>0</v>
          </cell>
          <cell r="H196">
            <v>0</v>
          </cell>
          <cell r="I196">
            <v>0</v>
          </cell>
          <cell r="J196">
            <v>0</v>
          </cell>
          <cell r="K196">
            <v>0</v>
          </cell>
          <cell r="L196">
            <v>0</v>
          </cell>
          <cell r="M196">
            <v>0</v>
          </cell>
          <cell r="N196">
            <v>0</v>
          </cell>
          <cell r="O196">
            <v>0</v>
          </cell>
          <cell r="P196">
            <v>0</v>
          </cell>
          <cell r="Q196">
            <v>0</v>
          </cell>
        </row>
        <row r="197">
          <cell r="A197">
            <v>44167</v>
          </cell>
          <cell r="B197" t="str">
            <v>Cost of Materials - Plastic</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v>44168</v>
          </cell>
          <cell r="B198" t="str">
            <v>Cost of Materials - Other Recyclables</v>
          </cell>
          <cell r="E198">
            <v>0</v>
          </cell>
          <cell r="F198">
            <v>8</v>
          </cell>
          <cell r="G198">
            <v>8</v>
          </cell>
          <cell r="H198">
            <v>0</v>
          </cell>
          <cell r="I198">
            <v>8</v>
          </cell>
          <cell r="J198">
            <v>0</v>
          </cell>
          <cell r="K198">
            <v>8</v>
          </cell>
          <cell r="L198">
            <v>7</v>
          </cell>
          <cell r="M198">
            <v>0</v>
          </cell>
          <cell r="N198">
            <v>7</v>
          </cell>
          <cell r="O198">
            <v>15</v>
          </cell>
          <cell r="P198">
            <v>8</v>
          </cell>
          <cell r="Q198">
            <v>69</v>
          </cell>
        </row>
        <row r="199">
          <cell r="A199">
            <v>44169</v>
          </cell>
          <cell r="B199" t="str">
            <v>Cost of Materials - Intercompany</v>
          </cell>
          <cell r="E199">
            <v>1793.25</v>
          </cell>
          <cell r="F199">
            <v>1711</v>
          </cell>
          <cell r="G199">
            <v>2209.37</v>
          </cell>
          <cell r="H199">
            <v>2644.25</v>
          </cell>
          <cell r="I199">
            <v>3170</v>
          </cell>
          <cell r="J199">
            <v>2275.25</v>
          </cell>
          <cell r="K199">
            <v>1660.5</v>
          </cell>
          <cell r="L199">
            <v>2033.7</v>
          </cell>
          <cell r="M199">
            <v>1648</v>
          </cell>
          <cell r="N199">
            <v>2091.5500000000002</v>
          </cell>
          <cell r="O199">
            <v>2223.8000000000002</v>
          </cell>
          <cell r="P199">
            <v>2182.25</v>
          </cell>
          <cell r="Q199">
            <v>25642.92</v>
          </cell>
        </row>
        <row r="200">
          <cell r="A200">
            <v>44261</v>
          </cell>
          <cell r="B200" t="str">
            <v>Cost of Materials - Organics</v>
          </cell>
          <cell r="E200">
            <v>0</v>
          </cell>
          <cell r="F200">
            <v>0</v>
          </cell>
          <cell r="G200">
            <v>0</v>
          </cell>
          <cell r="H200">
            <v>0</v>
          </cell>
          <cell r="I200">
            <v>0</v>
          </cell>
          <cell r="J200">
            <v>0</v>
          </cell>
          <cell r="K200">
            <v>0</v>
          </cell>
          <cell r="L200">
            <v>0</v>
          </cell>
          <cell r="M200">
            <v>0</v>
          </cell>
          <cell r="N200">
            <v>0</v>
          </cell>
          <cell r="O200">
            <v>0</v>
          </cell>
          <cell r="P200">
            <v>0</v>
          </cell>
          <cell r="Q200">
            <v>0</v>
          </cell>
        </row>
        <row r="201">
          <cell r="A201">
            <v>44262</v>
          </cell>
          <cell r="B201" t="str">
            <v>Cost of Materials - Clean Wood</v>
          </cell>
          <cell r="E201">
            <v>0</v>
          </cell>
          <cell r="F201">
            <v>0</v>
          </cell>
          <cell r="G201">
            <v>0</v>
          </cell>
          <cell r="H201">
            <v>0</v>
          </cell>
          <cell r="I201">
            <v>0</v>
          </cell>
          <cell r="J201">
            <v>0</v>
          </cell>
          <cell r="K201">
            <v>0</v>
          </cell>
          <cell r="L201">
            <v>0</v>
          </cell>
          <cell r="M201">
            <v>0</v>
          </cell>
          <cell r="N201">
            <v>0</v>
          </cell>
          <cell r="O201">
            <v>0</v>
          </cell>
          <cell r="P201">
            <v>0</v>
          </cell>
          <cell r="Q201">
            <v>0</v>
          </cell>
        </row>
        <row r="202">
          <cell r="A202">
            <v>44263</v>
          </cell>
          <cell r="B202" t="str">
            <v>Cost of Materials - Landscaping Materials</v>
          </cell>
          <cell r="E202">
            <v>0</v>
          </cell>
          <cell r="F202">
            <v>0</v>
          </cell>
          <cell r="G202">
            <v>0</v>
          </cell>
          <cell r="H202">
            <v>0</v>
          </cell>
          <cell r="I202">
            <v>0</v>
          </cell>
          <cell r="J202">
            <v>0</v>
          </cell>
          <cell r="K202">
            <v>0</v>
          </cell>
          <cell r="L202">
            <v>0</v>
          </cell>
          <cell r="M202">
            <v>0</v>
          </cell>
          <cell r="N202">
            <v>0</v>
          </cell>
          <cell r="O202">
            <v>0</v>
          </cell>
          <cell r="P202">
            <v>0</v>
          </cell>
          <cell r="Q202">
            <v>0</v>
          </cell>
        </row>
        <row r="203">
          <cell r="A203" t="str">
            <v>Total Recycling Materials Expense</v>
          </cell>
          <cell r="E203">
            <v>4219.8899999999994</v>
          </cell>
          <cell r="F203">
            <v>4108.07</v>
          </cell>
          <cell r="G203">
            <v>4617.9699999999993</v>
          </cell>
          <cell r="H203">
            <v>5089.93</v>
          </cell>
          <cell r="I203">
            <v>5581.29</v>
          </cell>
          <cell r="J203">
            <v>4677.3600000000006</v>
          </cell>
          <cell r="K203">
            <v>2106.17</v>
          </cell>
          <cell r="L203">
            <v>3397.63</v>
          </cell>
          <cell r="M203">
            <v>4057.56</v>
          </cell>
          <cell r="N203">
            <v>4629.07</v>
          </cell>
          <cell r="O203">
            <v>4871.91</v>
          </cell>
          <cell r="P203">
            <v>4841.51</v>
          </cell>
          <cell r="Q203">
            <v>52198.36</v>
          </cell>
        </row>
        <row r="205">
          <cell r="A205" t="str">
            <v>Other Expense</v>
          </cell>
        </row>
        <row r="206">
          <cell r="A206">
            <v>47000</v>
          </cell>
          <cell r="B206" t="str">
            <v>Cost of Containers Sold</v>
          </cell>
          <cell r="E206">
            <v>0</v>
          </cell>
          <cell r="F206">
            <v>0</v>
          </cell>
          <cell r="G206">
            <v>0</v>
          </cell>
          <cell r="H206">
            <v>0</v>
          </cell>
          <cell r="I206">
            <v>0</v>
          </cell>
          <cell r="J206">
            <v>0</v>
          </cell>
          <cell r="K206">
            <v>0</v>
          </cell>
          <cell r="L206">
            <v>0</v>
          </cell>
          <cell r="M206">
            <v>0</v>
          </cell>
          <cell r="N206">
            <v>0</v>
          </cell>
          <cell r="O206">
            <v>0</v>
          </cell>
          <cell r="P206">
            <v>0</v>
          </cell>
          <cell r="Q206">
            <v>0</v>
          </cell>
        </row>
        <row r="207">
          <cell r="A207">
            <v>47001</v>
          </cell>
          <cell r="B207" t="str">
            <v>Cost of Equipment Sold</v>
          </cell>
          <cell r="E207">
            <v>0</v>
          </cell>
          <cell r="F207">
            <v>0</v>
          </cell>
          <cell r="G207">
            <v>0</v>
          </cell>
          <cell r="H207">
            <v>0</v>
          </cell>
          <cell r="I207">
            <v>0</v>
          </cell>
          <cell r="J207">
            <v>0</v>
          </cell>
          <cell r="K207">
            <v>0</v>
          </cell>
          <cell r="L207">
            <v>0</v>
          </cell>
          <cell r="M207">
            <v>0</v>
          </cell>
          <cell r="N207">
            <v>0</v>
          </cell>
          <cell r="O207">
            <v>0</v>
          </cell>
          <cell r="P207">
            <v>0</v>
          </cell>
          <cell r="Q207">
            <v>0</v>
          </cell>
        </row>
        <row r="208">
          <cell r="A208">
            <v>47010</v>
          </cell>
          <cell r="B208" t="str">
            <v>Tire Processing Expenses</v>
          </cell>
          <cell r="E208">
            <v>0</v>
          </cell>
          <cell r="F208">
            <v>0</v>
          </cell>
          <cell r="G208">
            <v>0</v>
          </cell>
          <cell r="H208">
            <v>205.8</v>
          </cell>
          <cell r="I208">
            <v>0</v>
          </cell>
          <cell r="J208">
            <v>0</v>
          </cell>
          <cell r="K208">
            <v>0</v>
          </cell>
          <cell r="L208">
            <v>0</v>
          </cell>
          <cell r="M208">
            <v>0</v>
          </cell>
          <cell r="N208">
            <v>0</v>
          </cell>
          <cell r="O208">
            <v>0</v>
          </cell>
          <cell r="P208">
            <v>0</v>
          </cell>
          <cell r="Q208">
            <v>205.8</v>
          </cell>
        </row>
        <row r="209">
          <cell r="A209">
            <v>47019</v>
          </cell>
          <cell r="B209" t="str">
            <v>Tire Processing Expenses - Intercompany</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Total Other Expense</v>
          </cell>
          <cell r="E210">
            <v>0</v>
          </cell>
          <cell r="F210">
            <v>0</v>
          </cell>
          <cell r="G210">
            <v>0</v>
          </cell>
          <cell r="H210">
            <v>205.8</v>
          </cell>
          <cell r="I210">
            <v>0</v>
          </cell>
          <cell r="J210">
            <v>0</v>
          </cell>
          <cell r="K210">
            <v>0</v>
          </cell>
          <cell r="L210">
            <v>0</v>
          </cell>
          <cell r="M210">
            <v>0</v>
          </cell>
          <cell r="N210">
            <v>0</v>
          </cell>
          <cell r="O210">
            <v>0</v>
          </cell>
          <cell r="P210">
            <v>0</v>
          </cell>
          <cell r="Q210">
            <v>205.8</v>
          </cell>
        </row>
        <row r="212">
          <cell r="A212" t="str">
            <v>Total Revenue Reductions</v>
          </cell>
          <cell r="E212">
            <v>1189721.74</v>
          </cell>
          <cell r="F212">
            <v>1141626.44</v>
          </cell>
          <cell r="G212">
            <v>1253517.81</v>
          </cell>
          <cell r="H212">
            <v>1214626.3900000001</v>
          </cell>
          <cell r="I212">
            <v>1217523.1600000001</v>
          </cell>
          <cell r="J212">
            <v>1297699.3500000001</v>
          </cell>
          <cell r="K212">
            <v>1256025.1800000002</v>
          </cell>
          <cell r="L212">
            <v>1254105.69</v>
          </cell>
          <cell r="M212">
            <v>1269065.3700000001</v>
          </cell>
          <cell r="N212">
            <v>1221565.4399999999</v>
          </cell>
          <cell r="O212">
            <v>1258666.6400000001</v>
          </cell>
          <cell r="P212">
            <v>1270391.3700000001</v>
          </cell>
          <cell r="Q212">
            <v>14844534.580000002</v>
          </cell>
        </row>
        <row r="214">
          <cell r="A214" t="str">
            <v>Net Revenue</v>
          </cell>
          <cell r="E214">
            <v>1649704.8499999999</v>
          </cell>
          <cell r="F214">
            <v>1670090.42</v>
          </cell>
          <cell r="G214">
            <v>1660254.0099999998</v>
          </cell>
          <cell r="H214">
            <v>1709411.48</v>
          </cell>
          <cell r="I214">
            <v>1713337.4899999993</v>
          </cell>
          <cell r="J214">
            <v>1707541.0700000003</v>
          </cell>
          <cell r="K214">
            <v>1724323.2199999993</v>
          </cell>
          <cell r="L214">
            <v>1700976.4799999995</v>
          </cell>
          <cell r="M214">
            <v>1726553.38</v>
          </cell>
          <cell r="N214">
            <v>1737484.1700000004</v>
          </cell>
          <cell r="O214">
            <v>1724550.3099999996</v>
          </cell>
          <cell r="P214">
            <v>1708899.85</v>
          </cell>
          <cell r="Q214">
            <v>20433126.73</v>
          </cell>
        </row>
        <row r="216">
          <cell r="A216" t="str">
            <v>Cost of Operations</v>
          </cell>
        </row>
        <row r="217">
          <cell r="A217" t="str">
            <v>Labor</v>
          </cell>
        </row>
        <row r="218">
          <cell r="A218">
            <v>50010</v>
          </cell>
          <cell r="B218" t="str">
            <v>Salaries</v>
          </cell>
          <cell r="E218">
            <v>0</v>
          </cell>
          <cell r="F218">
            <v>0</v>
          </cell>
          <cell r="G218">
            <v>0</v>
          </cell>
          <cell r="H218">
            <v>0</v>
          </cell>
          <cell r="I218">
            <v>0</v>
          </cell>
          <cell r="J218">
            <v>0</v>
          </cell>
          <cell r="K218">
            <v>0</v>
          </cell>
          <cell r="L218">
            <v>0</v>
          </cell>
          <cell r="M218">
            <v>0</v>
          </cell>
          <cell r="N218">
            <v>0</v>
          </cell>
          <cell r="O218">
            <v>0</v>
          </cell>
          <cell r="P218">
            <v>0</v>
          </cell>
          <cell r="Q218">
            <v>0</v>
          </cell>
        </row>
        <row r="219">
          <cell r="A219">
            <v>50020</v>
          </cell>
          <cell r="B219" t="str">
            <v>Wages Regular</v>
          </cell>
          <cell r="E219">
            <v>164883.42000000001</v>
          </cell>
          <cell r="F219">
            <v>163593.57</v>
          </cell>
          <cell r="G219">
            <v>188109.33</v>
          </cell>
          <cell r="H219">
            <v>179849.71</v>
          </cell>
          <cell r="I219">
            <v>172347.9</v>
          </cell>
          <cell r="J219">
            <v>187859.47</v>
          </cell>
          <cell r="K219">
            <v>178348.24</v>
          </cell>
          <cell r="L219">
            <v>182091.36</v>
          </cell>
          <cell r="M219">
            <v>176392.37000000002</v>
          </cell>
          <cell r="N219">
            <v>178231.65999999997</v>
          </cell>
          <cell r="O219">
            <v>171402.89</v>
          </cell>
          <cell r="P219">
            <v>200565.78999999998</v>
          </cell>
          <cell r="Q219">
            <v>2143675.71</v>
          </cell>
        </row>
        <row r="220">
          <cell r="A220">
            <v>50025</v>
          </cell>
          <cell r="B220" t="str">
            <v>Wages O.T.</v>
          </cell>
          <cell r="E220">
            <v>32984.839999999997</v>
          </cell>
          <cell r="F220">
            <v>9544.4</v>
          </cell>
          <cell r="G220">
            <v>22471.78</v>
          </cell>
          <cell r="H220">
            <v>31363.030000000002</v>
          </cell>
          <cell r="I220">
            <v>49805.09</v>
          </cell>
          <cell r="J220">
            <v>35207.21</v>
          </cell>
          <cell r="K220">
            <v>36825.21</v>
          </cell>
          <cell r="L220">
            <v>33200.26</v>
          </cell>
          <cell r="M220">
            <v>40758.67</v>
          </cell>
          <cell r="N220">
            <v>31022.81</v>
          </cell>
          <cell r="O220">
            <v>51285.26</v>
          </cell>
          <cell r="P220">
            <v>33854.409999999996</v>
          </cell>
          <cell r="Q220">
            <v>408322.97</v>
          </cell>
        </row>
        <row r="221">
          <cell r="A221">
            <v>50035</v>
          </cell>
          <cell r="B221" t="str">
            <v>Safety Bonuses</v>
          </cell>
          <cell r="E221">
            <v>4800</v>
          </cell>
          <cell r="F221">
            <v>4800</v>
          </cell>
          <cell r="G221">
            <v>4800</v>
          </cell>
          <cell r="H221">
            <v>4800</v>
          </cell>
          <cell r="I221">
            <v>5550</v>
          </cell>
          <cell r="J221">
            <v>5550</v>
          </cell>
          <cell r="K221">
            <v>5550</v>
          </cell>
          <cell r="L221">
            <v>5550</v>
          </cell>
          <cell r="M221">
            <v>3500</v>
          </cell>
          <cell r="N221">
            <v>3500</v>
          </cell>
          <cell r="O221">
            <v>4800</v>
          </cell>
          <cell r="P221">
            <v>-8000</v>
          </cell>
          <cell r="Q221">
            <v>45200</v>
          </cell>
        </row>
        <row r="222">
          <cell r="A222">
            <v>50036</v>
          </cell>
          <cell r="B222" t="str">
            <v>Other Bonus/Commission - Non-Safety</v>
          </cell>
          <cell r="E222">
            <v>0</v>
          </cell>
          <cell r="F222">
            <v>0</v>
          </cell>
          <cell r="G222">
            <v>0</v>
          </cell>
          <cell r="H222">
            <v>0</v>
          </cell>
          <cell r="I222">
            <v>0</v>
          </cell>
          <cell r="J222">
            <v>0</v>
          </cell>
          <cell r="K222">
            <v>0</v>
          </cell>
          <cell r="L222">
            <v>0</v>
          </cell>
          <cell r="M222">
            <v>0</v>
          </cell>
          <cell r="N222">
            <v>0</v>
          </cell>
          <cell r="O222">
            <v>0</v>
          </cell>
          <cell r="P222">
            <v>0</v>
          </cell>
          <cell r="Q222">
            <v>0</v>
          </cell>
        </row>
        <row r="223">
          <cell r="A223">
            <v>50045</v>
          </cell>
          <cell r="B223" t="str">
            <v>Contract Labor</v>
          </cell>
          <cell r="E223">
            <v>0</v>
          </cell>
          <cell r="F223">
            <v>0</v>
          </cell>
          <cell r="G223">
            <v>0</v>
          </cell>
          <cell r="H223">
            <v>0</v>
          </cell>
          <cell r="I223">
            <v>0</v>
          </cell>
          <cell r="J223">
            <v>0</v>
          </cell>
          <cell r="K223">
            <v>4788.33</v>
          </cell>
          <cell r="L223">
            <v>3663.38</v>
          </cell>
          <cell r="M223">
            <v>2786.12</v>
          </cell>
          <cell r="N223">
            <v>7835.02</v>
          </cell>
          <cell r="O223">
            <v>2360.66</v>
          </cell>
          <cell r="P223">
            <v>120.48</v>
          </cell>
          <cell r="Q223">
            <v>21553.989999999998</v>
          </cell>
        </row>
        <row r="224">
          <cell r="A224">
            <v>50050</v>
          </cell>
          <cell r="B224" t="str">
            <v>Payroll Taxes</v>
          </cell>
          <cell r="E224">
            <v>25189.960000000003</v>
          </cell>
          <cell r="F224">
            <v>18251.73</v>
          </cell>
          <cell r="G224">
            <v>20679.02</v>
          </cell>
          <cell r="H224">
            <v>21039.350000000002</v>
          </cell>
          <cell r="I224">
            <v>21060.63</v>
          </cell>
          <cell r="J224">
            <v>22770.019999999997</v>
          </cell>
          <cell r="K224">
            <v>23082.989999999998</v>
          </cell>
          <cell r="L224">
            <v>21413.860000000004</v>
          </cell>
          <cell r="M224">
            <v>22297.15</v>
          </cell>
          <cell r="N224">
            <v>19721.989999999998</v>
          </cell>
          <cell r="O224">
            <v>24041.16</v>
          </cell>
          <cell r="P224">
            <v>17044.59</v>
          </cell>
          <cell r="Q224">
            <v>256592.45</v>
          </cell>
        </row>
        <row r="225">
          <cell r="A225">
            <v>50060</v>
          </cell>
          <cell r="B225" t="str">
            <v>Group Insurance</v>
          </cell>
          <cell r="E225">
            <v>-52</v>
          </cell>
          <cell r="F225">
            <v>52</v>
          </cell>
          <cell r="G225">
            <v>400</v>
          </cell>
          <cell r="H225">
            <v>400</v>
          </cell>
          <cell r="I225">
            <v>400</v>
          </cell>
          <cell r="J225">
            <v>400</v>
          </cell>
          <cell r="K225">
            <v>400.77</v>
          </cell>
          <cell r="L225">
            <v>348</v>
          </cell>
          <cell r="M225">
            <v>400</v>
          </cell>
          <cell r="N225">
            <v>400</v>
          </cell>
          <cell r="O225">
            <v>1.54</v>
          </cell>
          <cell r="P225">
            <v>-913.13</v>
          </cell>
          <cell r="Q225">
            <v>2237.1799999999998</v>
          </cell>
        </row>
        <row r="226">
          <cell r="A226">
            <v>50065</v>
          </cell>
          <cell r="B226" t="str">
            <v>Vacation Pay</v>
          </cell>
          <cell r="E226">
            <v>19746.13</v>
          </cell>
          <cell r="F226">
            <v>10715.919999999998</v>
          </cell>
          <cell r="G226">
            <v>10164.220000000001</v>
          </cell>
          <cell r="H226">
            <v>13775.17</v>
          </cell>
          <cell r="I226">
            <v>12214.41</v>
          </cell>
          <cell r="J226">
            <v>9839.7799999999988</v>
          </cell>
          <cell r="K226">
            <v>16829.84</v>
          </cell>
          <cell r="L226">
            <v>10619.08</v>
          </cell>
          <cell r="M226">
            <v>20174.8</v>
          </cell>
          <cell r="N226">
            <v>7964.8900000000012</v>
          </cell>
          <cell r="O226">
            <v>28346.93</v>
          </cell>
          <cell r="P226">
            <v>21322.129999999997</v>
          </cell>
          <cell r="Q226">
            <v>181713.30000000002</v>
          </cell>
        </row>
        <row r="227">
          <cell r="A227">
            <v>50070</v>
          </cell>
          <cell r="B227" t="str">
            <v>Sick Pay</v>
          </cell>
          <cell r="E227">
            <v>0</v>
          </cell>
          <cell r="F227">
            <v>0</v>
          </cell>
          <cell r="G227">
            <v>0</v>
          </cell>
          <cell r="H227">
            <v>0</v>
          </cell>
          <cell r="I227">
            <v>0</v>
          </cell>
          <cell r="J227">
            <v>0</v>
          </cell>
          <cell r="K227">
            <v>0</v>
          </cell>
          <cell r="L227">
            <v>0</v>
          </cell>
          <cell r="M227">
            <v>0</v>
          </cell>
          <cell r="N227">
            <v>0</v>
          </cell>
          <cell r="O227">
            <v>0</v>
          </cell>
          <cell r="P227">
            <v>0</v>
          </cell>
          <cell r="Q227">
            <v>0</v>
          </cell>
        </row>
        <row r="228">
          <cell r="A228">
            <v>50086</v>
          </cell>
          <cell r="B228" t="str">
            <v>Safety and Training</v>
          </cell>
          <cell r="E228">
            <v>157.5</v>
          </cell>
          <cell r="F228">
            <v>172.5</v>
          </cell>
          <cell r="G228">
            <v>808.28</v>
          </cell>
          <cell r="H228">
            <v>-442.5</v>
          </cell>
          <cell r="I228">
            <v>965.32</v>
          </cell>
          <cell r="J228">
            <v>0</v>
          </cell>
          <cell r="K228">
            <v>0</v>
          </cell>
          <cell r="L228">
            <v>0</v>
          </cell>
          <cell r="M228">
            <v>25</v>
          </cell>
          <cell r="N228">
            <v>675</v>
          </cell>
          <cell r="O228">
            <v>0</v>
          </cell>
          <cell r="P228">
            <v>0</v>
          </cell>
          <cell r="Q228">
            <v>2361.1</v>
          </cell>
        </row>
        <row r="229">
          <cell r="A229">
            <v>50087</v>
          </cell>
          <cell r="B229" t="str">
            <v>Drug Testing</v>
          </cell>
          <cell r="E229">
            <v>60</v>
          </cell>
          <cell r="F229">
            <v>294</v>
          </cell>
          <cell r="G229">
            <v>180</v>
          </cell>
          <cell r="H229">
            <v>60</v>
          </cell>
          <cell r="I229">
            <v>180</v>
          </cell>
          <cell r="J229">
            <v>0</v>
          </cell>
          <cell r="K229">
            <v>660</v>
          </cell>
          <cell r="L229">
            <v>180</v>
          </cell>
          <cell r="M229">
            <v>480</v>
          </cell>
          <cell r="N229">
            <v>360</v>
          </cell>
          <cell r="O229">
            <v>180</v>
          </cell>
          <cell r="P229">
            <v>120</v>
          </cell>
          <cell r="Q229">
            <v>2754</v>
          </cell>
        </row>
        <row r="230">
          <cell r="A230">
            <v>50090</v>
          </cell>
          <cell r="B230" t="str">
            <v>Uniforms</v>
          </cell>
          <cell r="E230">
            <v>4074.6600000000003</v>
          </cell>
          <cell r="F230">
            <v>3623.04</v>
          </cell>
          <cell r="G230">
            <v>5198.9500000000007</v>
          </cell>
          <cell r="H230">
            <v>3689.49</v>
          </cell>
          <cell r="I230">
            <v>10448.56</v>
          </cell>
          <cell r="J230">
            <v>4504.9699999999993</v>
          </cell>
          <cell r="K230">
            <v>4758.2000000000007</v>
          </cell>
          <cell r="L230">
            <v>10818.759999999998</v>
          </cell>
          <cell r="M230">
            <v>4750.04</v>
          </cell>
          <cell r="N230">
            <v>7936.8100000000013</v>
          </cell>
          <cell r="O230">
            <v>4016.29</v>
          </cell>
          <cell r="P230">
            <v>3616.1000000000004</v>
          </cell>
          <cell r="Q230">
            <v>67435.87</v>
          </cell>
        </row>
        <row r="231">
          <cell r="A231">
            <v>50115</v>
          </cell>
          <cell r="B231" t="str">
            <v>Pension and Profit Sharing</v>
          </cell>
          <cell r="E231">
            <v>28983.06</v>
          </cell>
          <cell r="F231">
            <v>25738.78</v>
          </cell>
          <cell r="G231">
            <v>27512.51</v>
          </cell>
          <cell r="H231">
            <v>29149.510000000002</v>
          </cell>
          <cell r="I231">
            <v>28747.71</v>
          </cell>
          <cell r="J231">
            <v>30320.410000000003</v>
          </cell>
          <cell r="K231">
            <v>30592.95</v>
          </cell>
          <cell r="L231">
            <v>30361.019999999997</v>
          </cell>
          <cell r="M231">
            <v>30798.07</v>
          </cell>
          <cell r="N231">
            <v>28965.410000000003</v>
          </cell>
          <cell r="O231">
            <v>29195.13</v>
          </cell>
          <cell r="P231">
            <v>27681.32</v>
          </cell>
          <cell r="Q231">
            <v>348045.87999999995</v>
          </cell>
        </row>
        <row r="232">
          <cell r="A232">
            <v>50116</v>
          </cell>
          <cell r="B232" t="str">
            <v>Union Benefit Expense</v>
          </cell>
          <cell r="E232">
            <v>75002.37000000001</v>
          </cell>
          <cell r="F232">
            <v>76004.59</v>
          </cell>
          <cell r="G232">
            <v>72736.17</v>
          </cell>
          <cell r="H232">
            <v>70560.600000000006</v>
          </cell>
          <cell r="I232">
            <v>73715.539999999994</v>
          </cell>
          <cell r="J232">
            <v>76036.11</v>
          </cell>
          <cell r="K232">
            <v>76033.8</v>
          </cell>
          <cell r="L232">
            <v>76047.17</v>
          </cell>
          <cell r="M232">
            <v>75995.589999999982</v>
          </cell>
          <cell r="N232">
            <v>77106.5</v>
          </cell>
          <cell r="O232">
            <v>74405.170000000013</v>
          </cell>
          <cell r="P232">
            <v>74519.92</v>
          </cell>
          <cell r="Q232">
            <v>898163.53</v>
          </cell>
        </row>
        <row r="233">
          <cell r="A233">
            <v>50117</v>
          </cell>
          <cell r="B233" t="str">
            <v>Union Pension</v>
          </cell>
          <cell r="E233">
            <v>0</v>
          </cell>
          <cell r="F233">
            <v>0</v>
          </cell>
          <cell r="G233">
            <v>0</v>
          </cell>
          <cell r="H233">
            <v>0</v>
          </cell>
          <cell r="I233">
            <v>0</v>
          </cell>
          <cell r="J233">
            <v>0</v>
          </cell>
          <cell r="K233">
            <v>0</v>
          </cell>
          <cell r="L233">
            <v>0</v>
          </cell>
          <cell r="M233">
            <v>0</v>
          </cell>
          <cell r="N233">
            <v>0</v>
          </cell>
          <cell r="O233">
            <v>0</v>
          </cell>
          <cell r="P233">
            <v>0</v>
          </cell>
          <cell r="Q233">
            <v>0</v>
          </cell>
        </row>
        <row r="234">
          <cell r="A234">
            <v>50148</v>
          </cell>
          <cell r="B234" t="str">
            <v>Allocated Exp In - District</v>
          </cell>
          <cell r="E234">
            <v>0</v>
          </cell>
          <cell r="F234">
            <v>0</v>
          </cell>
          <cell r="G234">
            <v>0</v>
          </cell>
          <cell r="H234">
            <v>0</v>
          </cell>
          <cell r="I234">
            <v>0</v>
          </cell>
          <cell r="J234">
            <v>0</v>
          </cell>
          <cell r="K234">
            <v>0</v>
          </cell>
          <cell r="L234">
            <v>0</v>
          </cell>
          <cell r="M234">
            <v>0</v>
          </cell>
          <cell r="N234">
            <v>0</v>
          </cell>
          <cell r="O234">
            <v>0</v>
          </cell>
          <cell r="P234">
            <v>0</v>
          </cell>
          <cell r="Q234">
            <v>0</v>
          </cell>
        </row>
        <row r="235">
          <cell r="A235">
            <v>50149</v>
          </cell>
          <cell r="B235" t="str">
            <v>Allocated Exp In Out - District</v>
          </cell>
          <cell r="E235">
            <v>0</v>
          </cell>
          <cell r="F235">
            <v>0</v>
          </cell>
          <cell r="G235">
            <v>0</v>
          </cell>
          <cell r="H235">
            <v>0</v>
          </cell>
          <cell r="I235">
            <v>0</v>
          </cell>
          <cell r="J235">
            <v>0</v>
          </cell>
          <cell r="K235">
            <v>0</v>
          </cell>
          <cell r="L235">
            <v>0</v>
          </cell>
          <cell r="M235">
            <v>0</v>
          </cell>
          <cell r="N235">
            <v>0</v>
          </cell>
          <cell r="O235">
            <v>0</v>
          </cell>
          <cell r="P235">
            <v>0</v>
          </cell>
          <cell r="Q235">
            <v>0</v>
          </cell>
        </row>
        <row r="236">
          <cell r="A236">
            <v>50335</v>
          </cell>
          <cell r="B236" t="str">
            <v>Miscellaneous</v>
          </cell>
          <cell r="E236">
            <v>0</v>
          </cell>
          <cell r="F236">
            <v>0</v>
          </cell>
          <cell r="G236">
            <v>0</v>
          </cell>
          <cell r="H236">
            <v>0</v>
          </cell>
          <cell r="I236">
            <v>0</v>
          </cell>
          <cell r="J236">
            <v>0</v>
          </cell>
          <cell r="K236">
            <v>0</v>
          </cell>
          <cell r="L236">
            <v>0</v>
          </cell>
          <cell r="M236">
            <v>0</v>
          </cell>
          <cell r="N236">
            <v>0</v>
          </cell>
          <cell r="O236">
            <v>0</v>
          </cell>
          <cell r="P236">
            <v>0</v>
          </cell>
          <cell r="Q236">
            <v>0</v>
          </cell>
        </row>
        <row r="237">
          <cell r="A237">
            <v>50900</v>
          </cell>
          <cell r="B237" t="str">
            <v>Capitalized Costs</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A238">
            <v>50998</v>
          </cell>
          <cell r="B238" t="str">
            <v>Allocation Out - District</v>
          </cell>
          <cell r="E238">
            <v>0</v>
          </cell>
          <cell r="F238">
            <v>0</v>
          </cell>
          <cell r="G238">
            <v>0</v>
          </cell>
          <cell r="H238">
            <v>0</v>
          </cell>
          <cell r="I238">
            <v>0</v>
          </cell>
          <cell r="J238">
            <v>0</v>
          </cell>
          <cell r="K238">
            <v>0</v>
          </cell>
          <cell r="L238">
            <v>0</v>
          </cell>
          <cell r="M238">
            <v>0</v>
          </cell>
          <cell r="N238">
            <v>0</v>
          </cell>
          <cell r="O238">
            <v>0</v>
          </cell>
          <cell r="P238">
            <v>0</v>
          </cell>
          <cell r="Q238">
            <v>0</v>
          </cell>
        </row>
        <row r="239">
          <cell r="A239">
            <v>50999</v>
          </cell>
          <cell r="B239" t="str">
            <v>Allocation Out - Out District</v>
          </cell>
          <cell r="E239">
            <v>0</v>
          </cell>
          <cell r="F239">
            <v>0</v>
          </cell>
          <cell r="G239">
            <v>0</v>
          </cell>
          <cell r="H239">
            <v>0</v>
          </cell>
          <cell r="I239">
            <v>0</v>
          </cell>
          <cell r="J239">
            <v>0</v>
          </cell>
          <cell r="K239">
            <v>0</v>
          </cell>
          <cell r="L239">
            <v>0</v>
          </cell>
          <cell r="M239">
            <v>0</v>
          </cell>
          <cell r="N239">
            <v>0</v>
          </cell>
          <cell r="O239">
            <v>0</v>
          </cell>
          <cell r="P239">
            <v>0</v>
          </cell>
          <cell r="Q239">
            <v>0</v>
          </cell>
        </row>
        <row r="240">
          <cell r="A240" t="str">
            <v>Total Labor</v>
          </cell>
          <cell r="E240">
            <v>355829.94</v>
          </cell>
          <cell r="F240">
            <v>312790.53000000003</v>
          </cell>
          <cell r="G240">
            <v>353060.25999999995</v>
          </cell>
          <cell r="H240">
            <v>354244.36</v>
          </cell>
          <cell r="I240">
            <v>375435.16</v>
          </cell>
          <cell r="J240">
            <v>372487.97</v>
          </cell>
          <cell r="K240">
            <v>377870.32999999996</v>
          </cell>
          <cell r="L240">
            <v>374292.89</v>
          </cell>
          <cell r="M240">
            <v>378357.81</v>
          </cell>
          <cell r="N240">
            <v>363720.08999999997</v>
          </cell>
          <cell r="O240">
            <v>390035.03</v>
          </cell>
          <cell r="P240">
            <v>369931.60999999993</v>
          </cell>
          <cell r="Q240">
            <v>4378055.9800000004</v>
          </cell>
        </row>
        <row r="242">
          <cell r="A242" t="str">
            <v>Truck Fixed Expenses</v>
          </cell>
        </row>
        <row r="243">
          <cell r="A243">
            <v>51148</v>
          </cell>
          <cell r="B243" t="str">
            <v>Allocation In - District</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A244">
            <v>51149</v>
          </cell>
          <cell r="B244" t="str">
            <v>Allocation In - Out District</v>
          </cell>
          <cell r="E244">
            <v>0</v>
          </cell>
          <cell r="F244">
            <v>0</v>
          </cell>
          <cell r="G244">
            <v>0</v>
          </cell>
          <cell r="H244">
            <v>0</v>
          </cell>
          <cell r="I244">
            <v>0</v>
          </cell>
          <cell r="J244">
            <v>0</v>
          </cell>
          <cell r="K244">
            <v>0</v>
          </cell>
          <cell r="L244">
            <v>0</v>
          </cell>
          <cell r="M244">
            <v>0</v>
          </cell>
          <cell r="N244">
            <v>0</v>
          </cell>
          <cell r="O244">
            <v>0</v>
          </cell>
          <cell r="P244">
            <v>0</v>
          </cell>
          <cell r="Q244">
            <v>0</v>
          </cell>
        </row>
        <row r="245">
          <cell r="A245">
            <v>51175</v>
          </cell>
          <cell r="B245" t="str">
            <v>Equipment/Vehicle Rental</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A246">
            <v>51275</v>
          </cell>
          <cell r="B246" t="str">
            <v>Property Taxes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A247">
            <v>51295</v>
          </cell>
          <cell r="B247" t="str">
            <v>Licenses</v>
          </cell>
          <cell r="E247">
            <v>7094.03</v>
          </cell>
          <cell r="F247">
            <v>5283.39</v>
          </cell>
          <cell r="G247">
            <v>6038.79</v>
          </cell>
          <cell r="H247">
            <v>6260.76</v>
          </cell>
          <cell r="I247">
            <v>7130.37</v>
          </cell>
          <cell r="J247">
            <v>6495.12</v>
          </cell>
          <cell r="K247">
            <v>7155.12</v>
          </cell>
          <cell r="L247">
            <v>8517.26</v>
          </cell>
          <cell r="M247">
            <v>6025.42</v>
          </cell>
          <cell r="N247">
            <v>6730.71</v>
          </cell>
          <cell r="O247">
            <v>6040.84</v>
          </cell>
          <cell r="P247">
            <v>7017.82</v>
          </cell>
          <cell r="Q247">
            <v>79789.63</v>
          </cell>
        </row>
        <row r="248">
          <cell r="A248">
            <v>51335</v>
          </cell>
          <cell r="B248" t="str">
            <v>Miscellaneous</v>
          </cell>
          <cell r="E248">
            <v>0</v>
          </cell>
          <cell r="F248">
            <v>0</v>
          </cell>
          <cell r="G248">
            <v>0</v>
          </cell>
          <cell r="H248">
            <v>0</v>
          </cell>
          <cell r="I248">
            <v>0</v>
          </cell>
          <cell r="J248">
            <v>0</v>
          </cell>
          <cell r="K248">
            <v>0</v>
          </cell>
          <cell r="L248">
            <v>0</v>
          </cell>
          <cell r="M248">
            <v>0</v>
          </cell>
          <cell r="N248">
            <v>0</v>
          </cell>
          <cell r="O248">
            <v>0</v>
          </cell>
          <cell r="P248">
            <v>0</v>
          </cell>
          <cell r="Q248">
            <v>0</v>
          </cell>
        </row>
        <row r="249">
          <cell r="A249">
            <v>51998</v>
          </cell>
          <cell r="B249" t="str">
            <v>Allocation Out - District</v>
          </cell>
          <cell r="E249">
            <v>0</v>
          </cell>
          <cell r="F249">
            <v>0</v>
          </cell>
          <cell r="G249">
            <v>0</v>
          </cell>
          <cell r="H249">
            <v>0</v>
          </cell>
          <cell r="I249">
            <v>0</v>
          </cell>
          <cell r="J249">
            <v>0</v>
          </cell>
          <cell r="K249">
            <v>0</v>
          </cell>
          <cell r="L249">
            <v>0</v>
          </cell>
          <cell r="M249">
            <v>0</v>
          </cell>
          <cell r="N249">
            <v>0</v>
          </cell>
          <cell r="O249">
            <v>0</v>
          </cell>
          <cell r="P249">
            <v>0</v>
          </cell>
          <cell r="Q249">
            <v>0</v>
          </cell>
        </row>
        <row r="250">
          <cell r="A250">
            <v>51999</v>
          </cell>
          <cell r="B250" t="str">
            <v>Allocation Out - Out District</v>
          </cell>
          <cell r="E250">
            <v>0</v>
          </cell>
          <cell r="F250">
            <v>0</v>
          </cell>
          <cell r="G250">
            <v>0</v>
          </cell>
          <cell r="H250">
            <v>0</v>
          </cell>
          <cell r="I250">
            <v>0</v>
          </cell>
          <cell r="J250">
            <v>0</v>
          </cell>
          <cell r="K250">
            <v>0</v>
          </cell>
          <cell r="L250">
            <v>0</v>
          </cell>
          <cell r="M250">
            <v>0</v>
          </cell>
          <cell r="N250">
            <v>0</v>
          </cell>
          <cell r="O250">
            <v>0</v>
          </cell>
          <cell r="P250">
            <v>0</v>
          </cell>
          <cell r="Q250">
            <v>0</v>
          </cell>
        </row>
        <row r="251">
          <cell r="A251" t="str">
            <v>Total Truck Fixed Expenses</v>
          </cell>
          <cell r="E251">
            <v>7094.03</v>
          </cell>
          <cell r="F251">
            <v>5283.39</v>
          </cell>
          <cell r="G251">
            <v>6038.79</v>
          </cell>
          <cell r="H251">
            <v>6260.76</v>
          </cell>
          <cell r="I251">
            <v>7130.37</v>
          </cell>
          <cell r="J251">
            <v>6495.12</v>
          </cell>
          <cell r="K251">
            <v>7155.12</v>
          </cell>
          <cell r="L251">
            <v>8517.26</v>
          </cell>
          <cell r="M251">
            <v>6025.42</v>
          </cell>
          <cell r="N251">
            <v>6730.71</v>
          </cell>
          <cell r="O251">
            <v>6040.84</v>
          </cell>
          <cell r="P251">
            <v>7017.82</v>
          </cell>
          <cell r="Q251">
            <v>79789.63</v>
          </cell>
        </row>
        <row r="253">
          <cell r="A253" t="str">
            <v>Truck Variable Expenses</v>
          </cell>
        </row>
        <row r="254">
          <cell r="A254">
            <v>52010</v>
          </cell>
          <cell r="B254" t="str">
            <v>Salaries</v>
          </cell>
          <cell r="E254">
            <v>0</v>
          </cell>
          <cell r="F254">
            <v>0</v>
          </cell>
          <cell r="G254">
            <v>0</v>
          </cell>
          <cell r="H254">
            <v>0</v>
          </cell>
          <cell r="I254">
            <v>0</v>
          </cell>
          <cell r="J254">
            <v>0</v>
          </cell>
          <cell r="K254">
            <v>0</v>
          </cell>
          <cell r="L254">
            <v>0</v>
          </cell>
          <cell r="M254">
            <v>0</v>
          </cell>
          <cell r="N254">
            <v>0</v>
          </cell>
          <cell r="O254">
            <v>0</v>
          </cell>
          <cell r="P254">
            <v>0</v>
          </cell>
          <cell r="Q254">
            <v>0</v>
          </cell>
        </row>
        <row r="255">
          <cell r="A255">
            <v>52020</v>
          </cell>
          <cell r="B255" t="str">
            <v>Wages Regular</v>
          </cell>
          <cell r="E255">
            <v>41831.43</v>
          </cell>
          <cell r="F255">
            <v>31547.360000000001</v>
          </cell>
          <cell r="G255">
            <v>41785.230000000003</v>
          </cell>
          <cell r="H255">
            <v>41270.26</v>
          </cell>
          <cell r="I255">
            <v>32339.71</v>
          </cell>
          <cell r="J255">
            <v>31241.200000000001</v>
          </cell>
          <cell r="K255">
            <v>37276.75</v>
          </cell>
          <cell r="L255">
            <v>38079.120000000003</v>
          </cell>
          <cell r="M255">
            <v>35899.410000000003</v>
          </cell>
          <cell r="N255">
            <v>39332.589999999997</v>
          </cell>
          <cell r="O255">
            <v>37890.239999999998</v>
          </cell>
          <cell r="P255">
            <v>44055.94</v>
          </cell>
          <cell r="Q255">
            <v>452549.24000000005</v>
          </cell>
        </row>
        <row r="256">
          <cell r="A256">
            <v>52025</v>
          </cell>
          <cell r="B256" t="str">
            <v>Wages O.T.</v>
          </cell>
          <cell r="E256">
            <v>7524.35</v>
          </cell>
          <cell r="F256">
            <v>4047.27</v>
          </cell>
          <cell r="G256">
            <v>4760.2299999999996</v>
          </cell>
          <cell r="H256">
            <v>4152.5200000000004</v>
          </cell>
          <cell r="I256">
            <v>5808.01</v>
          </cell>
          <cell r="J256">
            <v>4035.92</v>
          </cell>
          <cell r="K256">
            <v>11119.38</v>
          </cell>
          <cell r="L256">
            <v>2971.58</v>
          </cell>
          <cell r="M256">
            <v>6964.42</v>
          </cell>
          <cell r="N256">
            <v>4824.8500000000004</v>
          </cell>
          <cell r="O256">
            <v>7793.34</v>
          </cell>
          <cell r="P256">
            <v>5555.18</v>
          </cell>
          <cell r="Q256">
            <v>69557.049999999988</v>
          </cell>
        </row>
        <row r="257">
          <cell r="A257">
            <v>52035</v>
          </cell>
          <cell r="B257" t="str">
            <v>Safety Bonuses</v>
          </cell>
          <cell r="E257">
            <v>1250</v>
          </cell>
          <cell r="F257">
            <v>1250</v>
          </cell>
          <cell r="G257">
            <v>1250</v>
          </cell>
          <cell r="H257">
            <v>1250</v>
          </cell>
          <cell r="I257">
            <v>2000</v>
          </cell>
          <cell r="J257">
            <v>2000</v>
          </cell>
          <cell r="K257">
            <v>2000</v>
          </cell>
          <cell r="L257">
            <v>2000</v>
          </cell>
          <cell r="M257">
            <v>1000</v>
          </cell>
          <cell r="N257">
            <v>1000</v>
          </cell>
          <cell r="O257">
            <v>1200</v>
          </cell>
          <cell r="P257">
            <v>-2000</v>
          </cell>
          <cell r="Q257">
            <v>14200</v>
          </cell>
        </row>
        <row r="258">
          <cell r="A258">
            <v>52036</v>
          </cell>
          <cell r="B258" t="str">
            <v>Other Bonus/Commission - Non-Safety</v>
          </cell>
          <cell r="E258">
            <v>0</v>
          </cell>
          <cell r="F258">
            <v>0</v>
          </cell>
          <cell r="G258">
            <v>0</v>
          </cell>
          <cell r="H258">
            <v>0</v>
          </cell>
          <cell r="I258">
            <v>0</v>
          </cell>
          <cell r="J258">
            <v>0</v>
          </cell>
          <cell r="K258">
            <v>0</v>
          </cell>
          <cell r="L258">
            <v>0</v>
          </cell>
          <cell r="M258">
            <v>0</v>
          </cell>
          <cell r="N258">
            <v>0</v>
          </cell>
          <cell r="O258">
            <v>0</v>
          </cell>
          <cell r="P258">
            <v>0</v>
          </cell>
          <cell r="Q258">
            <v>0</v>
          </cell>
        </row>
        <row r="259">
          <cell r="A259">
            <v>52045</v>
          </cell>
          <cell r="B259" t="str">
            <v>Contract Labor</v>
          </cell>
          <cell r="E259">
            <v>0</v>
          </cell>
          <cell r="F259">
            <v>0</v>
          </cell>
          <cell r="G259">
            <v>0</v>
          </cell>
          <cell r="H259">
            <v>0</v>
          </cell>
          <cell r="I259">
            <v>0</v>
          </cell>
          <cell r="J259">
            <v>0</v>
          </cell>
          <cell r="K259">
            <v>0</v>
          </cell>
          <cell r="L259">
            <v>0</v>
          </cell>
          <cell r="M259">
            <v>0</v>
          </cell>
          <cell r="N259">
            <v>0</v>
          </cell>
          <cell r="O259">
            <v>0</v>
          </cell>
          <cell r="P259">
            <v>0</v>
          </cell>
          <cell r="Q259">
            <v>0</v>
          </cell>
        </row>
        <row r="260">
          <cell r="A260">
            <v>52050</v>
          </cell>
          <cell r="B260" t="str">
            <v>Payroll Taxes</v>
          </cell>
          <cell r="E260">
            <v>5936.87</v>
          </cell>
          <cell r="F260">
            <v>3515.19</v>
          </cell>
          <cell r="G260">
            <v>4535.6499999999996</v>
          </cell>
          <cell r="H260">
            <v>4653.75</v>
          </cell>
          <cell r="I260">
            <v>4561.24</v>
          </cell>
          <cell r="J260">
            <v>5119.2299999999996</v>
          </cell>
          <cell r="K260">
            <v>5503.32</v>
          </cell>
          <cell r="L260">
            <v>4465.1099999999997</v>
          </cell>
          <cell r="M260">
            <v>4260.3100000000004</v>
          </cell>
          <cell r="N260">
            <v>4002.25</v>
          </cell>
          <cell r="O260">
            <v>5640.4</v>
          </cell>
          <cell r="P260">
            <v>3070</v>
          </cell>
          <cell r="Q260">
            <v>55263.32</v>
          </cell>
        </row>
        <row r="261">
          <cell r="A261">
            <v>52060</v>
          </cell>
          <cell r="B261" t="str">
            <v>Group Insurance</v>
          </cell>
          <cell r="E261">
            <v>-159</v>
          </cell>
          <cell r="F261">
            <v>-159</v>
          </cell>
          <cell r="G261">
            <v>561.5</v>
          </cell>
          <cell r="H261">
            <v>720.5</v>
          </cell>
          <cell r="I261">
            <v>641</v>
          </cell>
          <cell r="J261">
            <v>641</v>
          </cell>
          <cell r="K261">
            <v>641</v>
          </cell>
          <cell r="L261">
            <v>641</v>
          </cell>
          <cell r="M261">
            <v>561.5</v>
          </cell>
          <cell r="N261">
            <v>720.5</v>
          </cell>
          <cell r="O261">
            <v>641</v>
          </cell>
          <cell r="P261">
            <v>511.58</v>
          </cell>
          <cell r="Q261">
            <v>5962.58</v>
          </cell>
        </row>
        <row r="262">
          <cell r="A262">
            <v>52065</v>
          </cell>
          <cell r="B262" t="str">
            <v>Vacation Pay</v>
          </cell>
          <cell r="E262">
            <v>5737.5</v>
          </cell>
          <cell r="F262">
            <v>2090.71</v>
          </cell>
          <cell r="G262">
            <v>1979.73</v>
          </cell>
          <cell r="H262">
            <v>3044.17</v>
          </cell>
          <cell r="I262">
            <v>1571.02</v>
          </cell>
          <cell r="J262">
            <v>4642.26</v>
          </cell>
          <cell r="K262">
            <v>3319.05</v>
          </cell>
          <cell r="L262">
            <v>1557.75</v>
          </cell>
          <cell r="M262">
            <v>5888.63</v>
          </cell>
          <cell r="N262">
            <v>2065.0500000000002</v>
          </cell>
          <cell r="O262">
            <v>3190.34</v>
          </cell>
          <cell r="P262">
            <v>2387</v>
          </cell>
          <cell r="Q262">
            <v>37473.21</v>
          </cell>
        </row>
        <row r="263">
          <cell r="A263">
            <v>52070</v>
          </cell>
          <cell r="B263" t="str">
            <v>Sick Pay</v>
          </cell>
          <cell r="E263">
            <v>0</v>
          </cell>
          <cell r="F263">
            <v>0</v>
          </cell>
          <cell r="G263">
            <v>111.2</v>
          </cell>
          <cell r="H263">
            <v>903.6</v>
          </cell>
          <cell r="I263">
            <v>-301.2</v>
          </cell>
          <cell r="J263">
            <v>114.8</v>
          </cell>
          <cell r="K263">
            <v>229.6</v>
          </cell>
          <cell r="L263">
            <v>-114.8</v>
          </cell>
          <cell r="M263">
            <v>0</v>
          </cell>
          <cell r="N263">
            <v>0</v>
          </cell>
          <cell r="O263">
            <v>0</v>
          </cell>
          <cell r="P263">
            <v>0</v>
          </cell>
          <cell r="Q263">
            <v>943.2</v>
          </cell>
        </row>
        <row r="264">
          <cell r="A264">
            <v>52086</v>
          </cell>
          <cell r="B264" t="str">
            <v>Safety and Training</v>
          </cell>
          <cell r="E264">
            <v>313.67</v>
          </cell>
          <cell r="F264">
            <v>337.9</v>
          </cell>
          <cell r="G264">
            <v>464.12</v>
          </cell>
          <cell r="H264">
            <v>898.81</v>
          </cell>
          <cell r="I264">
            <v>1000.19</v>
          </cell>
          <cell r="J264">
            <v>951.13</v>
          </cell>
          <cell r="K264">
            <v>348.03</v>
          </cell>
          <cell r="L264">
            <v>1085.5</v>
          </cell>
          <cell r="M264">
            <v>0</v>
          </cell>
          <cell r="N264">
            <v>252.45</v>
          </cell>
          <cell r="O264">
            <v>0</v>
          </cell>
          <cell r="P264">
            <v>1352.06</v>
          </cell>
          <cell r="Q264">
            <v>7003.8600000000006</v>
          </cell>
        </row>
        <row r="265">
          <cell r="A265">
            <v>52087</v>
          </cell>
          <cell r="B265" t="str">
            <v>Drug Screening</v>
          </cell>
          <cell r="E265">
            <v>0</v>
          </cell>
          <cell r="F265">
            <v>0</v>
          </cell>
          <cell r="G265">
            <v>0</v>
          </cell>
          <cell r="H265">
            <v>0</v>
          </cell>
          <cell r="I265">
            <v>0</v>
          </cell>
          <cell r="J265">
            <v>0</v>
          </cell>
          <cell r="K265">
            <v>0</v>
          </cell>
          <cell r="L265">
            <v>0</v>
          </cell>
          <cell r="M265">
            <v>0</v>
          </cell>
          <cell r="N265">
            <v>0</v>
          </cell>
          <cell r="O265">
            <v>0</v>
          </cell>
          <cell r="P265">
            <v>0</v>
          </cell>
          <cell r="Q265">
            <v>0</v>
          </cell>
        </row>
        <row r="266">
          <cell r="A266">
            <v>52090</v>
          </cell>
          <cell r="B266" t="str">
            <v>Uniforms</v>
          </cell>
          <cell r="E266">
            <v>300.83</v>
          </cell>
          <cell r="F266">
            <v>353.71</v>
          </cell>
          <cell r="G266">
            <v>389.7</v>
          </cell>
          <cell r="H266">
            <v>320.22000000000003</v>
          </cell>
          <cell r="I266">
            <v>296.99</v>
          </cell>
          <cell r="J266">
            <v>450.43</v>
          </cell>
          <cell r="K266">
            <v>428.66</v>
          </cell>
          <cell r="L266">
            <v>1034.03</v>
          </cell>
          <cell r="M266">
            <v>250.15</v>
          </cell>
          <cell r="N266">
            <v>3123.18</v>
          </cell>
          <cell r="O266">
            <v>276.32</v>
          </cell>
          <cell r="P266">
            <v>308.07</v>
          </cell>
          <cell r="Q266">
            <v>7532.2899999999991</v>
          </cell>
        </row>
        <row r="267">
          <cell r="A267">
            <v>52115</v>
          </cell>
          <cell r="B267" t="str">
            <v>Pension and Profit Sharing</v>
          </cell>
          <cell r="E267">
            <v>4010.46</v>
          </cell>
          <cell r="F267">
            <v>3565.56</v>
          </cell>
          <cell r="G267">
            <v>3834.74</v>
          </cell>
          <cell r="H267">
            <v>3873.02</v>
          </cell>
          <cell r="I267">
            <v>3977.37</v>
          </cell>
          <cell r="J267">
            <v>4220.3500000000004</v>
          </cell>
          <cell r="K267">
            <v>4228.8599999999997</v>
          </cell>
          <cell r="L267">
            <v>4197.5600000000004</v>
          </cell>
          <cell r="M267">
            <v>4257.6400000000003</v>
          </cell>
          <cell r="N267">
            <v>4035.58</v>
          </cell>
          <cell r="O267">
            <v>4052.24</v>
          </cell>
          <cell r="P267">
            <v>3832.52</v>
          </cell>
          <cell r="Q267">
            <v>48085.9</v>
          </cell>
        </row>
        <row r="268">
          <cell r="A268">
            <v>52116</v>
          </cell>
          <cell r="B268" t="str">
            <v>Union Benefit Expense</v>
          </cell>
          <cell r="E268">
            <v>11221.99</v>
          </cell>
          <cell r="F268">
            <v>11221.61</v>
          </cell>
          <cell r="G268">
            <v>8963.65</v>
          </cell>
          <cell r="H268">
            <v>10117.1</v>
          </cell>
          <cell r="I268">
            <v>10108.799999999999</v>
          </cell>
          <cell r="J268">
            <v>10108.799999999999</v>
          </cell>
          <cell r="K268">
            <v>10108.799999999999</v>
          </cell>
          <cell r="L268">
            <v>10108.799999999999</v>
          </cell>
          <cell r="M268">
            <v>10102.129999999999</v>
          </cell>
          <cell r="N268">
            <v>10118.73</v>
          </cell>
          <cell r="O268">
            <v>8978.93</v>
          </cell>
          <cell r="P268">
            <v>9916.0499999999993</v>
          </cell>
          <cell r="Q268">
            <v>121075.39</v>
          </cell>
        </row>
        <row r="269">
          <cell r="A269">
            <v>52117</v>
          </cell>
          <cell r="B269" t="str">
            <v>Union Pension</v>
          </cell>
          <cell r="E269">
            <v>0</v>
          </cell>
          <cell r="F269">
            <v>0</v>
          </cell>
          <cell r="G269">
            <v>0</v>
          </cell>
          <cell r="H269">
            <v>0</v>
          </cell>
          <cell r="I269">
            <v>0</v>
          </cell>
          <cell r="J269">
            <v>0</v>
          </cell>
          <cell r="K269">
            <v>0</v>
          </cell>
          <cell r="L269">
            <v>0</v>
          </cell>
          <cell r="M269">
            <v>0</v>
          </cell>
          <cell r="N269">
            <v>0</v>
          </cell>
          <cell r="O269">
            <v>0</v>
          </cell>
          <cell r="P269">
            <v>0</v>
          </cell>
          <cell r="Q269">
            <v>0</v>
          </cell>
        </row>
        <row r="270">
          <cell r="A270">
            <v>52120</v>
          </cell>
          <cell r="B270" t="str">
            <v>Parts and Materials</v>
          </cell>
          <cell r="E270">
            <v>41193.56</v>
          </cell>
          <cell r="F270">
            <v>42024.94</v>
          </cell>
          <cell r="G270">
            <v>38734.660000000003</v>
          </cell>
          <cell r="H270">
            <v>21757.73</v>
          </cell>
          <cell r="I270">
            <v>38676.519999999997</v>
          </cell>
          <cell r="J270">
            <v>21919.95</v>
          </cell>
          <cell r="K270">
            <v>34237.410000000003</v>
          </cell>
          <cell r="L270">
            <v>36723.200000000004</v>
          </cell>
          <cell r="M270">
            <v>30874.03</v>
          </cell>
          <cell r="N270">
            <v>23554.1</v>
          </cell>
          <cell r="O270">
            <v>38660.959999999999</v>
          </cell>
          <cell r="P270">
            <v>71007.829999999987</v>
          </cell>
          <cell r="Q270">
            <v>439364.89</v>
          </cell>
        </row>
        <row r="271">
          <cell r="A271">
            <v>52125</v>
          </cell>
          <cell r="B271" t="str">
            <v>Operating Supplies</v>
          </cell>
          <cell r="E271">
            <v>450.54</v>
          </cell>
          <cell r="F271">
            <v>864.08</v>
          </cell>
          <cell r="G271">
            <v>1556.99</v>
          </cell>
          <cell r="H271">
            <v>537.54</v>
          </cell>
          <cell r="I271">
            <v>1099.93</v>
          </cell>
          <cell r="J271">
            <v>712.27</v>
          </cell>
          <cell r="K271">
            <v>5197.97</v>
          </cell>
          <cell r="L271">
            <v>-137.46</v>
          </cell>
          <cell r="M271">
            <v>1851.48</v>
          </cell>
          <cell r="N271">
            <v>2157.91</v>
          </cell>
          <cell r="O271">
            <v>2427.54</v>
          </cell>
          <cell r="P271">
            <v>1259.3</v>
          </cell>
          <cell r="Q271">
            <v>17978.09</v>
          </cell>
        </row>
        <row r="272">
          <cell r="A272">
            <v>52135</v>
          </cell>
          <cell r="B272" t="str">
            <v>Equipment and Maint Repair</v>
          </cell>
          <cell r="E272">
            <v>1311.54</v>
          </cell>
          <cell r="F272">
            <v>0</v>
          </cell>
          <cell r="G272">
            <v>1331.95</v>
          </cell>
          <cell r="H272">
            <v>2045.95</v>
          </cell>
          <cell r="I272">
            <v>0</v>
          </cell>
          <cell r="J272">
            <v>829.81</v>
          </cell>
          <cell r="K272">
            <v>0</v>
          </cell>
          <cell r="L272">
            <v>606.65</v>
          </cell>
          <cell r="M272">
            <v>0</v>
          </cell>
          <cell r="N272">
            <v>19.89</v>
          </cell>
          <cell r="O272">
            <v>0</v>
          </cell>
          <cell r="P272">
            <v>4997.33</v>
          </cell>
          <cell r="Q272">
            <v>11143.119999999999</v>
          </cell>
        </row>
        <row r="273">
          <cell r="A273">
            <v>52140</v>
          </cell>
          <cell r="B273" t="str">
            <v>Tires</v>
          </cell>
          <cell r="E273">
            <v>10747.01</v>
          </cell>
          <cell r="F273">
            <v>20260.900000000001</v>
          </cell>
          <cell r="G273">
            <v>12967.76</v>
          </cell>
          <cell r="H273">
            <v>15725.04</v>
          </cell>
          <cell r="I273">
            <v>18198.22</v>
          </cell>
          <cell r="J273">
            <v>22108.07</v>
          </cell>
          <cell r="K273">
            <v>15799.4</v>
          </cell>
          <cell r="L273">
            <v>23775.3</v>
          </cell>
          <cell r="M273">
            <v>38329.33</v>
          </cell>
          <cell r="N273">
            <v>6596.26</v>
          </cell>
          <cell r="O273">
            <v>14714.42</v>
          </cell>
          <cell r="P273">
            <v>23906.22</v>
          </cell>
          <cell r="Q273">
            <v>223127.93</v>
          </cell>
        </row>
        <row r="274">
          <cell r="A274">
            <v>52142</v>
          </cell>
          <cell r="B274" t="str">
            <v>Fuel Expense</v>
          </cell>
          <cell r="E274">
            <v>90672.87</v>
          </cell>
          <cell r="F274">
            <v>84188.88</v>
          </cell>
          <cell r="G274">
            <v>96017.58</v>
          </cell>
          <cell r="H274">
            <v>104369.3</v>
          </cell>
          <cell r="I274">
            <v>97844</v>
          </cell>
          <cell r="J274">
            <v>100692.82</v>
          </cell>
          <cell r="K274">
            <v>101529.68</v>
          </cell>
          <cell r="L274">
            <v>100169.49</v>
          </cell>
          <cell r="M274">
            <v>104198.62999999999</v>
          </cell>
          <cell r="N274">
            <v>102536.13</v>
          </cell>
          <cell r="O274">
            <v>101351.78</v>
          </cell>
          <cell r="P274">
            <v>108470.82</v>
          </cell>
          <cell r="Q274">
            <v>1192041.98</v>
          </cell>
        </row>
        <row r="275">
          <cell r="A275">
            <v>52143</v>
          </cell>
          <cell r="B275" t="str">
            <v>Transmontagne Fuel</v>
          </cell>
          <cell r="E275">
            <v>0</v>
          </cell>
          <cell r="F275">
            <v>0</v>
          </cell>
          <cell r="G275">
            <v>0</v>
          </cell>
          <cell r="H275">
            <v>0</v>
          </cell>
          <cell r="I275">
            <v>0</v>
          </cell>
          <cell r="J275">
            <v>0</v>
          </cell>
          <cell r="K275">
            <v>0</v>
          </cell>
          <cell r="L275">
            <v>0</v>
          </cell>
          <cell r="M275">
            <v>0</v>
          </cell>
          <cell r="N275">
            <v>0</v>
          </cell>
          <cell r="O275">
            <v>0</v>
          </cell>
          <cell r="P275">
            <v>0</v>
          </cell>
          <cell r="Q275">
            <v>0</v>
          </cell>
        </row>
        <row r="276">
          <cell r="A276">
            <v>52144</v>
          </cell>
          <cell r="B276" t="str">
            <v>Urea Expense</v>
          </cell>
          <cell r="E276">
            <v>0</v>
          </cell>
          <cell r="F276">
            <v>0</v>
          </cell>
          <cell r="G276">
            <v>0</v>
          </cell>
          <cell r="H276">
            <v>0</v>
          </cell>
          <cell r="I276">
            <v>0</v>
          </cell>
          <cell r="J276">
            <v>0</v>
          </cell>
          <cell r="K276">
            <v>0</v>
          </cell>
          <cell r="L276">
            <v>0</v>
          </cell>
          <cell r="M276">
            <v>0</v>
          </cell>
          <cell r="N276">
            <v>0</v>
          </cell>
          <cell r="O276">
            <v>0</v>
          </cell>
          <cell r="P276">
            <v>0</v>
          </cell>
          <cell r="Q276">
            <v>0</v>
          </cell>
        </row>
        <row r="277">
          <cell r="A277">
            <v>52146</v>
          </cell>
          <cell r="B277" t="str">
            <v>Oil and Grease</v>
          </cell>
          <cell r="E277">
            <v>1875.42</v>
          </cell>
          <cell r="F277">
            <v>3140.6</v>
          </cell>
          <cell r="G277">
            <v>5599.47</v>
          </cell>
          <cell r="H277">
            <v>2698.4</v>
          </cell>
          <cell r="I277">
            <v>3948.29</v>
          </cell>
          <cell r="J277">
            <v>2749.6</v>
          </cell>
          <cell r="K277">
            <v>7146.81</v>
          </cell>
          <cell r="L277">
            <v>2889.82</v>
          </cell>
          <cell r="M277">
            <v>9639.18</v>
          </cell>
          <cell r="N277">
            <v>6672.23</v>
          </cell>
          <cell r="O277">
            <v>11463.27</v>
          </cell>
          <cell r="P277">
            <v>-1288.0899999999999</v>
          </cell>
          <cell r="Q277">
            <v>56535</v>
          </cell>
        </row>
        <row r="278">
          <cell r="A278">
            <v>52147</v>
          </cell>
          <cell r="B278" t="str">
            <v>Outside Repairs</v>
          </cell>
          <cell r="E278">
            <v>8076.3899999999994</v>
          </cell>
          <cell r="F278">
            <v>4057.67</v>
          </cell>
          <cell r="G278">
            <v>2887.37</v>
          </cell>
          <cell r="H278">
            <v>4718.95</v>
          </cell>
          <cell r="I278">
            <v>7256.5</v>
          </cell>
          <cell r="J278">
            <v>4191.84</v>
          </cell>
          <cell r="K278">
            <v>8112.14</v>
          </cell>
          <cell r="L278">
            <v>5106.9299999999994</v>
          </cell>
          <cell r="M278">
            <v>11697.4</v>
          </cell>
          <cell r="N278">
            <v>2871.95</v>
          </cell>
          <cell r="O278">
            <v>2463.9499999999998</v>
          </cell>
          <cell r="P278">
            <v>2818.3500000000004</v>
          </cell>
          <cell r="Q278">
            <v>64259.439999999995</v>
          </cell>
        </row>
        <row r="279">
          <cell r="A279">
            <v>52148</v>
          </cell>
          <cell r="B279" t="str">
            <v>Allocated Exp In - District</v>
          </cell>
          <cell r="E279">
            <v>0</v>
          </cell>
          <cell r="F279">
            <v>0</v>
          </cell>
          <cell r="G279">
            <v>0</v>
          </cell>
          <cell r="H279">
            <v>0</v>
          </cell>
          <cell r="I279">
            <v>0</v>
          </cell>
          <cell r="J279">
            <v>0</v>
          </cell>
          <cell r="K279">
            <v>0</v>
          </cell>
          <cell r="L279">
            <v>0</v>
          </cell>
          <cell r="M279">
            <v>0</v>
          </cell>
          <cell r="N279">
            <v>0</v>
          </cell>
          <cell r="O279">
            <v>0</v>
          </cell>
          <cell r="P279">
            <v>0</v>
          </cell>
          <cell r="Q279">
            <v>0</v>
          </cell>
        </row>
        <row r="280">
          <cell r="A280">
            <v>52149</v>
          </cell>
          <cell r="B280" t="str">
            <v>Allocated Exp In Out - District</v>
          </cell>
          <cell r="E280">
            <v>0</v>
          </cell>
          <cell r="F280">
            <v>0</v>
          </cell>
          <cell r="G280">
            <v>0</v>
          </cell>
          <cell r="H280">
            <v>0</v>
          </cell>
          <cell r="I280">
            <v>0</v>
          </cell>
          <cell r="J280">
            <v>0</v>
          </cell>
          <cell r="K280">
            <v>0</v>
          </cell>
          <cell r="L280">
            <v>0</v>
          </cell>
          <cell r="M280">
            <v>0</v>
          </cell>
          <cell r="N280">
            <v>0</v>
          </cell>
          <cell r="O280">
            <v>0</v>
          </cell>
          <cell r="P280">
            <v>0</v>
          </cell>
          <cell r="Q280">
            <v>0</v>
          </cell>
        </row>
        <row r="281">
          <cell r="A281">
            <v>52150</v>
          </cell>
          <cell r="B281" t="str">
            <v>Utilities</v>
          </cell>
          <cell r="E281">
            <v>3181.16</v>
          </cell>
          <cell r="F281">
            <v>2292.6799999999998</v>
          </cell>
          <cell r="G281">
            <v>2139.2399999999998</v>
          </cell>
          <cell r="H281">
            <v>1852.79</v>
          </cell>
          <cell r="I281">
            <v>1236.6600000000001</v>
          </cell>
          <cell r="J281">
            <v>1066.23</v>
          </cell>
          <cell r="K281">
            <v>890.6</v>
          </cell>
          <cell r="L281">
            <v>864.21</v>
          </cell>
          <cell r="M281">
            <v>875.77</v>
          </cell>
          <cell r="N281">
            <v>889.61</v>
          </cell>
          <cell r="O281">
            <v>1635.02</v>
          </cell>
          <cell r="P281">
            <v>2991.91</v>
          </cell>
          <cell r="Q281">
            <v>19915.88</v>
          </cell>
        </row>
        <row r="282">
          <cell r="A282">
            <v>52165</v>
          </cell>
          <cell r="B282" t="str">
            <v>Communications</v>
          </cell>
          <cell r="E282">
            <v>1324.81</v>
          </cell>
          <cell r="F282">
            <v>1312.75</v>
          </cell>
          <cell r="G282">
            <v>1300.6099999999999</v>
          </cell>
          <cell r="H282">
            <v>1324.91</v>
          </cell>
          <cell r="I282">
            <v>1652.06</v>
          </cell>
          <cell r="J282">
            <v>1336.3</v>
          </cell>
          <cell r="K282">
            <v>1291.19</v>
          </cell>
          <cell r="L282">
            <v>1252.44</v>
          </cell>
          <cell r="M282">
            <v>1871.82</v>
          </cell>
          <cell r="N282">
            <v>1105.6099999999999</v>
          </cell>
          <cell r="O282">
            <v>1351.41</v>
          </cell>
          <cell r="P282">
            <v>1424.14</v>
          </cell>
          <cell r="Q282">
            <v>16548.05</v>
          </cell>
        </row>
        <row r="283">
          <cell r="A283">
            <v>52170</v>
          </cell>
          <cell r="B283" t="str">
            <v>Real Estate Rentals</v>
          </cell>
          <cell r="E283">
            <v>0</v>
          </cell>
          <cell r="F283">
            <v>0</v>
          </cell>
          <cell r="G283">
            <v>0</v>
          </cell>
          <cell r="H283">
            <v>0</v>
          </cell>
          <cell r="I283">
            <v>0</v>
          </cell>
          <cell r="J283">
            <v>0</v>
          </cell>
          <cell r="K283">
            <v>0</v>
          </cell>
          <cell r="L283">
            <v>0</v>
          </cell>
          <cell r="M283">
            <v>0</v>
          </cell>
          <cell r="N283">
            <v>0</v>
          </cell>
          <cell r="O283">
            <v>0</v>
          </cell>
          <cell r="P283">
            <v>0</v>
          </cell>
          <cell r="Q283">
            <v>0</v>
          </cell>
        </row>
        <row r="284">
          <cell r="A284">
            <v>52172</v>
          </cell>
          <cell r="B284" t="str">
            <v>Chassis Lease Expense</v>
          </cell>
          <cell r="E284">
            <v>0</v>
          </cell>
          <cell r="F284">
            <v>0</v>
          </cell>
          <cell r="G284">
            <v>0</v>
          </cell>
          <cell r="H284">
            <v>0</v>
          </cell>
          <cell r="I284">
            <v>0</v>
          </cell>
          <cell r="J284">
            <v>0</v>
          </cell>
          <cell r="K284">
            <v>0</v>
          </cell>
          <cell r="L284">
            <v>0</v>
          </cell>
          <cell r="M284">
            <v>0</v>
          </cell>
          <cell r="N284">
            <v>0</v>
          </cell>
          <cell r="O284">
            <v>0</v>
          </cell>
          <cell r="P284">
            <v>0</v>
          </cell>
          <cell r="Q284">
            <v>0</v>
          </cell>
        </row>
        <row r="285">
          <cell r="A285">
            <v>52175</v>
          </cell>
          <cell r="B285" t="str">
            <v>Equip/Vehicle Rental</v>
          </cell>
          <cell r="E285">
            <v>230.74</v>
          </cell>
          <cell r="F285">
            <v>0</v>
          </cell>
          <cell r="G285">
            <v>0</v>
          </cell>
          <cell r="H285">
            <v>0</v>
          </cell>
          <cell r="I285">
            <v>0</v>
          </cell>
          <cell r="J285">
            <v>0</v>
          </cell>
          <cell r="K285">
            <v>0</v>
          </cell>
          <cell r="L285">
            <v>0</v>
          </cell>
          <cell r="M285">
            <v>0</v>
          </cell>
          <cell r="N285">
            <v>0</v>
          </cell>
          <cell r="O285">
            <v>0</v>
          </cell>
          <cell r="P285">
            <v>0</v>
          </cell>
          <cell r="Q285">
            <v>230.74</v>
          </cell>
        </row>
        <row r="286">
          <cell r="A286">
            <v>52181</v>
          </cell>
          <cell r="B286" t="str">
            <v>Freight</v>
          </cell>
          <cell r="E286">
            <v>0</v>
          </cell>
          <cell r="F286">
            <v>0</v>
          </cell>
          <cell r="G286">
            <v>0</v>
          </cell>
          <cell r="H286">
            <v>16.23</v>
          </cell>
          <cell r="I286">
            <v>369.59000000000003</v>
          </cell>
          <cell r="J286">
            <v>0</v>
          </cell>
          <cell r="K286">
            <v>0</v>
          </cell>
          <cell r="L286">
            <v>95.38</v>
          </cell>
          <cell r="M286">
            <v>0</v>
          </cell>
          <cell r="N286">
            <v>0</v>
          </cell>
          <cell r="O286">
            <v>0</v>
          </cell>
          <cell r="P286">
            <v>103.97</v>
          </cell>
          <cell r="Q286">
            <v>585.17000000000007</v>
          </cell>
        </row>
        <row r="287">
          <cell r="A287">
            <v>52182</v>
          </cell>
          <cell r="B287" t="str">
            <v>Towing Expense</v>
          </cell>
          <cell r="E287">
            <v>455.28</v>
          </cell>
          <cell r="F287">
            <v>428.18</v>
          </cell>
          <cell r="G287">
            <v>195.12</v>
          </cell>
          <cell r="H287">
            <v>627.72</v>
          </cell>
          <cell r="I287">
            <v>1626</v>
          </cell>
          <cell r="J287">
            <v>0</v>
          </cell>
          <cell r="K287">
            <v>569.1</v>
          </cell>
          <cell r="L287">
            <v>0</v>
          </cell>
          <cell r="M287">
            <v>238.48</v>
          </cell>
          <cell r="N287">
            <v>0</v>
          </cell>
          <cell r="O287">
            <v>661.24</v>
          </cell>
          <cell r="P287">
            <v>514.9</v>
          </cell>
          <cell r="Q287">
            <v>5316.0199999999995</v>
          </cell>
        </row>
        <row r="288">
          <cell r="A288">
            <v>52185</v>
          </cell>
          <cell r="B288" t="str">
            <v>Travel</v>
          </cell>
          <cell r="E288">
            <v>0</v>
          </cell>
          <cell r="F288">
            <v>0</v>
          </cell>
          <cell r="G288">
            <v>0</v>
          </cell>
          <cell r="H288">
            <v>0</v>
          </cell>
          <cell r="I288">
            <v>0</v>
          </cell>
          <cell r="J288">
            <v>0</v>
          </cell>
          <cell r="K288">
            <v>0</v>
          </cell>
          <cell r="L288">
            <v>0</v>
          </cell>
          <cell r="M288">
            <v>0</v>
          </cell>
          <cell r="N288">
            <v>0</v>
          </cell>
          <cell r="O288">
            <v>0</v>
          </cell>
          <cell r="P288">
            <v>0</v>
          </cell>
          <cell r="Q288">
            <v>0</v>
          </cell>
        </row>
        <row r="289">
          <cell r="A289">
            <v>52200</v>
          </cell>
          <cell r="B289" t="str">
            <v>Office Supply and Equip</v>
          </cell>
          <cell r="E289">
            <v>302.27999999999997</v>
          </cell>
          <cell r="F289">
            <v>504.92</v>
          </cell>
          <cell r="G289">
            <v>245.31</v>
          </cell>
          <cell r="H289">
            <v>1615.6</v>
          </cell>
          <cell r="I289">
            <v>152.86000000000001</v>
          </cell>
          <cell r="J289">
            <v>155.44</v>
          </cell>
          <cell r="K289">
            <v>66.27</v>
          </cell>
          <cell r="L289">
            <v>678.01</v>
          </cell>
          <cell r="M289">
            <v>154.47999999999999</v>
          </cell>
          <cell r="N289">
            <v>1193.94</v>
          </cell>
          <cell r="O289">
            <v>147.13</v>
          </cell>
          <cell r="P289">
            <v>809.46</v>
          </cell>
          <cell r="Q289">
            <v>6025.7</v>
          </cell>
        </row>
        <row r="290">
          <cell r="A290">
            <v>52275</v>
          </cell>
          <cell r="B290" t="str">
            <v>Property Taxes</v>
          </cell>
          <cell r="E290">
            <v>0</v>
          </cell>
          <cell r="F290">
            <v>0</v>
          </cell>
          <cell r="G290">
            <v>0</v>
          </cell>
          <cell r="H290">
            <v>0</v>
          </cell>
          <cell r="I290">
            <v>0</v>
          </cell>
          <cell r="J290">
            <v>0</v>
          </cell>
          <cell r="K290">
            <v>0</v>
          </cell>
          <cell r="L290">
            <v>0</v>
          </cell>
          <cell r="M290">
            <v>0</v>
          </cell>
          <cell r="N290">
            <v>0</v>
          </cell>
          <cell r="O290">
            <v>0</v>
          </cell>
          <cell r="P290">
            <v>0</v>
          </cell>
          <cell r="Q290">
            <v>0</v>
          </cell>
        </row>
        <row r="291">
          <cell r="A291">
            <v>52335</v>
          </cell>
          <cell r="B291" t="str">
            <v>Miscellaneous</v>
          </cell>
          <cell r="E291">
            <v>27</v>
          </cell>
          <cell r="F291">
            <v>0</v>
          </cell>
          <cell r="G291">
            <v>13.5</v>
          </cell>
          <cell r="H291">
            <v>0</v>
          </cell>
          <cell r="I291">
            <v>0</v>
          </cell>
          <cell r="J291">
            <v>0</v>
          </cell>
          <cell r="K291">
            <v>0</v>
          </cell>
          <cell r="L291">
            <v>0</v>
          </cell>
          <cell r="M291">
            <v>0</v>
          </cell>
          <cell r="N291">
            <v>0</v>
          </cell>
          <cell r="O291">
            <v>0</v>
          </cell>
          <cell r="P291">
            <v>0</v>
          </cell>
          <cell r="Q291">
            <v>40.5</v>
          </cell>
        </row>
        <row r="292">
          <cell r="A292">
            <v>52900</v>
          </cell>
          <cell r="B292" t="str">
            <v>Capitalized Costs</v>
          </cell>
          <cell r="E292">
            <v>0</v>
          </cell>
          <cell r="F292">
            <v>0</v>
          </cell>
          <cell r="G292">
            <v>0</v>
          </cell>
          <cell r="H292">
            <v>0</v>
          </cell>
          <cell r="I292">
            <v>0</v>
          </cell>
          <cell r="J292">
            <v>0</v>
          </cell>
          <cell r="K292">
            <v>0</v>
          </cell>
          <cell r="L292">
            <v>0</v>
          </cell>
          <cell r="M292">
            <v>0</v>
          </cell>
          <cell r="N292">
            <v>0</v>
          </cell>
          <cell r="O292">
            <v>0</v>
          </cell>
          <cell r="P292">
            <v>0</v>
          </cell>
          <cell r="Q292">
            <v>0</v>
          </cell>
        </row>
        <row r="293">
          <cell r="A293">
            <v>52901</v>
          </cell>
          <cell r="B293" t="str">
            <v>Costs Awaiting Capitilization</v>
          </cell>
          <cell r="E293">
            <v>0</v>
          </cell>
          <cell r="F293">
            <v>0</v>
          </cell>
          <cell r="G293">
            <v>0</v>
          </cell>
          <cell r="H293">
            <v>0</v>
          </cell>
          <cell r="I293">
            <v>0</v>
          </cell>
          <cell r="J293">
            <v>0</v>
          </cell>
          <cell r="K293">
            <v>0</v>
          </cell>
          <cell r="L293">
            <v>0</v>
          </cell>
          <cell r="M293">
            <v>0</v>
          </cell>
          <cell r="N293">
            <v>0</v>
          </cell>
          <cell r="O293">
            <v>0</v>
          </cell>
          <cell r="P293">
            <v>0</v>
          </cell>
          <cell r="Q293">
            <v>0</v>
          </cell>
        </row>
        <row r="294">
          <cell r="A294">
            <v>52998</v>
          </cell>
          <cell r="B294" t="str">
            <v>Allocation Out - District</v>
          </cell>
          <cell r="E294">
            <v>0</v>
          </cell>
          <cell r="F294">
            <v>0</v>
          </cell>
          <cell r="G294">
            <v>0</v>
          </cell>
          <cell r="H294">
            <v>0</v>
          </cell>
          <cell r="I294">
            <v>0</v>
          </cell>
          <cell r="J294">
            <v>0</v>
          </cell>
          <cell r="K294">
            <v>0</v>
          </cell>
          <cell r="L294">
            <v>0</v>
          </cell>
          <cell r="M294">
            <v>0</v>
          </cell>
          <cell r="N294">
            <v>0</v>
          </cell>
          <cell r="O294">
            <v>0</v>
          </cell>
          <cell r="P294">
            <v>0</v>
          </cell>
          <cell r="Q294">
            <v>0</v>
          </cell>
        </row>
        <row r="295">
          <cell r="A295">
            <v>52999</v>
          </cell>
          <cell r="B295" t="str">
            <v>Allocation Out - Out District</v>
          </cell>
          <cell r="E295">
            <v>-8839.42</v>
          </cell>
          <cell r="F295">
            <v>-11223.85</v>
          </cell>
          <cell r="G295">
            <v>-12345.57</v>
          </cell>
          <cell r="H295">
            <v>-17818.71</v>
          </cell>
          <cell r="I295">
            <v>-8260.7000000000007</v>
          </cell>
          <cell r="J295">
            <v>-18104.939999999999</v>
          </cell>
          <cell r="K295">
            <v>-8429.56</v>
          </cell>
          <cell r="L295">
            <v>-12829.3</v>
          </cell>
          <cell r="M295">
            <v>-6149.56</v>
          </cell>
          <cell r="N295">
            <v>-5808.26</v>
          </cell>
          <cell r="O295">
            <v>-5947.92</v>
          </cell>
          <cell r="P295">
            <v>-45343.87</v>
          </cell>
          <cell r="Q295">
            <v>-161101.66</v>
          </cell>
        </row>
        <row r="296">
          <cell r="A296" t="str">
            <v>Total Truck Variable</v>
          </cell>
          <cell r="E296">
            <v>228977.27999999997</v>
          </cell>
          <cell r="F296">
            <v>205622.06000000003</v>
          </cell>
          <cell r="G296">
            <v>219279.73999999996</v>
          </cell>
          <cell r="H296">
            <v>210675.40000000005</v>
          </cell>
          <cell r="I296">
            <v>225803.05999999997</v>
          </cell>
          <cell r="J296">
            <v>201182.51</v>
          </cell>
          <cell r="K296">
            <v>241614.46</v>
          </cell>
          <cell r="L296">
            <v>225220.32000000004</v>
          </cell>
          <cell r="M296">
            <v>262765.23</v>
          </cell>
          <cell r="N296">
            <v>211264.55</v>
          </cell>
          <cell r="O296">
            <v>238591.60999999996</v>
          </cell>
          <cell r="P296">
            <v>240660.66999999993</v>
          </cell>
          <cell r="Q296">
            <v>2711656.8899999997</v>
          </cell>
        </row>
        <row r="298">
          <cell r="A298" t="str">
            <v>Container</v>
          </cell>
        </row>
        <row r="299">
          <cell r="A299">
            <v>54148</v>
          </cell>
          <cell r="B299" t="str">
            <v>Allocation In - District</v>
          </cell>
          <cell r="E299">
            <v>0</v>
          </cell>
          <cell r="F299">
            <v>0</v>
          </cell>
          <cell r="G299">
            <v>0</v>
          </cell>
          <cell r="H299">
            <v>0</v>
          </cell>
          <cell r="I299">
            <v>0</v>
          </cell>
          <cell r="J299">
            <v>0</v>
          </cell>
          <cell r="K299">
            <v>0</v>
          </cell>
          <cell r="L299">
            <v>0</v>
          </cell>
          <cell r="M299">
            <v>0</v>
          </cell>
          <cell r="N299">
            <v>0</v>
          </cell>
          <cell r="O299">
            <v>0</v>
          </cell>
          <cell r="P299">
            <v>0</v>
          </cell>
          <cell r="Q299">
            <v>0</v>
          </cell>
        </row>
        <row r="300">
          <cell r="A300">
            <v>54149</v>
          </cell>
          <cell r="B300" t="str">
            <v>Allocation In - Out District</v>
          </cell>
          <cell r="E300">
            <v>0</v>
          </cell>
          <cell r="F300">
            <v>0</v>
          </cell>
          <cell r="G300">
            <v>0</v>
          </cell>
          <cell r="H300">
            <v>0</v>
          </cell>
          <cell r="I300">
            <v>0</v>
          </cell>
          <cell r="J300">
            <v>0</v>
          </cell>
          <cell r="K300">
            <v>0</v>
          </cell>
          <cell r="L300">
            <v>0</v>
          </cell>
          <cell r="M300">
            <v>0</v>
          </cell>
          <cell r="N300">
            <v>0</v>
          </cell>
          <cell r="O300">
            <v>0</v>
          </cell>
          <cell r="P300">
            <v>0</v>
          </cell>
          <cell r="Q300">
            <v>0</v>
          </cell>
        </row>
        <row r="301">
          <cell r="A301">
            <v>54175</v>
          </cell>
          <cell r="B301" t="str">
            <v>Equipment/Vehicle Rental</v>
          </cell>
          <cell r="E301">
            <v>0</v>
          </cell>
          <cell r="F301">
            <v>0</v>
          </cell>
          <cell r="G301">
            <v>0</v>
          </cell>
          <cell r="H301">
            <v>0</v>
          </cell>
          <cell r="I301">
            <v>0</v>
          </cell>
          <cell r="J301">
            <v>0</v>
          </cell>
          <cell r="K301">
            <v>0</v>
          </cell>
          <cell r="L301">
            <v>0</v>
          </cell>
          <cell r="M301">
            <v>0</v>
          </cell>
          <cell r="N301">
            <v>0</v>
          </cell>
          <cell r="O301">
            <v>0</v>
          </cell>
          <cell r="P301">
            <v>0</v>
          </cell>
          <cell r="Q301">
            <v>0</v>
          </cell>
        </row>
        <row r="302">
          <cell r="A302">
            <v>54275</v>
          </cell>
          <cell r="B302" t="str">
            <v>Property Taxes</v>
          </cell>
          <cell r="E302">
            <v>0</v>
          </cell>
          <cell r="F302">
            <v>0</v>
          </cell>
          <cell r="G302">
            <v>0</v>
          </cell>
          <cell r="H302">
            <v>0</v>
          </cell>
          <cell r="I302">
            <v>0</v>
          </cell>
          <cell r="J302">
            <v>0</v>
          </cell>
          <cell r="K302">
            <v>0</v>
          </cell>
          <cell r="L302">
            <v>0</v>
          </cell>
          <cell r="M302">
            <v>0</v>
          </cell>
          <cell r="N302">
            <v>0</v>
          </cell>
          <cell r="O302">
            <v>0</v>
          </cell>
          <cell r="P302">
            <v>0</v>
          </cell>
          <cell r="Q302">
            <v>0</v>
          </cell>
        </row>
        <row r="303">
          <cell r="A303">
            <v>54335</v>
          </cell>
          <cell r="B303" t="str">
            <v>Miscellaneous</v>
          </cell>
          <cell r="E303">
            <v>0</v>
          </cell>
          <cell r="F303">
            <v>0</v>
          </cell>
          <cell r="G303">
            <v>0</v>
          </cell>
          <cell r="H303">
            <v>0</v>
          </cell>
          <cell r="I303">
            <v>0</v>
          </cell>
          <cell r="J303">
            <v>0</v>
          </cell>
          <cell r="K303">
            <v>0</v>
          </cell>
          <cell r="L303">
            <v>0</v>
          </cell>
          <cell r="M303">
            <v>0</v>
          </cell>
          <cell r="N303">
            <v>0</v>
          </cell>
          <cell r="O303">
            <v>0</v>
          </cell>
          <cell r="P303">
            <v>0</v>
          </cell>
          <cell r="Q303">
            <v>0</v>
          </cell>
        </row>
        <row r="304">
          <cell r="A304">
            <v>54998</v>
          </cell>
          <cell r="B304" t="str">
            <v>Allocation Out - District</v>
          </cell>
          <cell r="E304">
            <v>0</v>
          </cell>
          <cell r="F304">
            <v>0</v>
          </cell>
          <cell r="G304">
            <v>0</v>
          </cell>
          <cell r="H304">
            <v>0</v>
          </cell>
          <cell r="I304">
            <v>0</v>
          </cell>
          <cell r="J304">
            <v>0</v>
          </cell>
          <cell r="K304">
            <v>0</v>
          </cell>
          <cell r="L304">
            <v>0</v>
          </cell>
          <cell r="M304">
            <v>0</v>
          </cell>
          <cell r="N304">
            <v>0</v>
          </cell>
          <cell r="O304">
            <v>0</v>
          </cell>
          <cell r="P304">
            <v>0</v>
          </cell>
          <cell r="Q304">
            <v>0</v>
          </cell>
        </row>
        <row r="305">
          <cell r="A305">
            <v>54999</v>
          </cell>
          <cell r="B305" t="str">
            <v>Allocation Out - Out District</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A306">
            <v>55010</v>
          </cell>
          <cell r="B306" t="str">
            <v>Salaries</v>
          </cell>
          <cell r="E306">
            <v>0</v>
          </cell>
          <cell r="F306">
            <v>0</v>
          </cell>
          <cell r="G306">
            <v>0</v>
          </cell>
          <cell r="H306">
            <v>0</v>
          </cell>
          <cell r="I306">
            <v>0</v>
          </cell>
          <cell r="J306">
            <v>0</v>
          </cell>
          <cell r="K306">
            <v>0</v>
          </cell>
          <cell r="L306">
            <v>0</v>
          </cell>
          <cell r="M306">
            <v>0</v>
          </cell>
          <cell r="N306">
            <v>0</v>
          </cell>
          <cell r="O306">
            <v>0</v>
          </cell>
          <cell r="P306">
            <v>0</v>
          </cell>
          <cell r="Q306">
            <v>0</v>
          </cell>
        </row>
        <row r="307">
          <cell r="A307">
            <v>55020</v>
          </cell>
          <cell r="B307" t="str">
            <v>Wages Regular</v>
          </cell>
          <cell r="E307">
            <v>4237.87</v>
          </cell>
          <cell r="F307">
            <v>3645.1</v>
          </cell>
          <cell r="G307">
            <v>5053.71</v>
          </cell>
          <cell r="H307">
            <v>3782.98</v>
          </cell>
          <cell r="I307">
            <v>4116.55</v>
          </cell>
          <cell r="J307">
            <v>4866.5600000000004</v>
          </cell>
          <cell r="K307">
            <v>3450.41</v>
          </cell>
          <cell r="L307">
            <v>-895.79</v>
          </cell>
          <cell r="M307">
            <v>2790.36</v>
          </cell>
          <cell r="N307">
            <v>2211.17</v>
          </cell>
          <cell r="O307">
            <v>1382.48</v>
          </cell>
          <cell r="P307">
            <v>2606.41</v>
          </cell>
          <cell r="Q307">
            <v>37247.81</v>
          </cell>
        </row>
        <row r="308">
          <cell r="A308">
            <v>55025</v>
          </cell>
          <cell r="B308" t="str">
            <v>Wages O.T.</v>
          </cell>
          <cell r="E308">
            <v>207.52</v>
          </cell>
          <cell r="F308">
            <v>12.82</v>
          </cell>
          <cell r="G308">
            <v>38.619999999999997</v>
          </cell>
          <cell r="H308">
            <v>37.99</v>
          </cell>
          <cell r="I308">
            <v>485</v>
          </cell>
          <cell r="J308">
            <v>319.70999999999998</v>
          </cell>
          <cell r="K308">
            <v>215.61</v>
          </cell>
          <cell r="L308">
            <v>-99.64</v>
          </cell>
          <cell r="M308">
            <v>16.27</v>
          </cell>
          <cell r="N308">
            <v>59.9</v>
          </cell>
          <cell r="O308">
            <v>192.29</v>
          </cell>
          <cell r="P308">
            <v>-41.94</v>
          </cell>
          <cell r="Q308">
            <v>1444.1499999999999</v>
          </cell>
        </row>
        <row r="309">
          <cell r="A309">
            <v>55035</v>
          </cell>
          <cell r="B309" t="str">
            <v>Safety Bonuses</v>
          </cell>
          <cell r="E309">
            <v>0</v>
          </cell>
          <cell r="F309">
            <v>0</v>
          </cell>
          <cell r="G309">
            <v>0</v>
          </cell>
          <cell r="H309">
            <v>0</v>
          </cell>
          <cell r="I309">
            <v>0</v>
          </cell>
          <cell r="J309">
            <v>0</v>
          </cell>
          <cell r="K309">
            <v>0</v>
          </cell>
          <cell r="L309">
            <v>0</v>
          </cell>
          <cell r="M309">
            <v>0</v>
          </cell>
          <cell r="N309">
            <v>0</v>
          </cell>
          <cell r="O309">
            <v>0</v>
          </cell>
          <cell r="P309">
            <v>0</v>
          </cell>
          <cell r="Q309">
            <v>0</v>
          </cell>
        </row>
        <row r="310">
          <cell r="A310">
            <v>55036</v>
          </cell>
          <cell r="B310" t="str">
            <v>Other Bonus/Commission - Non-Safety</v>
          </cell>
          <cell r="E310">
            <v>0</v>
          </cell>
          <cell r="F310">
            <v>0</v>
          </cell>
          <cell r="G310">
            <v>0</v>
          </cell>
          <cell r="H310">
            <v>0</v>
          </cell>
          <cell r="I310">
            <v>0</v>
          </cell>
          <cell r="J310">
            <v>0</v>
          </cell>
          <cell r="K310">
            <v>0</v>
          </cell>
          <cell r="L310">
            <v>0</v>
          </cell>
          <cell r="M310">
            <v>0</v>
          </cell>
          <cell r="N310">
            <v>0</v>
          </cell>
          <cell r="O310">
            <v>0</v>
          </cell>
          <cell r="P310">
            <v>0</v>
          </cell>
          <cell r="Q310">
            <v>0</v>
          </cell>
        </row>
        <row r="311">
          <cell r="A311">
            <v>55045</v>
          </cell>
          <cell r="B311" t="str">
            <v>Contract Labor</v>
          </cell>
          <cell r="E311">
            <v>0</v>
          </cell>
          <cell r="F311">
            <v>0</v>
          </cell>
          <cell r="G311">
            <v>0</v>
          </cell>
          <cell r="H311">
            <v>0</v>
          </cell>
          <cell r="I311">
            <v>0</v>
          </cell>
          <cell r="J311">
            <v>0</v>
          </cell>
          <cell r="K311">
            <v>0</v>
          </cell>
          <cell r="L311">
            <v>0</v>
          </cell>
          <cell r="M311">
            <v>0</v>
          </cell>
          <cell r="N311">
            <v>0</v>
          </cell>
          <cell r="O311">
            <v>0</v>
          </cell>
          <cell r="P311">
            <v>0</v>
          </cell>
          <cell r="Q311">
            <v>0</v>
          </cell>
        </row>
        <row r="312">
          <cell r="A312">
            <v>55050</v>
          </cell>
          <cell r="B312" t="str">
            <v>Payroll Taxes</v>
          </cell>
          <cell r="E312">
            <v>526.11</v>
          </cell>
          <cell r="F312">
            <v>376.89</v>
          </cell>
          <cell r="G312">
            <v>487.16</v>
          </cell>
          <cell r="H312">
            <v>433.36</v>
          </cell>
          <cell r="I312">
            <v>441.95</v>
          </cell>
          <cell r="J312">
            <v>479.57</v>
          </cell>
          <cell r="K312">
            <v>386.21</v>
          </cell>
          <cell r="L312">
            <v>296.14999999999998</v>
          </cell>
          <cell r="M312">
            <v>200.44</v>
          </cell>
          <cell r="N312">
            <v>209.02</v>
          </cell>
          <cell r="O312">
            <v>287.25</v>
          </cell>
          <cell r="P312">
            <v>160.52000000000001</v>
          </cell>
          <cell r="Q312">
            <v>4284.630000000001</v>
          </cell>
        </row>
        <row r="313">
          <cell r="A313">
            <v>55060</v>
          </cell>
          <cell r="B313" t="str">
            <v>Group Insurance</v>
          </cell>
          <cell r="E313">
            <v>592</v>
          </cell>
          <cell r="F313">
            <v>592</v>
          </cell>
          <cell r="G313">
            <v>488</v>
          </cell>
          <cell r="H313">
            <v>696</v>
          </cell>
          <cell r="I313">
            <v>592</v>
          </cell>
          <cell r="J313">
            <v>592</v>
          </cell>
          <cell r="K313">
            <v>592</v>
          </cell>
          <cell r="L313">
            <v>592</v>
          </cell>
          <cell r="M313">
            <v>589</v>
          </cell>
          <cell r="N313">
            <v>693</v>
          </cell>
          <cell r="O313">
            <v>641</v>
          </cell>
          <cell r="P313">
            <v>641</v>
          </cell>
          <cell r="Q313">
            <v>7300</v>
          </cell>
        </row>
        <row r="314">
          <cell r="A314">
            <v>55065</v>
          </cell>
          <cell r="B314" t="str">
            <v>Vacation Pay</v>
          </cell>
          <cell r="E314">
            <v>1530.51</v>
          </cell>
          <cell r="F314">
            <v>299.68</v>
          </cell>
          <cell r="G314">
            <v>-333.52</v>
          </cell>
          <cell r="H314">
            <v>791.16</v>
          </cell>
          <cell r="I314">
            <v>342.62</v>
          </cell>
          <cell r="J314">
            <v>95.96</v>
          </cell>
          <cell r="K314">
            <v>412.42</v>
          </cell>
          <cell r="L314">
            <v>663.21</v>
          </cell>
          <cell r="M314">
            <v>-476.38</v>
          </cell>
          <cell r="N314">
            <v>100.96</v>
          </cell>
          <cell r="O314">
            <v>-21.16</v>
          </cell>
          <cell r="P314">
            <v>202.89</v>
          </cell>
          <cell r="Q314">
            <v>3608.35</v>
          </cell>
        </row>
        <row r="315">
          <cell r="A315">
            <v>55070</v>
          </cell>
          <cell r="B315" t="str">
            <v>Sick Pay</v>
          </cell>
          <cell r="E315">
            <v>0</v>
          </cell>
          <cell r="F315">
            <v>106.8</v>
          </cell>
          <cell r="G315">
            <v>0</v>
          </cell>
          <cell r="H315">
            <v>207</v>
          </cell>
          <cell r="I315">
            <v>107.64</v>
          </cell>
          <cell r="J315">
            <v>-66.239999999999995</v>
          </cell>
          <cell r="K315">
            <v>386.4</v>
          </cell>
          <cell r="L315">
            <v>0</v>
          </cell>
          <cell r="M315">
            <v>0</v>
          </cell>
          <cell r="N315">
            <v>0</v>
          </cell>
          <cell r="O315">
            <v>1048.8</v>
          </cell>
          <cell r="P315">
            <v>-386.4</v>
          </cell>
          <cell r="Q315">
            <v>1404</v>
          </cell>
        </row>
        <row r="316">
          <cell r="A316">
            <v>55086</v>
          </cell>
          <cell r="B316" t="str">
            <v>Safety and Training</v>
          </cell>
          <cell r="E316">
            <v>0</v>
          </cell>
          <cell r="F316">
            <v>0</v>
          </cell>
          <cell r="G316">
            <v>0</v>
          </cell>
          <cell r="H316">
            <v>102.92</v>
          </cell>
          <cell r="I316">
            <v>87.01</v>
          </cell>
          <cell r="J316">
            <v>0</v>
          </cell>
          <cell r="K316">
            <v>0</v>
          </cell>
          <cell r="L316">
            <v>0</v>
          </cell>
          <cell r="M316">
            <v>0</v>
          </cell>
          <cell r="N316">
            <v>25</v>
          </cell>
          <cell r="O316">
            <v>0</v>
          </cell>
          <cell r="P316">
            <v>0</v>
          </cell>
          <cell r="Q316">
            <v>214.93</v>
          </cell>
        </row>
        <row r="317">
          <cell r="A317">
            <v>55090</v>
          </cell>
          <cell r="B317" t="str">
            <v>Uniforms</v>
          </cell>
          <cell r="E317">
            <v>150.38</v>
          </cell>
          <cell r="F317">
            <v>176.83</v>
          </cell>
          <cell r="G317">
            <v>194.81</v>
          </cell>
          <cell r="H317">
            <v>160.08000000000001</v>
          </cell>
          <cell r="I317">
            <v>148.47</v>
          </cell>
          <cell r="J317">
            <v>225.16</v>
          </cell>
          <cell r="K317">
            <v>214.31</v>
          </cell>
          <cell r="L317">
            <v>616.44000000000005</v>
          </cell>
          <cell r="M317">
            <v>125.04</v>
          </cell>
          <cell r="N317">
            <v>178.98</v>
          </cell>
          <cell r="O317">
            <v>138.13999999999999</v>
          </cell>
          <cell r="P317">
            <v>154.04</v>
          </cell>
          <cell r="Q317">
            <v>2482.6799999999998</v>
          </cell>
        </row>
        <row r="318">
          <cell r="A318">
            <v>55115</v>
          </cell>
          <cell r="B318" t="str">
            <v>Pension and Profit Sharing</v>
          </cell>
          <cell r="E318">
            <v>0</v>
          </cell>
          <cell r="F318">
            <v>0</v>
          </cell>
          <cell r="G318">
            <v>0</v>
          </cell>
          <cell r="H318">
            <v>0</v>
          </cell>
          <cell r="I318">
            <v>0</v>
          </cell>
          <cell r="J318">
            <v>0</v>
          </cell>
          <cell r="K318">
            <v>0</v>
          </cell>
          <cell r="L318">
            <v>0</v>
          </cell>
          <cell r="M318">
            <v>0</v>
          </cell>
          <cell r="N318">
            <v>0</v>
          </cell>
          <cell r="O318">
            <v>0</v>
          </cell>
          <cell r="P318">
            <v>0</v>
          </cell>
          <cell r="Q318">
            <v>0</v>
          </cell>
        </row>
        <row r="319">
          <cell r="A319">
            <v>55116</v>
          </cell>
          <cell r="B319" t="str">
            <v>Union Benefit Expense</v>
          </cell>
          <cell r="E319">
            <v>0</v>
          </cell>
          <cell r="F319">
            <v>0</v>
          </cell>
          <cell r="G319">
            <v>0</v>
          </cell>
          <cell r="H319">
            <v>0</v>
          </cell>
          <cell r="I319">
            <v>0</v>
          </cell>
          <cell r="J319">
            <v>0</v>
          </cell>
          <cell r="K319">
            <v>0</v>
          </cell>
          <cell r="L319">
            <v>0</v>
          </cell>
          <cell r="M319">
            <v>0</v>
          </cell>
          <cell r="N319">
            <v>0</v>
          </cell>
          <cell r="O319">
            <v>0</v>
          </cell>
          <cell r="P319">
            <v>0</v>
          </cell>
          <cell r="Q319">
            <v>0</v>
          </cell>
        </row>
        <row r="320">
          <cell r="A320">
            <v>55117</v>
          </cell>
          <cell r="B320" t="str">
            <v>Union Pension</v>
          </cell>
          <cell r="E320">
            <v>0</v>
          </cell>
          <cell r="F320">
            <v>0</v>
          </cell>
          <cell r="G320">
            <v>0</v>
          </cell>
          <cell r="H320">
            <v>0</v>
          </cell>
          <cell r="I320">
            <v>0</v>
          </cell>
          <cell r="J320">
            <v>0</v>
          </cell>
          <cell r="K320">
            <v>0</v>
          </cell>
          <cell r="L320">
            <v>0</v>
          </cell>
          <cell r="M320">
            <v>0</v>
          </cell>
          <cell r="N320">
            <v>0</v>
          </cell>
          <cell r="O320">
            <v>0</v>
          </cell>
          <cell r="P320">
            <v>0</v>
          </cell>
          <cell r="Q320">
            <v>0</v>
          </cell>
        </row>
        <row r="321">
          <cell r="A321">
            <v>55120</v>
          </cell>
          <cell r="B321" t="str">
            <v>Parts and Materials</v>
          </cell>
          <cell r="E321">
            <v>8487.7999999999993</v>
          </cell>
          <cell r="F321">
            <v>7446.84</v>
          </cell>
          <cell r="G321">
            <v>15850.27</v>
          </cell>
          <cell r="H321">
            <v>18201.75</v>
          </cell>
          <cell r="I321">
            <v>9184.14</v>
          </cell>
          <cell r="J321">
            <v>13165.81</v>
          </cell>
          <cell r="K321">
            <v>11588.02</v>
          </cell>
          <cell r="L321">
            <v>15366.43</v>
          </cell>
          <cell r="M321">
            <v>-29929.23</v>
          </cell>
          <cell r="N321">
            <v>8572.4699999999993</v>
          </cell>
          <cell r="O321">
            <v>2939.21</v>
          </cell>
          <cell r="P321">
            <v>7744.74</v>
          </cell>
          <cell r="Q321">
            <v>88618.250000000015</v>
          </cell>
        </row>
        <row r="322">
          <cell r="A322">
            <v>55125</v>
          </cell>
          <cell r="B322" t="str">
            <v>Operating Supplies</v>
          </cell>
          <cell r="E322">
            <v>625.29999999999995</v>
          </cell>
          <cell r="F322">
            <v>287.99</v>
          </cell>
          <cell r="G322">
            <v>0</v>
          </cell>
          <cell r="H322">
            <v>809.74</v>
          </cell>
          <cell r="I322">
            <v>404.7</v>
          </cell>
          <cell r="J322">
            <v>0</v>
          </cell>
          <cell r="K322">
            <v>0</v>
          </cell>
          <cell r="L322">
            <v>0</v>
          </cell>
          <cell r="M322">
            <v>0</v>
          </cell>
          <cell r="N322">
            <v>0</v>
          </cell>
          <cell r="O322">
            <v>64.819999999999993</v>
          </cell>
          <cell r="P322">
            <v>0</v>
          </cell>
          <cell r="Q322">
            <v>2192.5500000000002</v>
          </cell>
        </row>
        <row r="323">
          <cell r="A323">
            <v>55135</v>
          </cell>
          <cell r="B323" t="str">
            <v>Equipment and Maint Repair</v>
          </cell>
          <cell r="E323">
            <v>0</v>
          </cell>
          <cell r="F323">
            <v>321.35000000000002</v>
          </cell>
          <cell r="G323">
            <v>309.18</v>
          </cell>
          <cell r="H323">
            <v>826.48</v>
          </cell>
          <cell r="I323">
            <v>87.89</v>
          </cell>
          <cell r="J323">
            <v>0</v>
          </cell>
          <cell r="K323">
            <v>0</v>
          </cell>
          <cell r="L323">
            <v>0</v>
          </cell>
          <cell r="M323">
            <v>531.54999999999995</v>
          </cell>
          <cell r="N323">
            <v>172.24</v>
          </cell>
          <cell r="O323">
            <v>0</v>
          </cell>
          <cell r="P323">
            <v>250.34</v>
          </cell>
          <cell r="Q323">
            <v>2499.0299999999997</v>
          </cell>
        </row>
        <row r="324">
          <cell r="A324">
            <v>55140</v>
          </cell>
          <cell r="B324" t="str">
            <v>Tires</v>
          </cell>
          <cell r="E324">
            <v>0</v>
          </cell>
          <cell r="F324">
            <v>0</v>
          </cell>
          <cell r="G324">
            <v>0</v>
          </cell>
          <cell r="H324">
            <v>0</v>
          </cell>
          <cell r="I324">
            <v>0</v>
          </cell>
          <cell r="J324">
            <v>0</v>
          </cell>
          <cell r="K324">
            <v>0</v>
          </cell>
          <cell r="L324">
            <v>0</v>
          </cell>
          <cell r="M324">
            <v>0</v>
          </cell>
          <cell r="N324">
            <v>0</v>
          </cell>
          <cell r="O324">
            <v>0</v>
          </cell>
          <cell r="P324">
            <v>0</v>
          </cell>
          <cell r="Q324">
            <v>0</v>
          </cell>
        </row>
        <row r="325">
          <cell r="A325">
            <v>55142</v>
          </cell>
          <cell r="B325" t="str">
            <v>Fuel Expense</v>
          </cell>
          <cell r="E325">
            <v>0</v>
          </cell>
          <cell r="F325">
            <v>0</v>
          </cell>
          <cell r="G325">
            <v>0</v>
          </cell>
          <cell r="H325">
            <v>0</v>
          </cell>
          <cell r="I325">
            <v>0</v>
          </cell>
          <cell r="J325">
            <v>0</v>
          </cell>
          <cell r="K325">
            <v>0</v>
          </cell>
          <cell r="L325">
            <v>0</v>
          </cell>
          <cell r="M325">
            <v>0</v>
          </cell>
          <cell r="N325">
            <v>0</v>
          </cell>
          <cell r="O325">
            <v>0</v>
          </cell>
          <cell r="P325">
            <v>0</v>
          </cell>
          <cell r="Q325">
            <v>0</v>
          </cell>
        </row>
        <row r="326">
          <cell r="A326">
            <v>55143</v>
          </cell>
          <cell r="B326" t="str">
            <v>Corporate Medical Waste Supplies</v>
          </cell>
          <cell r="E326">
            <v>0</v>
          </cell>
          <cell r="F326">
            <v>0</v>
          </cell>
          <cell r="G326">
            <v>0</v>
          </cell>
          <cell r="H326">
            <v>0</v>
          </cell>
          <cell r="I326">
            <v>0</v>
          </cell>
          <cell r="J326">
            <v>0</v>
          </cell>
          <cell r="K326">
            <v>0</v>
          </cell>
          <cell r="L326">
            <v>0</v>
          </cell>
          <cell r="M326">
            <v>0</v>
          </cell>
          <cell r="N326">
            <v>0</v>
          </cell>
          <cell r="O326">
            <v>0</v>
          </cell>
          <cell r="P326">
            <v>0</v>
          </cell>
          <cell r="Q326">
            <v>0</v>
          </cell>
        </row>
        <row r="327">
          <cell r="A327">
            <v>55146</v>
          </cell>
          <cell r="B327" t="str">
            <v>Oil and Grease</v>
          </cell>
          <cell r="E327">
            <v>0</v>
          </cell>
          <cell r="F327">
            <v>0</v>
          </cell>
          <cell r="G327">
            <v>0</v>
          </cell>
          <cell r="H327">
            <v>0</v>
          </cell>
          <cell r="I327">
            <v>0</v>
          </cell>
          <cell r="J327">
            <v>0</v>
          </cell>
          <cell r="K327">
            <v>0</v>
          </cell>
          <cell r="L327">
            <v>0</v>
          </cell>
          <cell r="M327">
            <v>0</v>
          </cell>
          <cell r="N327">
            <v>0</v>
          </cell>
          <cell r="O327">
            <v>0</v>
          </cell>
          <cell r="P327">
            <v>0</v>
          </cell>
          <cell r="Q327">
            <v>0</v>
          </cell>
        </row>
        <row r="328">
          <cell r="A328">
            <v>55147</v>
          </cell>
          <cell r="B328" t="str">
            <v>Outside Repairs</v>
          </cell>
          <cell r="E328">
            <v>0</v>
          </cell>
          <cell r="F328">
            <v>292.57</v>
          </cell>
          <cell r="G328">
            <v>0</v>
          </cell>
          <cell r="H328">
            <v>0</v>
          </cell>
          <cell r="I328">
            <v>0</v>
          </cell>
          <cell r="J328">
            <v>0</v>
          </cell>
          <cell r="K328">
            <v>0</v>
          </cell>
          <cell r="L328">
            <v>0</v>
          </cell>
          <cell r="M328">
            <v>0</v>
          </cell>
          <cell r="N328">
            <v>0</v>
          </cell>
          <cell r="O328">
            <v>0</v>
          </cell>
          <cell r="P328">
            <v>0</v>
          </cell>
          <cell r="Q328">
            <v>292.57</v>
          </cell>
        </row>
        <row r="329">
          <cell r="A329">
            <v>55148</v>
          </cell>
          <cell r="B329" t="str">
            <v>Allocated Exp In - District</v>
          </cell>
          <cell r="E329">
            <v>0</v>
          </cell>
          <cell r="F329">
            <v>116.52</v>
          </cell>
          <cell r="G329">
            <v>0</v>
          </cell>
          <cell r="H329">
            <v>0</v>
          </cell>
          <cell r="I329">
            <v>0</v>
          </cell>
          <cell r="J329">
            <v>0</v>
          </cell>
          <cell r="K329">
            <v>0</v>
          </cell>
          <cell r="L329">
            <v>0</v>
          </cell>
          <cell r="M329">
            <v>0</v>
          </cell>
          <cell r="N329">
            <v>0</v>
          </cell>
          <cell r="O329">
            <v>0</v>
          </cell>
          <cell r="P329">
            <v>0</v>
          </cell>
          <cell r="Q329">
            <v>116.52</v>
          </cell>
        </row>
        <row r="330">
          <cell r="A330">
            <v>55149</v>
          </cell>
          <cell r="B330" t="str">
            <v>Allocated Exp In Out - District</v>
          </cell>
          <cell r="E330">
            <v>0</v>
          </cell>
          <cell r="F330">
            <v>0</v>
          </cell>
          <cell r="G330">
            <v>0</v>
          </cell>
          <cell r="H330">
            <v>0</v>
          </cell>
          <cell r="I330">
            <v>0</v>
          </cell>
          <cell r="J330">
            <v>0</v>
          </cell>
          <cell r="K330">
            <v>0</v>
          </cell>
          <cell r="L330">
            <v>0</v>
          </cell>
          <cell r="M330">
            <v>0</v>
          </cell>
          <cell r="N330">
            <v>0</v>
          </cell>
          <cell r="O330">
            <v>0</v>
          </cell>
          <cell r="P330">
            <v>0</v>
          </cell>
          <cell r="Q330">
            <v>0</v>
          </cell>
        </row>
        <row r="331">
          <cell r="A331">
            <v>55150</v>
          </cell>
          <cell r="B331" t="str">
            <v>Utilities</v>
          </cell>
          <cell r="E331">
            <v>437.73</v>
          </cell>
          <cell r="F331">
            <v>510</v>
          </cell>
          <cell r="G331">
            <v>480.44</v>
          </cell>
          <cell r="H331">
            <v>460.73</v>
          </cell>
          <cell r="I331">
            <v>398.31</v>
          </cell>
          <cell r="J331">
            <v>372.03</v>
          </cell>
          <cell r="K331">
            <v>329.33</v>
          </cell>
          <cell r="L331">
            <v>0</v>
          </cell>
          <cell r="M331">
            <v>370.51</v>
          </cell>
          <cell r="N331">
            <v>344.08</v>
          </cell>
          <cell r="O331">
            <v>368.05</v>
          </cell>
          <cell r="P331">
            <v>368.05</v>
          </cell>
          <cell r="Q331">
            <v>4439.26</v>
          </cell>
        </row>
        <row r="332">
          <cell r="A332">
            <v>55181</v>
          </cell>
          <cell r="B332" t="str">
            <v>Freight</v>
          </cell>
          <cell r="E332">
            <v>0</v>
          </cell>
          <cell r="F332">
            <v>0</v>
          </cell>
          <cell r="G332">
            <v>0</v>
          </cell>
          <cell r="H332">
            <v>0</v>
          </cell>
          <cell r="I332">
            <v>0</v>
          </cell>
          <cell r="J332">
            <v>0</v>
          </cell>
          <cell r="K332">
            <v>0</v>
          </cell>
          <cell r="L332">
            <v>0</v>
          </cell>
          <cell r="M332">
            <v>0</v>
          </cell>
          <cell r="N332">
            <v>0</v>
          </cell>
          <cell r="O332">
            <v>0</v>
          </cell>
          <cell r="P332">
            <v>0</v>
          </cell>
          <cell r="Q332">
            <v>0</v>
          </cell>
        </row>
        <row r="333">
          <cell r="A333">
            <v>55335</v>
          </cell>
          <cell r="B333" t="str">
            <v>Miscellaneous</v>
          </cell>
          <cell r="E333">
            <v>0</v>
          </cell>
          <cell r="F333">
            <v>0</v>
          </cell>
          <cell r="G333">
            <v>0</v>
          </cell>
          <cell r="H333">
            <v>0</v>
          </cell>
          <cell r="I333">
            <v>0</v>
          </cell>
          <cell r="J333">
            <v>0</v>
          </cell>
          <cell r="K333">
            <v>0</v>
          </cell>
          <cell r="L333">
            <v>0</v>
          </cell>
          <cell r="M333">
            <v>0</v>
          </cell>
          <cell r="N333">
            <v>0</v>
          </cell>
          <cell r="O333">
            <v>0</v>
          </cell>
          <cell r="P333">
            <v>0</v>
          </cell>
          <cell r="Q333">
            <v>0</v>
          </cell>
        </row>
        <row r="334">
          <cell r="A334">
            <v>55900</v>
          </cell>
          <cell r="B334" t="str">
            <v>Capitalized Costs</v>
          </cell>
          <cell r="E334">
            <v>0</v>
          </cell>
          <cell r="F334">
            <v>0</v>
          </cell>
          <cell r="G334">
            <v>0</v>
          </cell>
          <cell r="H334">
            <v>0</v>
          </cell>
          <cell r="I334">
            <v>0</v>
          </cell>
          <cell r="J334">
            <v>0</v>
          </cell>
          <cell r="K334">
            <v>0</v>
          </cell>
          <cell r="L334">
            <v>0</v>
          </cell>
          <cell r="M334">
            <v>0</v>
          </cell>
          <cell r="N334">
            <v>0</v>
          </cell>
          <cell r="O334">
            <v>0</v>
          </cell>
          <cell r="P334">
            <v>0</v>
          </cell>
          <cell r="Q334">
            <v>0</v>
          </cell>
        </row>
        <row r="335">
          <cell r="A335">
            <v>55998</v>
          </cell>
          <cell r="B335" t="str">
            <v>Allocation Out - District</v>
          </cell>
          <cell r="E335">
            <v>0</v>
          </cell>
          <cell r="F335">
            <v>0</v>
          </cell>
          <cell r="G335">
            <v>0</v>
          </cell>
          <cell r="H335">
            <v>0</v>
          </cell>
          <cell r="I335">
            <v>0</v>
          </cell>
          <cell r="J335">
            <v>0</v>
          </cell>
          <cell r="K335">
            <v>0</v>
          </cell>
          <cell r="L335">
            <v>0</v>
          </cell>
          <cell r="M335">
            <v>0</v>
          </cell>
          <cell r="N335">
            <v>0</v>
          </cell>
          <cell r="O335">
            <v>0</v>
          </cell>
          <cell r="P335">
            <v>0</v>
          </cell>
          <cell r="Q335">
            <v>0</v>
          </cell>
        </row>
        <row r="336">
          <cell r="A336">
            <v>55999</v>
          </cell>
          <cell r="B336" t="str">
            <v>Allocation Out - Out District</v>
          </cell>
          <cell r="E336">
            <v>-3211.72</v>
          </cell>
          <cell r="F336">
            <v>-1377.44</v>
          </cell>
          <cell r="G336">
            <v>-15514.36</v>
          </cell>
          <cell r="H336">
            <v>-20245.62</v>
          </cell>
          <cell r="I336">
            <v>-8044.68</v>
          </cell>
          <cell r="J336">
            <v>-1309.6400000000001</v>
          </cell>
          <cell r="K336">
            <v>-416.83</v>
          </cell>
          <cell r="L336">
            <v>-3864.87</v>
          </cell>
          <cell r="M336">
            <v>-3105</v>
          </cell>
          <cell r="N336">
            <v>-3070</v>
          </cell>
          <cell r="O336">
            <v>-7561.32</v>
          </cell>
          <cell r="P336">
            <v>-4472.33</v>
          </cell>
          <cell r="Q336">
            <v>-72193.810000000012</v>
          </cell>
        </row>
        <row r="337">
          <cell r="A337" t="str">
            <v>Total Container</v>
          </cell>
          <cell r="E337">
            <v>13583.499999999998</v>
          </cell>
          <cell r="F337">
            <v>12807.949999999999</v>
          </cell>
          <cell r="G337">
            <v>7054.3099999999977</v>
          </cell>
          <cell r="H337">
            <v>6264.57</v>
          </cell>
          <cell r="I337">
            <v>8351.6000000000022</v>
          </cell>
          <cell r="J337">
            <v>18740.919999999998</v>
          </cell>
          <cell r="K337">
            <v>17157.88</v>
          </cell>
          <cell r="L337">
            <v>12673.93</v>
          </cell>
          <cell r="M337">
            <v>-28887.440000000002</v>
          </cell>
          <cell r="N337">
            <v>9496.82</v>
          </cell>
          <cell r="O337">
            <v>-520.4399999999996</v>
          </cell>
          <cell r="P337">
            <v>7227.3199999999979</v>
          </cell>
          <cell r="Q337">
            <v>83950.92</v>
          </cell>
        </row>
        <row r="339">
          <cell r="A339" t="str">
            <v>Supervisor</v>
          </cell>
        </row>
        <row r="340">
          <cell r="A340">
            <v>56010</v>
          </cell>
          <cell r="B340" t="str">
            <v>Salaries</v>
          </cell>
          <cell r="E340">
            <v>8076.93</v>
          </cell>
          <cell r="F340">
            <v>7692.32</v>
          </cell>
          <cell r="G340">
            <v>8846.17</v>
          </cell>
          <cell r="H340">
            <v>8461.56</v>
          </cell>
          <cell r="I340">
            <v>8176.05</v>
          </cell>
          <cell r="J340">
            <v>8565.3799999999992</v>
          </cell>
          <cell r="K340">
            <v>8565.39</v>
          </cell>
          <cell r="L340">
            <v>8565.39</v>
          </cell>
          <cell r="M340">
            <v>8565.39</v>
          </cell>
          <cell r="N340">
            <v>8176.07</v>
          </cell>
          <cell r="O340">
            <v>8565.39</v>
          </cell>
          <cell r="P340">
            <v>8954.7199999999993</v>
          </cell>
          <cell r="Q340">
            <v>101210.76</v>
          </cell>
        </row>
        <row r="341">
          <cell r="A341">
            <v>56020</v>
          </cell>
          <cell r="B341" t="str">
            <v>Wages Regular</v>
          </cell>
          <cell r="E341">
            <v>2832.84</v>
          </cell>
          <cell r="F341">
            <v>5053.68</v>
          </cell>
          <cell r="G341">
            <v>4774.8999999999996</v>
          </cell>
          <cell r="H341">
            <v>4762.42</v>
          </cell>
          <cell r="I341">
            <v>2680.17</v>
          </cell>
          <cell r="J341">
            <v>3378.56</v>
          </cell>
          <cell r="K341">
            <v>5325.53</v>
          </cell>
          <cell r="L341">
            <v>3835.06</v>
          </cell>
          <cell r="M341">
            <v>4435.92</v>
          </cell>
          <cell r="N341">
            <v>4522.72</v>
          </cell>
          <cell r="O341">
            <v>4731.6499999999996</v>
          </cell>
          <cell r="P341">
            <v>4844.54</v>
          </cell>
          <cell r="Q341">
            <v>51177.990000000005</v>
          </cell>
        </row>
        <row r="342">
          <cell r="A342">
            <v>56025</v>
          </cell>
          <cell r="B342" t="str">
            <v>Wages O.T.</v>
          </cell>
          <cell r="E342">
            <v>274.88</v>
          </cell>
          <cell r="F342">
            <v>259.24</v>
          </cell>
          <cell r="G342">
            <v>649.44000000000005</v>
          </cell>
          <cell r="H342">
            <v>504.21</v>
          </cell>
          <cell r="I342">
            <v>341.07</v>
          </cell>
          <cell r="J342">
            <v>196.68</v>
          </cell>
          <cell r="K342">
            <v>716.35</v>
          </cell>
          <cell r="L342">
            <v>71.97</v>
          </cell>
          <cell r="M342">
            <v>716.15</v>
          </cell>
          <cell r="N342">
            <v>388.74</v>
          </cell>
          <cell r="O342">
            <v>560.69000000000005</v>
          </cell>
          <cell r="P342">
            <v>692.62</v>
          </cell>
          <cell r="Q342">
            <v>5372.04</v>
          </cell>
        </row>
        <row r="343">
          <cell r="A343">
            <v>56035</v>
          </cell>
          <cell r="B343" t="str">
            <v>Safety Bonuses</v>
          </cell>
          <cell r="E343">
            <v>0</v>
          </cell>
          <cell r="F343">
            <v>0</v>
          </cell>
          <cell r="G343">
            <v>0</v>
          </cell>
          <cell r="H343">
            <v>0</v>
          </cell>
          <cell r="I343">
            <v>0</v>
          </cell>
          <cell r="J343">
            <v>0</v>
          </cell>
          <cell r="K343">
            <v>0</v>
          </cell>
          <cell r="L343">
            <v>0</v>
          </cell>
          <cell r="M343">
            <v>0</v>
          </cell>
          <cell r="N343">
            <v>0</v>
          </cell>
          <cell r="O343">
            <v>0</v>
          </cell>
          <cell r="P343">
            <v>0</v>
          </cell>
          <cell r="Q343">
            <v>0</v>
          </cell>
        </row>
        <row r="344">
          <cell r="A344">
            <v>56036</v>
          </cell>
          <cell r="B344" t="str">
            <v>Other Bonus/Commission - Non-Safety</v>
          </cell>
          <cell r="E344">
            <v>0</v>
          </cell>
          <cell r="F344">
            <v>0</v>
          </cell>
          <cell r="G344">
            <v>0</v>
          </cell>
          <cell r="H344">
            <v>0</v>
          </cell>
          <cell r="I344">
            <v>0</v>
          </cell>
          <cell r="J344">
            <v>0</v>
          </cell>
          <cell r="K344">
            <v>0</v>
          </cell>
          <cell r="L344">
            <v>0</v>
          </cell>
          <cell r="M344">
            <v>0</v>
          </cell>
          <cell r="N344">
            <v>0</v>
          </cell>
          <cell r="O344">
            <v>0</v>
          </cell>
          <cell r="P344">
            <v>0</v>
          </cell>
          <cell r="Q344">
            <v>0</v>
          </cell>
        </row>
        <row r="345">
          <cell r="A345">
            <v>56037</v>
          </cell>
          <cell r="B345" t="str">
            <v>Termination Pay</v>
          </cell>
          <cell r="E345">
            <v>0</v>
          </cell>
          <cell r="F345">
            <v>0</v>
          </cell>
          <cell r="G345">
            <v>0</v>
          </cell>
          <cell r="H345">
            <v>0</v>
          </cell>
          <cell r="I345">
            <v>0</v>
          </cell>
          <cell r="J345">
            <v>0</v>
          </cell>
          <cell r="K345">
            <v>0</v>
          </cell>
          <cell r="L345">
            <v>0</v>
          </cell>
          <cell r="M345">
            <v>0</v>
          </cell>
          <cell r="N345">
            <v>0</v>
          </cell>
          <cell r="O345">
            <v>0</v>
          </cell>
          <cell r="P345">
            <v>0</v>
          </cell>
          <cell r="Q345">
            <v>0</v>
          </cell>
        </row>
        <row r="346">
          <cell r="A346">
            <v>56045</v>
          </cell>
          <cell r="B346" t="str">
            <v>Contract Labor</v>
          </cell>
          <cell r="E346">
            <v>0</v>
          </cell>
          <cell r="F346">
            <v>0</v>
          </cell>
          <cell r="G346">
            <v>0</v>
          </cell>
          <cell r="H346">
            <v>0</v>
          </cell>
          <cell r="I346">
            <v>2127.6</v>
          </cell>
          <cell r="J346">
            <v>283.68</v>
          </cell>
          <cell r="K346">
            <v>0</v>
          </cell>
          <cell r="L346">
            <v>0</v>
          </cell>
          <cell r="M346">
            <v>0</v>
          </cell>
          <cell r="N346">
            <v>0</v>
          </cell>
          <cell r="O346">
            <v>0</v>
          </cell>
          <cell r="P346">
            <v>0</v>
          </cell>
          <cell r="Q346">
            <v>2411.2799999999997</v>
          </cell>
        </row>
        <row r="347">
          <cell r="A347">
            <v>56050</v>
          </cell>
          <cell r="B347" t="str">
            <v>Payroll Taxes</v>
          </cell>
          <cell r="E347">
            <v>1457.13</v>
          </cell>
          <cell r="F347">
            <v>1086.04</v>
          </cell>
          <cell r="G347">
            <v>1432.76</v>
          </cell>
          <cell r="H347">
            <v>1237.58</v>
          </cell>
          <cell r="I347">
            <v>1015.69</v>
          </cell>
          <cell r="J347">
            <v>1252.47</v>
          </cell>
          <cell r="K347">
            <v>1534.22</v>
          </cell>
          <cell r="L347">
            <v>1138.26</v>
          </cell>
          <cell r="M347">
            <v>1122.4100000000001</v>
          </cell>
          <cell r="N347">
            <v>1083.83</v>
          </cell>
          <cell r="O347">
            <v>1262.81</v>
          </cell>
          <cell r="P347">
            <v>1237.03</v>
          </cell>
          <cell r="Q347">
            <v>14860.230000000001</v>
          </cell>
        </row>
        <row r="348">
          <cell r="A348">
            <v>56060</v>
          </cell>
          <cell r="B348" t="str">
            <v>Group Insurance</v>
          </cell>
          <cell r="E348">
            <v>2260</v>
          </cell>
          <cell r="F348">
            <v>2260</v>
          </cell>
          <cell r="G348">
            <v>2015</v>
          </cell>
          <cell r="H348">
            <v>2505</v>
          </cell>
          <cell r="I348">
            <v>2286.75</v>
          </cell>
          <cell r="J348">
            <v>2260</v>
          </cell>
          <cell r="K348">
            <v>2233.2399999999998</v>
          </cell>
          <cell r="L348">
            <v>2260</v>
          </cell>
          <cell r="M348">
            <v>2015</v>
          </cell>
          <cell r="N348">
            <v>2505</v>
          </cell>
          <cell r="O348">
            <v>2260</v>
          </cell>
          <cell r="P348">
            <v>2260</v>
          </cell>
          <cell r="Q348">
            <v>27119.989999999998</v>
          </cell>
        </row>
        <row r="349">
          <cell r="A349">
            <v>56065</v>
          </cell>
          <cell r="B349" t="str">
            <v>Vacation Pay</v>
          </cell>
          <cell r="E349">
            <v>1525.21</v>
          </cell>
          <cell r="F349">
            <v>-107.25</v>
          </cell>
          <cell r="G349">
            <v>686</v>
          </cell>
          <cell r="H349">
            <v>651.78</v>
          </cell>
          <cell r="I349">
            <v>5006.99</v>
          </cell>
          <cell r="J349">
            <v>-77.53</v>
          </cell>
          <cell r="K349">
            <v>1031.8800000000001</v>
          </cell>
          <cell r="L349">
            <v>1229.18</v>
          </cell>
          <cell r="M349">
            <v>-193.57</v>
          </cell>
          <cell r="N349">
            <v>1097.0899999999999</v>
          </cell>
          <cell r="O349">
            <v>647.59</v>
          </cell>
          <cell r="P349">
            <v>92.16</v>
          </cell>
          <cell r="Q349">
            <v>11589.53</v>
          </cell>
        </row>
        <row r="350">
          <cell r="A350">
            <v>56070</v>
          </cell>
          <cell r="B350" t="str">
            <v>Sick Pay</v>
          </cell>
          <cell r="E350">
            <v>197.6</v>
          </cell>
          <cell r="F350">
            <v>-54.84</v>
          </cell>
          <cell r="G350">
            <v>58.3</v>
          </cell>
          <cell r="H350">
            <v>30.87</v>
          </cell>
          <cell r="I350">
            <v>0</v>
          </cell>
          <cell r="J350">
            <v>421.35</v>
          </cell>
          <cell r="K350">
            <v>0</v>
          </cell>
          <cell r="L350">
            <v>0</v>
          </cell>
          <cell r="M350">
            <v>371.67</v>
          </cell>
          <cell r="N350">
            <v>-106.19</v>
          </cell>
          <cell r="O350">
            <v>333.34</v>
          </cell>
          <cell r="P350">
            <v>-137.26</v>
          </cell>
          <cell r="Q350">
            <v>1114.8399999999999</v>
          </cell>
        </row>
        <row r="351">
          <cell r="A351">
            <v>56086</v>
          </cell>
          <cell r="B351" t="str">
            <v>Safety and Training</v>
          </cell>
          <cell r="E351">
            <v>259.02</v>
          </cell>
          <cell r="F351">
            <v>48.7</v>
          </cell>
          <cell r="G351">
            <v>93.68</v>
          </cell>
          <cell r="H351">
            <v>64.45</v>
          </cell>
          <cell r="I351">
            <v>0</v>
          </cell>
          <cell r="J351">
            <v>194.76</v>
          </cell>
          <cell r="K351">
            <v>1077.77</v>
          </cell>
          <cell r="L351">
            <v>241.93</v>
          </cell>
          <cell r="M351">
            <v>798.35</v>
          </cell>
          <cell r="N351">
            <v>821.91</v>
          </cell>
          <cell r="O351">
            <v>200.16</v>
          </cell>
          <cell r="P351">
            <v>135.97999999999999</v>
          </cell>
          <cell r="Q351">
            <v>3936.7099999999996</v>
          </cell>
        </row>
        <row r="352">
          <cell r="A352">
            <v>56090</v>
          </cell>
          <cell r="B352" t="str">
            <v>Uniforms</v>
          </cell>
          <cell r="E352">
            <v>1795.66</v>
          </cell>
          <cell r="F352">
            <v>143.75</v>
          </cell>
          <cell r="G352">
            <v>1117.68</v>
          </cell>
          <cell r="H352">
            <v>663</v>
          </cell>
          <cell r="I352">
            <v>503.29</v>
          </cell>
          <cell r="J352">
            <v>889.18</v>
          </cell>
          <cell r="K352">
            <v>1081.28</v>
          </cell>
          <cell r="L352">
            <v>680.36</v>
          </cell>
          <cell r="M352">
            <v>906.86</v>
          </cell>
          <cell r="N352">
            <v>144.98000000000002</v>
          </cell>
          <cell r="O352">
            <v>1093.78</v>
          </cell>
          <cell r="P352">
            <v>477.8</v>
          </cell>
          <cell r="Q352">
            <v>9497.619999999999</v>
          </cell>
        </row>
        <row r="353">
          <cell r="A353">
            <v>56095</v>
          </cell>
          <cell r="B353" t="str">
            <v>Empl &amp; Commun Activ</v>
          </cell>
          <cell r="E353">
            <v>727.54</v>
          </cell>
          <cell r="F353">
            <v>-266.95</v>
          </cell>
          <cell r="G353">
            <v>0</v>
          </cell>
          <cell r="H353">
            <v>92.48</v>
          </cell>
          <cell r="I353">
            <v>485.76</v>
          </cell>
          <cell r="J353">
            <v>463.36</v>
          </cell>
          <cell r="K353">
            <v>0</v>
          </cell>
          <cell r="L353">
            <v>0</v>
          </cell>
          <cell r="M353">
            <v>293.06</v>
          </cell>
          <cell r="N353">
            <v>28.73</v>
          </cell>
          <cell r="O353">
            <v>-181.04</v>
          </cell>
          <cell r="P353">
            <v>0</v>
          </cell>
          <cell r="Q353">
            <v>1642.94</v>
          </cell>
        </row>
        <row r="354">
          <cell r="A354">
            <v>56105</v>
          </cell>
          <cell r="B354" t="str">
            <v>Employee Relocation</v>
          </cell>
          <cell r="E354">
            <v>0</v>
          </cell>
          <cell r="F354">
            <v>0</v>
          </cell>
          <cell r="G354">
            <v>0</v>
          </cell>
          <cell r="H354">
            <v>0</v>
          </cell>
          <cell r="I354">
            <v>0</v>
          </cell>
          <cell r="J354">
            <v>0</v>
          </cell>
          <cell r="K354">
            <v>0</v>
          </cell>
          <cell r="L354">
            <v>0</v>
          </cell>
          <cell r="M354">
            <v>0</v>
          </cell>
          <cell r="N354">
            <v>0</v>
          </cell>
          <cell r="O354">
            <v>0</v>
          </cell>
          <cell r="P354">
            <v>0</v>
          </cell>
          <cell r="Q354">
            <v>0</v>
          </cell>
        </row>
        <row r="355">
          <cell r="A355">
            <v>56108</v>
          </cell>
          <cell r="B355" t="str">
            <v>School Tuition</v>
          </cell>
          <cell r="E355">
            <v>0</v>
          </cell>
          <cell r="F355">
            <v>0</v>
          </cell>
          <cell r="G355">
            <v>0</v>
          </cell>
          <cell r="H355">
            <v>0</v>
          </cell>
          <cell r="I355">
            <v>0</v>
          </cell>
          <cell r="J355">
            <v>0</v>
          </cell>
          <cell r="K355">
            <v>0</v>
          </cell>
          <cell r="L355">
            <v>0</v>
          </cell>
          <cell r="M355">
            <v>0</v>
          </cell>
          <cell r="N355">
            <v>0</v>
          </cell>
          <cell r="O355">
            <v>0</v>
          </cell>
          <cell r="P355">
            <v>0</v>
          </cell>
          <cell r="Q355">
            <v>0</v>
          </cell>
        </row>
        <row r="356">
          <cell r="A356">
            <v>56115</v>
          </cell>
          <cell r="B356" t="str">
            <v>Pension and Profit Sharing</v>
          </cell>
          <cell r="E356">
            <v>226.28</v>
          </cell>
          <cell r="F356">
            <v>217.62</v>
          </cell>
          <cell r="G356">
            <v>333.09</v>
          </cell>
          <cell r="H356">
            <v>220.44</v>
          </cell>
          <cell r="I356">
            <v>189.47</v>
          </cell>
          <cell r="J356">
            <v>211.84</v>
          </cell>
          <cell r="K356">
            <v>270.73</v>
          </cell>
          <cell r="L356">
            <v>224.38</v>
          </cell>
          <cell r="M356">
            <v>228.09</v>
          </cell>
          <cell r="N356">
            <v>329.68</v>
          </cell>
          <cell r="O356">
            <v>224.86</v>
          </cell>
          <cell r="P356">
            <v>246.21</v>
          </cell>
          <cell r="Q356">
            <v>2922.69</v>
          </cell>
        </row>
        <row r="357">
          <cell r="A357">
            <v>56116</v>
          </cell>
          <cell r="B357" t="str">
            <v>Union Benefit Expense</v>
          </cell>
          <cell r="E357">
            <v>0</v>
          </cell>
          <cell r="F357">
            <v>0</v>
          </cell>
          <cell r="G357">
            <v>0</v>
          </cell>
          <cell r="H357">
            <v>0</v>
          </cell>
          <cell r="I357">
            <v>0</v>
          </cell>
          <cell r="J357">
            <v>0</v>
          </cell>
          <cell r="K357">
            <v>0</v>
          </cell>
          <cell r="L357">
            <v>0</v>
          </cell>
          <cell r="M357">
            <v>0</v>
          </cell>
          <cell r="N357">
            <v>0</v>
          </cell>
          <cell r="O357">
            <v>0</v>
          </cell>
          <cell r="P357">
            <v>0</v>
          </cell>
          <cell r="Q357">
            <v>0</v>
          </cell>
        </row>
        <row r="358">
          <cell r="A358">
            <v>56117</v>
          </cell>
          <cell r="B358" t="str">
            <v>Union Pension</v>
          </cell>
          <cell r="E358">
            <v>0</v>
          </cell>
          <cell r="F358">
            <v>0</v>
          </cell>
          <cell r="G358">
            <v>0</v>
          </cell>
          <cell r="H358">
            <v>0</v>
          </cell>
          <cell r="I358">
            <v>0</v>
          </cell>
          <cell r="J358">
            <v>0</v>
          </cell>
          <cell r="K358">
            <v>0</v>
          </cell>
          <cell r="L358">
            <v>0</v>
          </cell>
          <cell r="M358">
            <v>0</v>
          </cell>
          <cell r="N358">
            <v>0</v>
          </cell>
          <cell r="O358">
            <v>0</v>
          </cell>
          <cell r="P358">
            <v>0</v>
          </cell>
          <cell r="Q358">
            <v>0</v>
          </cell>
        </row>
        <row r="359">
          <cell r="A359">
            <v>56125</v>
          </cell>
          <cell r="B359" t="str">
            <v>Operating Supplies</v>
          </cell>
          <cell r="E359">
            <v>1415.21</v>
          </cell>
          <cell r="F359">
            <v>1483.02</v>
          </cell>
          <cell r="G359">
            <v>1740.94</v>
          </cell>
          <cell r="H359">
            <v>445.37</v>
          </cell>
          <cell r="I359">
            <v>804.72</v>
          </cell>
          <cell r="J359">
            <v>164.82</v>
          </cell>
          <cell r="K359">
            <v>658.52</v>
          </cell>
          <cell r="L359">
            <v>1100.71</v>
          </cell>
          <cell r="M359">
            <v>1250.03</v>
          </cell>
          <cell r="N359">
            <v>1674.36</v>
          </cell>
          <cell r="O359">
            <v>765.8</v>
          </cell>
          <cell r="P359">
            <v>382.82</v>
          </cell>
          <cell r="Q359">
            <v>11886.32</v>
          </cell>
        </row>
        <row r="360">
          <cell r="A360">
            <v>56140</v>
          </cell>
          <cell r="B360" t="str">
            <v>Tires</v>
          </cell>
          <cell r="E360">
            <v>0</v>
          </cell>
          <cell r="F360">
            <v>0</v>
          </cell>
          <cell r="G360">
            <v>0</v>
          </cell>
          <cell r="H360">
            <v>0</v>
          </cell>
          <cell r="I360">
            <v>0</v>
          </cell>
          <cell r="J360">
            <v>0</v>
          </cell>
          <cell r="K360">
            <v>0</v>
          </cell>
          <cell r="L360">
            <v>0</v>
          </cell>
          <cell r="M360">
            <v>0</v>
          </cell>
          <cell r="N360">
            <v>0</v>
          </cell>
          <cell r="O360">
            <v>0</v>
          </cell>
          <cell r="P360">
            <v>0</v>
          </cell>
          <cell r="Q360">
            <v>0</v>
          </cell>
        </row>
        <row r="361">
          <cell r="A361">
            <v>56142</v>
          </cell>
          <cell r="B361" t="str">
            <v>Fuel Expense</v>
          </cell>
          <cell r="E361">
            <v>0</v>
          </cell>
          <cell r="F361">
            <v>0</v>
          </cell>
          <cell r="G361">
            <v>0</v>
          </cell>
          <cell r="H361">
            <v>0</v>
          </cell>
          <cell r="I361">
            <v>0</v>
          </cell>
          <cell r="J361">
            <v>0</v>
          </cell>
          <cell r="K361">
            <v>0</v>
          </cell>
          <cell r="L361">
            <v>0</v>
          </cell>
          <cell r="M361">
            <v>0</v>
          </cell>
          <cell r="N361">
            <v>0</v>
          </cell>
          <cell r="O361">
            <v>0</v>
          </cell>
          <cell r="P361">
            <v>20</v>
          </cell>
          <cell r="Q361">
            <v>20</v>
          </cell>
        </row>
        <row r="362">
          <cell r="A362">
            <v>56148</v>
          </cell>
          <cell r="B362" t="str">
            <v>Allocated Exp In - District</v>
          </cell>
          <cell r="E362">
            <v>0</v>
          </cell>
          <cell r="F362">
            <v>0</v>
          </cell>
          <cell r="G362">
            <v>0</v>
          </cell>
          <cell r="H362">
            <v>0</v>
          </cell>
          <cell r="I362">
            <v>0</v>
          </cell>
          <cell r="J362">
            <v>0</v>
          </cell>
          <cell r="K362">
            <v>0</v>
          </cell>
          <cell r="L362">
            <v>0</v>
          </cell>
          <cell r="M362">
            <v>0</v>
          </cell>
          <cell r="N362">
            <v>0</v>
          </cell>
          <cell r="O362">
            <v>0</v>
          </cell>
          <cell r="P362">
            <v>0</v>
          </cell>
          <cell r="Q362">
            <v>0</v>
          </cell>
        </row>
        <row r="363">
          <cell r="A363">
            <v>56149</v>
          </cell>
          <cell r="B363" t="str">
            <v>Allocated Exp In Out - District</v>
          </cell>
          <cell r="E363">
            <v>0</v>
          </cell>
          <cell r="F363">
            <v>0</v>
          </cell>
          <cell r="G363">
            <v>0</v>
          </cell>
          <cell r="H363">
            <v>0</v>
          </cell>
          <cell r="I363">
            <v>0</v>
          </cell>
          <cell r="J363">
            <v>0</v>
          </cell>
          <cell r="K363">
            <v>0</v>
          </cell>
          <cell r="L363">
            <v>0</v>
          </cell>
          <cell r="M363">
            <v>0</v>
          </cell>
          <cell r="N363">
            <v>0</v>
          </cell>
          <cell r="O363">
            <v>0</v>
          </cell>
          <cell r="P363">
            <v>0</v>
          </cell>
          <cell r="Q363">
            <v>0</v>
          </cell>
        </row>
        <row r="364">
          <cell r="A364">
            <v>56165</v>
          </cell>
          <cell r="B364" t="str">
            <v>Communications</v>
          </cell>
          <cell r="E364">
            <v>4606.6000000000004</v>
          </cell>
          <cell r="F364">
            <v>4350.2299999999996</v>
          </cell>
          <cell r="G364">
            <v>4615.41</v>
          </cell>
          <cell r="H364">
            <v>1003.34</v>
          </cell>
          <cell r="I364">
            <v>7555.03</v>
          </cell>
          <cell r="J364">
            <v>4491</v>
          </cell>
          <cell r="K364">
            <v>4590.99</v>
          </cell>
          <cell r="L364">
            <v>470.11</v>
          </cell>
          <cell r="M364">
            <v>4254.96</v>
          </cell>
          <cell r="N364">
            <v>4208.18</v>
          </cell>
          <cell r="O364">
            <v>512.84</v>
          </cell>
          <cell r="P364">
            <v>4070.45</v>
          </cell>
          <cell r="Q364">
            <v>44729.139999999992</v>
          </cell>
        </row>
        <row r="365">
          <cell r="A365">
            <v>56200</v>
          </cell>
          <cell r="B365" t="str">
            <v>Travel</v>
          </cell>
          <cell r="E365">
            <v>0</v>
          </cell>
          <cell r="F365">
            <v>69</v>
          </cell>
          <cell r="G365">
            <v>98.25</v>
          </cell>
          <cell r="H365">
            <v>52.88</v>
          </cell>
          <cell r="I365">
            <v>0</v>
          </cell>
          <cell r="J365">
            <v>0</v>
          </cell>
          <cell r="K365">
            <v>0</v>
          </cell>
          <cell r="L365">
            <v>0</v>
          </cell>
          <cell r="M365">
            <v>0</v>
          </cell>
          <cell r="N365">
            <v>5.62</v>
          </cell>
          <cell r="O365">
            <v>0</v>
          </cell>
          <cell r="P365">
            <v>0</v>
          </cell>
          <cell r="Q365">
            <v>225.75</v>
          </cell>
        </row>
        <row r="366">
          <cell r="A366">
            <v>56201</v>
          </cell>
          <cell r="B366" t="str">
            <v>Meal and Entertainment</v>
          </cell>
          <cell r="E366">
            <v>0</v>
          </cell>
          <cell r="F366">
            <v>0</v>
          </cell>
          <cell r="G366">
            <v>0</v>
          </cell>
          <cell r="H366">
            <v>0</v>
          </cell>
          <cell r="I366">
            <v>0</v>
          </cell>
          <cell r="J366">
            <v>103.1</v>
          </cell>
          <cell r="K366">
            <v>0</v>
          </cell>
          <cell r="L366">
            <v>0</v>
          </cell>
          <cell r="M366">
            <v>0</v>
          </cell>
          <cell r="N366">
            <v>44.52</v>
          </cell>
          <cell r="O366">
            <v>90.55</v>
          </cell>
          <cell r="P366">
            <v>110.62</v>
          </cell>
          <cell r="Q366">
            <v>348.79</v>
          </cell>
        </row>
        <row r="367">
          <cell r="A367">
            <v>56210</v>
          </cell>
          <cell r="B367" t="str">
            <v>Office Supply and Equip</v>
          </cell>
          <cell r="E367">
            <v>907.9</v>
          </cell>
          <cell r="F367">
            <v>1266.8599999999999</v>
          </cell>
          <cell r="G367">
            <v>1175.05</v>
          </cell>
          <cell r="H367">
            <v>2018.74</v>
          </cell>
          <cell r="I367">
            <v>1340.75</v>
          </cell>
          <cell r="J367">
            <v>1056.72</v>
          </cell>
          <cell r="K367">
            <v>1348.09</v>
          </cell>
          <cell r="L367">
            <v>2224.39</v>
          </cell>
          <cell r="M367">
            <v>1094.46</v>
          </cell>
          <cell r="N367">
            <v>1045.8699999999999</v>
          </cell>
          <cell r="O367">
            <v>1613.32</v>
          </cell>
          <cell r="P367">
            <v>1365.17</v>
          </cell>
          <cell r="Q367">
            <v>16457.32</v>
          </cell>
        </row>
        <row r="368">
          <cell r="A368">
            <v>56335</v>
          </cell>
          <cell r="B368" t="str">
            <v>Miscellaneous</v>
          </cell>
          <cell r="E368">
            <v>0</v>
          </cell>
          <cell r="F368">
            <v>0</v>
          </cell>
          <cell r="G368">
            <v>0</v>
          </cell>
          <cell r="H368">
            <v>0</v>
          </cell>
          <cell r="I368">
            <v>0</v>
          </cell>
          <cell r="J368">
            <v>0</v>
          </cell>
          <cell r="K368">
            <v>0</v>
          </cell>
          <cell r="L368">
            <v>0</v>
          </cell>
          <cell r="M368">
            <v>0</v>
          </cell>
          <cell r="N368">
            <v>0</v>
          </cell>
          <cell r="O368">
            <v>0</v>
          </cell>
          <cell r="P368">
            <v>0</v>
          </cell>
          <cell r="Q368">
            <v>0</v>
          </cell>
        </row>
        <row r="369">
          <cell r="A369">
            <v>56998</v>
          </cell>
          <cell r="B369" t="str">
            <v>Allocation Out - District</v>
          </cell>
          <cell r="E369">
            <v>0</v>
          </cell>
          <cell r="F369">
            <v>0</v>
          </cell>
          <cell r="G369">
            <v>0</v>
          </cell>
          <cell r="H369">
            <v>0</v>
          </cell>
          <cell r="I369">
            <v>0</v>
          </cell>
          <cell r="J369">
            <v>0</v>
          </cell>
          <cell r="K369">
            <v>0</v>
          </cell>
          <cell r="L369">
            <v>0</v>
          </cell>
          <cell r="M369">
            <v>0</v>
          </cell>
          <cell r="N369">
            <v>0</v>
          </cell>
          <cell r="O369">
            <v>0</v>
          </cell>
          <cell r="P369">
            <v>0</v>
          </cell>
          <cell r="Q369">
            <v>0</v>
          </cell>
        </row>
        <row r="370">
          <cell r="A370">
            <v>56999</v>
          </cell>
          <cell r="B370" t="str">
            <v>Allocation Out - Out District</v>
          </cell>
          <cell r="E370">
            <v>0</v>
          </cell>
          <cell r="F370">
            <v>0</v>
          </cell>
          <cell r="G370">
            <v>0</v>
          </cell>
          <cell r="H370">
            <v>0</v>
          </cell>
          <cell r="I370">
            <v>0</v>
          </cell>
          <cell r="J370">
            <v>0</v>
          </cell>
          <cell r="K370">
            <v>0</v>
          </cell>
          <cell r="L370">
            <v>0</v>
          </cell>
          <cell r="M370">
            <v>0</v>
          </cell>
          <cell r="N370">
            <v>0</v>
          </cell>
          <cell r="O370">
            <v>0</v>
          </cell>
          <cell r="P370">
            <v>0</v>
          </cell>
          <cell r="Q370">
            <v>0</v>
          </cell>
        </row>
        <row r="371">
          <cell r="A371" t="str">
            <v>Total Supervisor</v>
          </cell>
          <cell r="E371">
            <v>26562.799999999996</v>
          </cell>
          <cell r="F371">
            <v>23501.42</v>
          </cell>
          <cell r="G371">
            <v>27636.67</v>
          </cell>
          <cell r="H371">
            <v>22714.119999999995</v>
          </cell>
          <cell r="I371">
            <v>32513.34</v>
          </cell>
          <cell r="J371">
            <v>23855.37</v>
          </cell>
          <cell r="K371">
            <v>28433.989999999994</v>
          </cell>
          <cell r="L371">
            <v>22041.739999999998</v>
          </cell>
          <cell r="M371">
            <v>25858.779999999995</v>
          </cell>
          <cell r="N371">
            <v>25971.11</v>
          </cell>
          <cell r="O371">
            <v>22681.739999999998</v>
          </cell>
          <cell r="P371">
            <v>24752.86</v>
          </cell>
          <cell r="Q371">
            <v>306523.94</v>
          </cell>
        </row>
        <row r="373">
          <cell r="A373" t="str">
            <v>Other Operating Expense</v>
          </cell>
        </row>
        <row r="374">
          <cell r="A374">
            <v>46020</v>
          </cell>
          <cell r="B374" t="str">
            <v>Post Closure Amortization</v>
          </cell>
          <cell r="E374">
            <v>0</v>
          </cell>
          <cell r="F374">
            <v>0</v>
          </cell>
          <cell r="G374">
            <v>0</v>
          </cell>
          <cell r="H374">
            <v>0</v>
          </cell>
          <cell r="I374">
            <v>0</v>
          </cell>
          <cell r="J374">
            <v>0</v>
          </cell>
          <cell r="K374">
            <v>0</v>
          </cell>
          <cell r="L374">
            <v>0</v>
          </cell>
          <cell r="M374">
            <v>0</v>
          </cell>
          <cell r="N374">
            <v>0</v>
          </cell>
          <cell r="O374">
            <v>0</v>
          </cell>
          <cell r="P374">
            <v>0</v>
          </cell>
          <cell r="Q374">
            <v>0</v>
          </cell>
        </row>
        <row r="375">
          <cell r="A375">
            <v>57051</v>
          </cell>
          <cell r="B375" t="str">
            <v>AA Premiums</v>
          </cell>
          <cell r="E375">
            <v>0</v>
          </cell>
          <cell r="F375">
            <v>0</v>
          </cell>
          <cell r="G375">
            <v>0</v>
          </cell>
          <cell r="H375">
            <v>0</v>
          </cell>
          <cell r="I375">
            <v>0</v>
          </cell>
          <cell r="J375">
            <v>0</v>
          </cell>
          <cell r="K375">
            <v>0</v>
          </cell>
          <cell r="L375">
            <v>0</v>
          </cell>
          <cell r="M375">
            <v>0</v>
          </cell>
          <cell r="N375">
            <v>0</v>
          </cell>
          <cell r="O375">
            <v>0</v>
          </cell>
          <cell r="P375">
            <v>0</v>
          </cell>
          <cell r="Q375">
            <v>0</v>
          </cell>
        </row>
        <row r="376">
          <cell r="A376">
            <v>57125</v>
          </cell>
          <cell r="B376" t="str">
            <v>Operating Supplies</v>
          </cell>
          <cell r="E376">
            <v>0</v>
          </cell>
          <cell r="F376">
            <v>0</v>
          </cell>
          <cell r="G376">
            <v>0</v>
          </cell>
          <cell r="H376">
            <v>427.66</v>
          </cell>
          <cell r="I376">
            <v>0</v>
          </cell>
          <cell r="J376">
            <v>0</v>
          </cell>
          <cell r="K376">
            <v>0</v>
          </cell>
          <cell r="L376">
            <v>0</v>
          </cell>
          <cell r="M376">
            <v>0</v>
          </cell>
          <cell r="N376">
            <v>224.45</v>
          </cell>
          <cell r="O376">
            <v>3002.92</v>
          </cell>
          <cell r="P376">
            <v>0</v>
          </cell>
          <cell r="Q376">
            <v>3655.03</v>
          </cell>
        </row>
        <row r="377">
          <cell r="A377">
            <v>57147</v>
          </cell>
          <cell r="B377" t="str">
            <v>Bldg &amp; Property</v>
          </cell>
          <cell r="E377">
            <v>8063.84</v>
          </cell>
          <cell r="F377">
            <v>8169.88</v>
          </cell>
          <cell r="G377">
            <v>6041.82</v>
          </cell>
          <cell r="H377">
            <v>6588.54</v>
          </cell>
          <cell r="I377">
            <v>4365.71</v>
          </cell>
          <cell r="J377">
            <v>4713.99</v>
          </cell>
          <cell r="K377">
            <v>10806.84</v>
          </cell>
          <cell r="L377">
            <v>9251.0400000000009</v>
          </cell>
          <cell r="M377">
            <v>6193.48</v>
          </cell>
          <cell r="N377">
            <v>8759.64</v>
          </cell>
          <cell r="O377">
            <v>5195.24</v>
          </cell>
          <cell r="P377">
            <v>16632.82</v>
          </cell>
          <cell r="Q377">
            <v>94782.84</v>
          </cell>
        </row>
        <row r="378">
          <cell r="A378">
            <v>57148</v>
          </cell>
          <cell r="B378" t="str">
            <v>Allocated In - District</v>
          </cell>
          <cell r="E378">
            <v>0</v>
          </cell>
          <cell r="F378">
            <v>0</v>
          </cell>
          <cell r="G378">
            <v>0</v>
          </cell>
          <cell r="H378">
            <v>0</v>
          </cell>
          <cell r="I378">
            <v>0</v>
          </cell>
          <cell r="J378">
            <v>0</v>
          </cell>
          <cell r="K378">
            <v>0</v>
          </cell>
          <cell r="L378">
            <v>0</v>
          </cell>
          <cell r="M378">
            <v>0</v>
          </cell>
          <cell r="N378">
            <v>0</v>
          </cell>
          <cell r="O378">
            <v>0</v>
          </cell>
          <cell r="P378">
            <v>0</v>
          </cell>
          <cell r="Q378">
            <v>0</v>
          </cell>
        </row>
        <row r="379">
          <cell r="A379">
            <v>57149</v>
          </cell>
          <cell r="B379" t="str">
            <v>Allocated In - Out District</v>
          </cell>
          <cell r="E379">
            <v>0</v>
          </cell>
          <cell r="F379">
            <v>0</v>
          </cell>
          <cell r="G379">
            <v>0</v>
          </cell>
          <cell r="H379">
            <v>0</v>
          </cell>
          <cell r="I379">
            <v>0</v>
          </cell>
          <cell r="J379">
            <v>0</v>
          </cell>
          <cell r="K379">
            <v>0</v>
          </cell>
          <cell r="L379">
            <v>0</v>
          </cell>
          <cell r="M379">
            <v>0</v>
          </cell>
          <cell r="N379">
            <v>0</v>
          </cell>
          <cell r="O379">
            <v>0</v>
          </cell>
          <cell r="P379">
            <v>0</v>
          </cell>
          <cell r="Q379">
            <v>0</v>
          </cell>
        </row>
        <row r="380">
          <cell r="A380">
            <v>57150</v>
          </cell>
          <cell r="B380" t="str">
            <v>Utilities</v>
          </cell>
          <cell r="E380">
            <v>1384.3</v>
          </cell>
          <cell r="F380">
            <v>289.72000000000003</v>
          </cell>
          <cell r="G380">
            <v>352.8</v>
          </cell>
          <cell r="H380">
            <v>250.3</v>
          </cell>
          <cell r="I380">
            <v>272.69</v>
          </cell>
          <cell r="J380">
            <v>171.46</v>
          </cell>
          <cell r="K380">
            <v>268.27</v>
          </cell>
          <cell r="L380">
            <v>157.77000000000001</v>
          </cell>
          <cell r="M380">
            <v>921.26</v>
          </cell>
          <cell r="N380">
            <v>178.68</v>
          </cell>
          <cell r="O380">
            <v>1625.08</v>
          </cell>
          <cell r="P380">
            <v>312.62</v>
          </cell>
          <cell r="Q380">
            <v>6184.95</v>
          </cell>
        </row>
        <row r="381">
          <cell r="A381">
            <v>57165</v>
          </cell>
          <cell r="B381" t="str">
            <v>Communications</v>
          </cell>
          <cell r="E381">
            <v>0</v>
          </cell>
          <cell r="F381">
            <v>0</v>
          </cell>
          <cell r="G381">
            <v>0</v>
          </cell>
          <cell r="H381">
            <v>0</v>
          </cell>
          <cell r="I381">
            <v>0</v>
          </cell>
          <cell r="J381">
            <v>0</v>
          </cell>
          <cell r="K381">
            <v>0</v>
          </cell>
          <cell r="L381">
            <v>0</v>
          </cell>
          <cell r="M381">
            <v>0</v>
          </cell>
          <cell r="N381">
            <v>0</v>
          </cell>
          <cell r="O381">
            <v>0</v>
          </cell>
          <cell r="P381">
            <v>0</v>
          </cell>
          <cell r="Q381">
            <v>0</v>
          </cell>
        </row>
        <row r="382">
          <cell r="A382">
            <v>57166</v>
          </cell>
          <cell r="B382" t="str">
            <v>Leachate Treatment</v>
          </cell>
          <cell r="E382">
            <v>0</v>
          </cell>
          <cell r="F382">
            <v>0</v>
          </cell>
          <cell r="G382">
            <v>0</v>
          </cell>
          <cell r="H382">
            <v>0</v>
          </cell>
          <cell r="I382">
            <v>0</v>
          </cell>
          <cell r="J382">
            <v>0</v>
          </cell>
          <cell r="K382">
            <v>0</v>
          </cell>
          <cell r="L382">
            <v>0</v>
          </cell>
          <cell r="M382">
            <v>0</v>
          </cell>
          <cell r="N382">
            <v>0</v>
          </cell>
          <cell r="O382">
            <v>0</v>
          </cell>
          <cell r="P382">
            <v>0</v>
          </cell>
          <cell r="Q382">
            <v>0</v>
          </cell>
        </row>
        <row r="383">
          <cell r="A383">
            <v>57170</v>
          </cell>
          <cell r="B383" t="str">
            <v>Real Estate Rentals</v>
          </cell>
          <cell r="E383">
            <v>17643.07</v>
          </cell>
          <cell r="F383">
            <v>17035.48</v>
          </cell>
          <cell r="G383">
            <v>17673.07</v>
          </cell>
          <cell r="H383">
            <v>17402.849999999999</v>
          </cell>
          <cell r="I383">
            <v>17402.849999999999</v>
          </cell>
          <cell r="J383">
            <v>17402.849999999999</v>
          </cell>
          <cell r="K383">
            <v>17402.849999999999</v>
          </cell>
          <cell r="L383">
            <v>17402.849999999999</v>
          </cell>
          <cell r="M383">
            <v>18791.8</v>
          </cell>
          <cell r="N383">
            <v>17402.849999999999</v>
          </cell>
          <cell r="O383">
            <v>18791.8</v>
          </cell>
          <cell r="P383">
            <v>2852.62</v>
          </cell>
          <cell r="Q383">
            <v>197204.94</v>
          </cell>
        </row>
        <row r="384">
          <cell r="A384">
            <v>57175</v>
          </cell>
          <cell r="B384" t="str">
            <v>Equipment Vehicle Rental</v>
          </cell>
          <cell r="E384">
            <v>328.66</v>
          </cell>
          <cell r="F384">
            <v>0</v>
          </cell>
          <cell r="G384">
            <v>0</v>
          </cell>
          <cell r="H384">
            <v>0</v>
          </cell>
          <cell r="I384">
            <v>0</v>
          </cell>
          <cell r="J384">
            <v>0</v>
          </cell>
          <cell r="K384">
            <v>0</v>
          </cell>
          <cell r="L384">
            <v>0</v>
          </cell>
          <cell r="M384">
            <v>0</v>
          </cell>
          <cell r="N384">
            <v>0</v>
          </cell>
          <cell r="O384">
            <v>2091.2399999999998</v>
          </cell>
          <cell r="P384">
            <v>397.36</v>
          </cell>
          <cell r="Q384">
            <v>2817.2599999999998</v>
          </cell>
        </row>
        <row r="385">
          <cell r="A385">
            <v>57185</v>
          </cell>
          <cell r="B385" t="str">
            <v>Postage</v>
          </cell>
          <cell r="E385">
            <v>0</v>
          </cell>
          <cell r="F385">
            <v>0</v>
          </cell>
          <cell r="G385">
            <v>0</v>
          </cell>
          <cell r="H385">
            <v>0</v>
          </cell>
          <cell r="I385">
            <v>0</v>
          </cell>
          <cell r="J385">
            <v>0</v>
          </cell>
          <cell r="K385">
            <v>0</v>
          </cell>
          <cell r="L385">
            <v>0</v>
          </cell>
          <cell r="M385">
            <v>0</v>
          </cell>
          <cell r="N385">
            <v>0</v>
          </cell>
          <cell r="O385">
            <v>0</v>
          </cell>
          <cell r="P385">
            <v>0</v>
          </cell>
          <cell r="Q385">
            <v>0</v>
          </cell>
        </row>
        <row r="386">
          <cell r="A386">
            <v>57252</v>
          </cell>
          <cell r="B386" t="str">
            <v>Subcontract Expense</v>
          </cell>
          <cell r="E386">
            <v>0</v>
          </cell>
          <cell r="F386">
            <v>0</v>
          </cell>
          <cell r="G386">
            <v>0</v>
          </cell>
          <cell r="H386">
            <v>0</v>
          </cell>
          <cell r="I386">
            <v>0</v>
          </cell>
          <cell r="J386">
            <v>0</v>
          </cell>
          <cell r="K386">
            <v>0</v>
          </cell>
          <cell r="L386">
            <v>0</v>
          </cell>
          <cell r="M386">
            <v>0</v>
          </cell>
          <cell r="N386">
            <v>0</v>
          </cell>
          <cell r="O386">
            <v>0</v>
          </cell>
          <cell r="P386">
            <v>0</v>
          </cell>
          <cell r="Q386">
            <v>0</v>
          </cell>
        </row>
        <row r="387">
          <cell r="A387">
            <v>57254</v>
          </cell>
          <cell r="B387" t="str">
            <v>Drive Cam Fees</v>
          </cell>
          <cell r="E387">
            <v>5737.5</v>
          </cell>
          <cell r="F387">
            <v>5737.5</v>
          </cell>
          <cell r="G387">
            <v>5737.5</v>
          </cell>
          <cell r="H387">
            <v>5737.5</v>
          </cell>
          <cell r="I387">
            <v>3780</v>
          </cell>
          <cell r="J387">
            <v>3780</v>
          </cell>
          <cell r="K387">
            <v>3780</v>
          </cell>
          <cell r="L387">
            <v>3780</v>
          </cell>
          <cell r="M387">
            <v>3780</v>
          </cell>
          <cell r="N387">
            <v>3780</v>
          </cell>
          <cell r="O387">
            <v>3780</v>
          </cell>
          <cell r="P387">
            <v>3780</v>
          </cell>
          <cell r="Q387">
            <v>53190</v>
          </cell>
        </row>
        <row r="388">
          <cell r="A388">
            <v>57255</v>
          </cell>
          <cell r="B388" t="str">
            <v>Other Prof Fees</v>
          </cell>
          <cell r="E388">
            <v>0</v>
          </cell>
          <cell r="F388">
            <v>0</v>
          </cell>
          <cell r="G388">
            <v>13.5</v>
          </cell>
          <cell r="H388">
            <v>13.5</v>
          </cell>
          <cell r="I388">
            <v>13.5</v>
          </cell>
          <cell r="J388">
            <v>13.5</v>
          </cell>
          <cell r="K388">
            <v>0</v>
          </cell>
          <cell r="L388">
            <v>13.5</v>
          </cell>
          <cell r="M388">
            <v>13.5</v>
          </cell>
          <cell r="N388">
            <v>13.5</v>
          </cell>
          <cell r="O388">
            <v>13.5</v>
          </cell>
          <cell r="P388">
            <v>0</v>
          </cell>
          <cell r="Q388">
            <v>108</v>
          </cell>
        </row>
        <row r="389">
          <cell r="A389">
            <v>57256</v>
          </cell>
          <cell r="B389" t="str">
            <v>Laboratory Fees</v>
          </cell>
          <cell r="E389">
            <v>0</v>
          </cell>
          <cell r="F389">
            <v>0</v>
          </cell>
          <cell r="G389">
            <v>0</v>
          </cell>
          <cell r="H389">
            <v>0</v>
          </cell>
          <cell r="I389">
            <v>0</v>
          </cell>
          <cell r="J389">
            <v>0</v>
          </cell>
          <cell r="K389">
            <v>0</v>
          </cell>
          <cell r="L389">
            <v>0</v>
          </cell>
          <cell r="M389">
            <v>0</v>
          </cell>
          <cell r="N389">
            <v>0</v>
          </cell>
          <cell r="O389">
            <v>0</v>
          </cell>
          <cell r="P389">
            <v>0</v>
          </cell>
          <cell r="Q389">
            <v>0</v>
          </cell>
        </row>
        <row r="390">
          <cell r="A390">
            <v>57257</v>
          </cell>
          <cell r="B390" t="str">
            <v>Engineering Fees</v>
          </cell>
          <cell r="E390">
            <v>0</v>
          </cell>
          <cell r="F390">
            <v>0</v>
          </cell>
          <cell r="G390">
            <v>0</v>
          </cell>
          <cell r="H390">
            <v>0</v>
          </cell>
          <cell r="I390">
            <v>0</v>
          </cell>
          <cell r="J390">
            <v>54300.08</v>
          </cell>
          <cell r="K390">
            <v>3763.13</v>
          </cell>
          <cell r="L390">
            <v>4344.38</v>
          </cell>
          <cell r="M390">
            <v>0</v>
          </cell>
          <cell r="N390">
            <v>0</v>
          </cell>
          <cell r="O390">
            <v>0</v>
          </cell>
          <cell r="P390">
            <v>0</v>
          </cell>
          <cell r="Q390">
            <v>62407.59</v>
          </cell>
        </row>
        <row r="391">
          <cell r="A391">
            <v>57275</v>
          </cell>
          <cell r="B391" t="str">
            <v>Property Taxes</v>
          </cell>
          <cell r="E391">
            <v>648.66999999999996</v>
          </cell>
          <cell r="F391">
            <v>748.26</v>
          </cell>
          <cell r="G391">
            <v>748.26</v>
          </cell>
          <cell r="H391">
            <v>931.59</v>
          </cell>
          <cell r="I391">
            <v>931.59</v>
          </cell>
          <cell r="J391">
            <v>931.61</v>
          </cell>
          <cell r="K391">
            <v>676.33</v>
          </cell>
          <cell r="L391">
            <v>676.33</v>
          </cell>
          <cell r="M391">
            <v>676.33</v>
          </cell>
          <cell r="N391">
            <v>676.33</v>
          </cell>
          <cell r="O391">
            <v>676.33</v>
          </cell>
          <cell r="P391">
            <v>676.33</v>
          </cell>
          <cell r="Q391">
            <v>8997.9599999999991</v>
          </cell>
        </row>
        <row r="392">
          <cell r="A392">
            <v>57280</v>
          </cell>
          <cell r="B392" t="str">
            <v>Other Taxes</v>
          </cell>
          <cell r="E392">
            <v>0</v>
          </cell>
          <cell r="F392">
            <v>0</v>
          </cell>
          <cell r="G392">
            <v>0</v>
          </cell>
          <cell r="H392">
            <v>0</v>
          </cell>
          <cell r="I392">
            <v>0</v>
          </cell>
          <cell r="J392">
            <v>0</v>
          </cell>
          <cell r="K392">
            <v>0</v>
          </cell>
          <cell r="L392">
            <v>0</v>
          </cell>
          <cell r="M392">
            <v>0</v>
          </cell>
          <cell r="N392">
            <v>0</v>
          </cell>
          <cell r="O392">
            <v>0</v>
          </cell>
          <cell r="P392">
            <v>0</v>
          </cell>
          <cell r="Q392">
            <v>0</v>
          </cell>
        </row>
        <row r="393">
          <cell r="A393">
            <v>57324</v>
          </cell>
          <cell r="B393" t="str">
            <v>Penalties and Violations</v>
          </cell>
          <cell r="E393">
            <v>0</v>
          </cell>
          <cell r="F393">
            <v>0</v>
          </cell>
          <cell r="G393">
            <v>0</v>
          </cell>
          <cell r="H393">
            <v>0</v>
          </cell>
          <cell r="I393">
            <v>0</v>
          </cell>
          <cell r="J393">
            <v>0</v>
          </cell>
          <cell r="K393">
            <v>0</v>
          </cell>
          <cell r="L393">
            <v>0</v>
          </cell>
          <cell r="M393">
            <v>0</v>
          </cell>
          <cell r="N393">
            <v>266.95</v>
          </cell>
          <cell r="O393">
            <v>266.95</v>
          </cell>
          <cell r="P393">
            <v>0</v>
          </cell>
          <cell r="Q393">
            <v>533.9</v>
          </cell>
        </row>
        <row r="394">
          <cell r="A394">
            <v>57335</v>
          </cell>
          <cell r="B394" t="str">
            <v>Miscellaneous</v>
          </cell>
          <cell r="E394">
            <v>0</v>
          </cell>
          <cell r="F394">
            <v>0</v>
          </cell>
          <cell r="G394">
            <v>0</v>
          </cell>
          <cell r="H394">
            <v>0</v>
          </cell>
          <cell r="I394">
            <v>0</v>
          </cell>
          <cell r="J394">
            <v>-33322.47</v>
          </cell>
          <cell r="K394">
            <v>33322.47</v>
          </cell>
          <cell r="L394">
            <v>0</v>
          </cell>
          <cell r="M394">
            <v>0</v>
          </cell>
          <cell r="N394">
            <v>0</v>
          </cell>
          <cell r="O394">
            <v>0</v>
          </cell>
          <cell r="P394">
            <v>0</v>
          </cell>
          <cell r="Q394">
            <v>0</v>
          </cell>
        </row>
        <row r="395">
          <cell r="A395">
            <v>57345</v>
          </cell>
          <cell r="B395" t="str">
            <v>Secruity Services</v>
          </cell>
          <cell r="E395">
            <v>187.5</v>
          </cell>
          <cell r="F395">
            <v>187.5</v>
          </cell>
          <cell r="G395">
            <v>187.5</v>
          </cell>
          <cell r="H395">
            <v>187.5</v>
          </cell>
          <cell r="I395">
            <v>187.5</v>
          </cell>
          <cell r="J395">
            <v>187.5</v>
          </cell>
          <cell r="K395">
            <v>187.5</v>
          </cell>
          <cell r="L395">
            <v>187.5</v>
          </cell>
          <cell r="M395">
            <v>187.5</v>
          </cell>
          <cell r="N395">
            <v>187.5</v>
          </cell>
          <cell r="O395">
            <v>187.5</v>
          </cell>
          <cell r="P395">
            <v>250</v>
          </cell>
          <cell r="Q395">
            <v>2312.5</v>
          </cell>
        </row>
        <row r="396">
          <cell r="A396">
            <v>57353</v>
          </cell>
          <cell r="B396" t="str">
            <v>Monitoring and Maint</v>
          </cell>
          <cell r="E396">
            <v>0</v>
          </cell>
          <cell r="F396">
            <v>0</v>
          </cell>
          <cell r="G396">
            <v>0</v>
          </cell>
          <cell r="H396">
            <v>0</v>
          </cell>
          <cell r="I396">
            <v>0</v>
          </cell>
          <cell r="J396">
            <v>0</v>
          </cell>
          <cell r="K396">
            <v>0</v>
          </cell>
          <cell r="L396">
            <v>0</v>
          </cell>
          <cell r="M396">
            <v>0</v>
          </cell>
          <cell r="N396">
            <v>0</v>
          </cell>
          <cell r="O396">
            <v>0</v>
          </cell>
          <cell r="P396">
            <v>0</v>
          </cell>
          <cell r="Q396">
            <v>0</v>
          </cell>
        </row>
        <row r="397">
          <cell r="A397">
            <v>57356</v>
          </cell>
          <cell r="B397" t="str">
            <v>Cover Cost</v>
          </cell>
          <cell r="E397">
            <v>0</v>
          </cell>
          <cell r="F397">
            <v>0</v>
          </cell>
          <cell r="G397">
            <v>0</v>
          </cell>
          <cell r="H397">
            <v>0</v>
          </cell>
          <cell r="I397">
            <v>0</v>
          </cell>
          <cell r="J397">
            <v>0</v>
          </cell>
          <cell r="K397">
            <v>0</v>
          </cell>
          <cell r="L397">
            <v>0</v>
          </cell>
          <cell r="M397">
            <v>0</v>
          </cell>
          <cell r="N397">
            <v>0</v>
          </cell>
          <cell r="O397">
            <v>0</v>
          </cell>
          <cell r="P397">
            <v>0</v>
          </cell>
          <cell r="Q397">
            <v>0</v>
          </cell>
        </row>
        <row r="398">
          <cell r="A398">
            <v>57357</v>
          </cell>
          <cell r="B398" t="str">
            <v>Permits</v>
          </cell>
          <cell r="E398">
            <v>65</v>
          </cell>
          <cell r="F398">
            <v>0</v>
          </cell>
          <cell r="G398">
            <v>132.5</v>
          </cell>
          <cell r="H398">
            <v>0</v>
          </cell>
          <cell r="I398">
            <v>0</v>
          </cell>
          <cell r="J398">
            <v>132.5</v>
          </cell>
          <cell r="K398">
            <v>0</v>
          </cell>
          <cell r="L398">
            <v>0</v>
          </cell>
          <cell r="M398">
            <v>132.5</v>
          </cell>
          <cell r="N398">
            <v>1975</v>
          </cell>
          <cell r="O398">
            <v>0</v>
          </cell>
          <cell r="P398">
            <v>132.5</v>
          </cell>
          <cell r="Q398">
            <v>2570</v>
          </cell>
        </row>
        <row r="399">
          <cell r="A399">
            <v>57360</v>
          </cell>
          <cell r="B399" t="str">
            <v>Royalties</v>
          </cell>
          <cell r="E399">
            <v>0</v>
          </cell>
          <cell r="F399">
            <v>0</v>
          </cell>
          <cell r="G399">
            <v>0</v>
          </cell>
          <cell r="H399">
            <v>0</v>
          </cell>
          <cell r="I399">
            <v>0</v>
          </cell>
          <cell r="J399">
            <v>0</v>
          </cell>
          <cell r="K399">
            <v>0</v>
          </cell>
          <cell r="L399">
            <v>0</v>
          </cell>
          <cell r="M399">
            <v>0</v>
          </cell>
          <cell r="N399">
            <v>0</v>
          </cell>
          <cell r="O399">
            <v>0</v>
          </cell>
          <cell r="P399">
            <v>0</v>
          </cell>
          <cell r="Q399">
            <v>0</v>
          </cell>
        </row>
        <row r="400">
          <cell r="A400">
            <v>57370</v>
          </cell>
          <cell r="B400" t="str">
            <v>Bonds Expense</v>
          </cell>
          <cell r="E400">
            <v>4619.28</v>
          </cell>
          <cell r="F400">
            <v>6292.28</v>
          </cell>
          <cell r="G400">
            <v>6547.28</v>
          </cell>
          <cell r="H400">
            <v>5761.53</v>
          </cell>
          <cell r="I400">
            <v>5761.53</v>
          </cell>
          <cell r="J400">
            <v>5761.53</v>
          </cell>
          <cell r="K400">
            <v>5761.49</v>
          </cell>
          <cell r="L400">
            <v>5761.53</v>
          </cell>
          <cell r="M400">
            <v>5761.53</v>
          </cell>
          <cell r="N400">
            <v>5761.53</v>
          </cell>
          <cell r="O400">
            <v>6186.53</v>
          </cell>
          <cell r="P400">
            <v>4741.53</v>
          </cell>
          <cell r="Q400">
            <v>68717.569999999992</v>
          </cell>
        </row>
        <row r="401">
          <cell r="A401">
            <v>57900</v>
          </cell>
          <cell r="B401" t="str">
            <v>Capitalized Costs</v>
          </cell>
          <cell r="E401">
            <v>0</v>
          </cell>
          <cell r="F401">
            <v>0</v>
          </cell>
          <cell r="G401">
            <v>0</v>
          </cell>
          <cell r="H401">
            <v>0</v>
          </cell>
          <cell r="I401">
            <v>0</v>
          </cell>
          <cell r="J401">
            <v>0</v>
          </cell>
          <cell r="K401">
            <v>0</v>
          </cell>
          <cell r="L401">
            <v>0</v>
          </cell>
          <cell r="M401">
            <v>0</v>
          </cell>
          <cell r="N401">
            <v>0</v>
          </cell>
          <cell r="O401">
            <v>0</v>
          </cell>
          <cell r="P401">
            <v>0</v>
          </cell>
          <cell r="Q401">
            <v>0</v>
          </cell>
        </row>
        <row r="402">
          <cell r="A402">
            <v>57998</v>
          </cell>
          <cell r="B402" t="str">
            <v>Allocation Out - District</v>
          </cell>
          <cell r="E402">
            <v>0</v>
          </cell>
          <cell r="F402">
            <v>0</v>
          </cell>
          <cell r="G402">
            <v>0</v>
          </cell>
          <cell r="H402">
            <v>0</v>
          </cell>
          <cell r="I402">
            <v>0</v>
          </cell>
          <cell r="J402">
            <v>0</v>
          </cell>
          <cell r="K402">
            <v>0</v>
          </cell>
          <cell r="L402">
            <v>0</v>
          </cell>
          <cell r="M402">
            <v>0</v>
          </cell>
          <cell r="N402">
            <v>0</v>
          </cell>
          <cell r="O402">
            <v>0</v>
          </cell>
          <cell r="P402">
            <v>0</v>
          </cell>
          <cell r="Q402">
            <v>0</v>
          </cell>
        </row>
        <row r="403">
          <cell r="A403">
            <v>57999</v>
          </cell>
          <cell r="B403" t="str">
            <v>Allocation Out - Out District</v>
          </cell>
          <cell r="E403">
            <v>0</v>
          </cell>
          <cell r="F403">
            <v>0</v>
          </cell>
          <cell r="G403">
            <v>0</v>
          </cell>
          <cell r="H403">
            <v>0</v>
          </cell>
          <cell r="I403">
            <v>0</v>
          </cell>
          <cell r="J403">
            <v>0</v>
          </cell>
          <cell r="K403">
            <v>0</v>
          </cell>
          <cell r="L403">
            <v>0</v>
          </cell>
          <cell r="M403">
            <v>0</v>
          </cell>
          <cell r="N403">
            <v>0</v>
          </cell>
          <cell r="O403">
            <v>0</v>
          </cell>
          <cell r="P403">
            <v>0</v>
          </cell>
          <cell r="Q403">
            <v>0</v>
          </cell>
        </row>
        <row r="404">
          <cell r="A404">
            <v>70265</v>
          </cell>
          <cell r="B404" t="str">
            <v>Amortization of Long Term Contracts</v>
          </cell>
          <cell r="E404">
            <v>0</v>
          </cell>
          <cell r="F404">
            <v>0</v>
          </cell>
          <cell r="G404">
            <v>0</v>
          </cell>
          <cell r="H404">
            <v>0</v>
          </cell>
          <cell r="I404">
            <v>0</v>
          </cell>
          <cell r="J404">
            <v>0</v>
          </cell>
          <cell r="K404">
            <v>0</v>
          </cell>
          <cell r="L404">
            <v>0</v>
          </cell>
          <cell r="M404">
            <v>0</v>
          </cell>
          <cell r="N404">
            <v>0</v>
          </cell>
          <cell r="O404">
            <v>0</v>
          </cell>
          <cell r="P404">
            <v>0</v>
          </cell>
          <cell r="Q404">
            <v>0</v>
          </cell>
        </row>
        <row r="405">
          <cell r="A405">
            <v>80050</v>
          </cell>
          <cell r="B405" t="str">
            <v>Interest Expense Closure/Post Closure</v>
          </cell>
          <cell r="E405">
            <v>0</v>
          </cell>
          <cell r="F405">
            <v>0</v>
          </cell>
          <cell r="G405">
            <v>0</v>
          </cell>
          <cell r="H405">
            <v>0</v>
          </cell>
          <cell r="I405">
            <v>0</v>
          </cell>
          <cell r="J405">
            <v>0</v>
          </cell>
          <cell r="K405">
            <v>0</v>
          </cell>
          <cell r="L405">
            <v>0</v>
          </cell>
          <cell r="M405">
            <v>0</v>
          </cell>
          <cell r="N405">
            <v>0</v>
          </cell>
          <cell r="O405">
            <v>0</v>
          </cell>
          <cell r="P405">
            <v>0</v>
          </cell>
          <cell r="Q405">
            <v>0</v>
          </cell>
        </row>
        <row r="406">
          <cell r="A406" t="str">
            <v>Total Other Operating Expense</v>
          </cell>
          <cell r="E406">
            <v>38677.819999999992</v>
          </cell>
          <cell r="F406">
            <v>38460.620000000003</v>
          </cell>
          <cell r="G406">
            <v>37434.229999999996</v>
          </cell>
          <cell r="H406">
            <v>37300.97</v>
          </cell>
          <cell r="I406">
            <v>32715.37</v>
          </cell>
          <cell r="J406">
            <v>54072.55</v>
          </cell>
          <cell r="K406">
            <v>75968.88</v>
          </cell>
          <cell r="L406">
            <v>41574.9</v>
          </cell>
          <cell r="M406">
            <v>36457.9</v>
          </cell>
          <cell r="N406">
            <v>39226.43</v>
          </cell>
          <cell r="O406">
            <v>41817.089999999997</v>
          </cell>
          <cell r="P406">
            <v>29775.78</v>
          </cell>
          <cell r="Q406">
            <v>503482.54000000004</v>
          </cell>
        </row>
        <row r="408">
          <cell r="A408" t="str">
            <v>Insurance</v>
          </cell>
        </row>
        <row r="409">
          <cell r="A409">
            <v>59148</v>
          </cell>
          <cell r="B409" t="str">
            <v>Allocation In - District</v>
          </cell>
          <cell r="E409">
            <v>0</v>
          </cell>
          <cell r="F409">
            <v>0</v>
          </cell>
          <cell r="G409">
            <v>0</v>
          </cell>
          <cell r="H409">
            <v>0</v>
          </cell>
          <cell r="I409">
            <v>0</v>
          </cell>
          <cell r="J409">
            <v>0</v>
          </cell>
          <cell r="K409">
            <v>0</v>
          </cell>
          <cell r="L409">
            <v>0</v>
          </cell>
          <cell r="M409">
            <v>0</v>
          </cell>
          <cell r="N409">
            <v>0</v>
          </cell>
          <cell r="O409">
            <v>0</v>
          </cell>
          <cell r="P409">
            <v>0</v>
          </cell>
          <cell r="Q409">
            <v>0</v>
          </cell>
        </row>
        <row r="410">
          <cell r="A410">
            <v>59149</v>
          </cell>
          <cell r="B410" t="str">
            <v>Allocation In - Out District</v>
          </cell>
          <cell r="E410">
            <v>0</v>
          </cell>
          <cell r="F410">
            <v>0</v>
          </cell>
          <cell r="G410">
            <v>0</v>
          </cell>
          <cell r="H410">
            <v>0</v>
          </cell>
          <cell r="I410">
            <v>0</v>
          </cell>
          <cell r="J410">
            <v>0</v>
          </cell>
          <cell r="K410">
            <v>0</v>
          </cell>
          <cell r="L410">
            <v>0</v>
          </cell>
          <cell r="M410">
            <v>0</v>
          </cell>
          <cell r="N410">
            <v>0</v>
          </cell>
          <cell r="O410">
            <v>0</v>
          </cell>
          <cell r="P410">
            <v>0</v>
          </cell>
          <cell r="Q410">
            <v>0</v>
          </cell>
        </row>
        <row r="411">
          <cell r="A411">
            <v>59271</v>
          </cell>
          <cell r="B411" t="str">
            <v>Property and Liability Insurance</v>
          </cell>
          <cell r="E411">
            <v>0</v>
          </cell>
          <cell r="F411">
            <v>0</v>
          </cell>
          <cell r="G411">
            <v>0</v>
          </cell>
          <cell r="H411">
            <v>0</v>
          </cell>
          <cell r="I411">
            <v>0</v>
          </cell>
          <cell r="J411">
            <v>0</v>
          </cell>
          <cell r="K411">
            <v>0</v>
          </cell>
          <cell r="L411">
            <v>0</v>
          </cell>
          <cell r="M411">
            <v>0</v>
          </cell>
          <cell r="N411">
            <v>0</v>
          </cell>
          <cell r="O411">
            <v>0</v>
          </cell>
          <cell r="P411">
            <v>0</v>
          </cell>
          <cell r="Q411">
            <v>0</v>
          </cell>
        </row>
        <row r="412">
          <cell r="A412">
            <v>59326</v>
          </cell>
          <cell r="B412" t="str">
            <v>Deductible - Current</v>
          </cell>
          <cell r="E412">
            <v>0</v>
          </cell>
          <cell r="F412">
            <v>0</v>
          </cell>
          <cell r="G412">
            <v>0</v>
          </cell>
          <cell r="H412">
            <v>0</v>
          </cell>
          <cell r="I412">
            <v>0</v>
          </cell>
          <cell r="J412">
            <v>0</v>
          </cell>
          <cell r="K412">
            <v>0</v>
          </cell>
          <cell r="L412">
            <v>0</v>
          </cell>
          <cell r="M412">
            <v>0</v>
          </cell>
          <cell r="N412">
            <v>0</v>
          </cell>
          <cell r="O412">
            <v>0</v>
          </cell>
          <cell r="P412">
            <v>0</v>
          </cell>
          <cell r="Q412">
            <v>0</v>
          </cell>
        </row>
        <row r="413">
          <cell r="A413">
            <v>59327</v>
          </cell>
          <cell r="B413" t="str">
            <v>Deductible - Damage</v>
          </cell>
          <cell r="E413">
            <v>0</v>
          </cell>
          <cell r="F413">
            <v>0</v>
          </cell>
          <cell r="G413">
            <v>0</v>
          </cell>
          <cell r="H413">
            <v>0</v>
          </cell>
          <cell r="I413">
            <v>0</v>
          </cell>
          <cell r="J413">
            <v>0</v>
          </cell>
          <cell r="K413">
            <v>0</v>
          </cell>
          <cell r="L413">
            <v>0</v>
          </cell>
          <cell r="M413">
            <v>0</v>
          </cell>
          <cell r="N413">
            <v>0</v>
          </cell>
          <cell r="O413">
            <v>0</v>
          </cell>
          <cell r="P413">
            <v>0</v>
          </cell>
          <cell r="Q413">
            <v>0</v>
          </cell>
        </row>
        <row r="414">
          <cell r="A414">
            <v>59328</v>
          </cell>
          <cell r="B414" t="str">
            <v>Claim Recoveries</v>
          </cell>
          <cell r="E414">
            <v>0</v>
          </cell>
          <cell r="F414">
            <v>0</v>
          </cell>
          <cell r="G414">
            <v>0</v>
          </cell>
          <cell r="H414">
            <v>0</v>
          </cell>
          <cell r="I414">
            <v>0</v>
          </cell>
          <cell r="J414">
            <v>0</v>
          </cell>
          <cell r="K414">
            <v>0</v>
          </cell>
          <cell r="L414">
            <v>0</v>
          </cell>
          <cell r="M414">
            <v>0</v>
          </cell>
          <cell r="N414">
            <v>0</v>
          </cell>
          <cell r="O414">
            <v>0</v>
          </cell>
          <cell r="P414">
            <v>0</v>
          </cell>
          <cell r="Q414">
            <v>0</v>
          </cell>
        </row>
        <row r="415">
          <cell r="A415">
            <v>59330</v>
          </cell>
          <cell r="B415" t="str">
            <v>Deduct - Prior Year</v>
          </cell>
          <cell r="E415">
            <v>0</v>
          </cell>
          <cell r="F415">
            <v>0</v>
          </cell>
          <cell r="G415">
            <v>0</v>
          </cell>
          <cell r="H415">
            <v>0</v>
          </cell>
          <cell r="I415">
            <v>0</v>
          </cell>
          <cell r="J415">
            <v>0</v>
          </cell>
          <cell r="K415">
            <v>0</v>
          </cell>
          <cell r="L415">
            <v>0</v>
          </cell>
          <cell r="M415">
            <v>0</v>
          </cell>
          <cell r="N415">
            <v>0</v>
          </cell>
          <cell r="O415">
            <v>0</v>
          </cell>
          <cell r="P415">
            <v>0</v>
          </cell>
          <cell r="Q415">
            <v>0</v>
          </cell>
        </row>
        <row r="416">
          <cell r="A416">
            <v>59331</v>
          </cell>
          <cell r="B416" t="str">
            <v>RM Fixed Costs</v>
          </cell>
          <cell r="E416">
            <v>0</v>
          </cell>
          <cell r="F416">
            <v>0</v>
          </cell>
          <cell r="G416">
            <v>0</v>
          </cell>
          <cell r="H416">
            <v>0</v>
          </cell>
          <cell r="I416">
            <v>0</v>
          </cell>
          <cell r="J416">
            <v>0</v>
          </cell>
          <cell r="K416">
            <v>0</v>
          </cell>
          <cell r="L416">
            <v>0</v>
          </cell>
          <cell r="M416">
            <v>0</v>
          </cell>
          <cell r="N416">
            <v>0</v>
          </cell>
          <cell r="O416">
            <v>0</v>
          </cell>
          <cell r="P416">
            <v>0</v>
          </cell>
          <cell r="Q416">
            <v>0</v>
          </cell>
        </row>
        <row r="417">
          <cell r="A417">
            <v>59340</v>
          </cell>
          <cell r="B417" t="str">
            <v>Self Insurance Premium</v>
          </cell>
          <cell r="E417">
            <v>10091.379999999999</v>
          </cell>
          <cell r="F417">
            <v>10091.379999999999</v>
          </cell>
          <cell r="G417">
            <v>10091.379999999999</v>
          </cell>
          <cell r="H417">
            <v>10091.379999999999</v>
          </cell>
          <cell r="I417">
            <v>10091.379999999999</v>
          </cell>
          <cell r="J417">
            <v>10091.379999999999</v>
          </cell>
          <cell r="K417">
            <v>10091.379999999999</v>
          </cell>
          <cell r="L417">
            <v>10091.379999999999</v>
          </cell>
          <cell r="M417">
            <v>10091.379999999999</v>
          </cell>
          <cell r="N417">
            <v>10091.379999999999</v>
          </cell>
          <cell r="O417">
            <v>10091.379999999999</v>
          </cell>
          <cell r="P417">
            <v>10091.379999999999</v>
          </cell>
          <cell r="Q417">
            <v>121096.56000000001</v>
          </cell>
        </row>
        <row r="418">
          <cell r="A418">
            <v>59341</v>
          </cell>
          <cell r="B418" t="str">
            <v>A&amp;L - Current Year Claims</v>
          </cell>
          <cell r="E418">
            <v>-6142.07</v>
          </cell>
          <cell r="F418">
            <v>-2400</v>
          </cell>
          <cell r="G418">
            <v>400</v>
          </cell>
          <cell r="H418">
            <v>9853.9</v>
          </cell>
          <cell r="I418">
            <v>0</v>
          </cell>
          <cell r="J418">
            <v>0</v>
          </cell>
          <cell r="K418">
            <v>0</v>
          </cell>
          <cell r="L418">
            <v>4250</v>
          </cell>
          <cell r="M418">
            <v>8924.2000000000007</v>
          </cell>
          <cell r="N418">
            <v>751</v>
          </cell>
          <cell r="O418">
            <v>2071.27</v>
          </cell>
          <cell r="P418">
            <v>24430</v>
          </cell>
          <cell r="Q418">
            <v>42138.3</v>
          </cell>
        </row>
        <row r="419">
          <cell r="A419">
            <v>59342</v>
          </cell>
          <cell r="B419" t="str">
            <v>A&amp;L - Prior Year Claims</v>
          </cell>
          <cell r="E419">
            <v>0</v>
          </cell>
          <cell r="F419">
            <v>0</v>
          </cell>
          <cell r="G419">
            <v>0</v>
          </cell>
          <cell r="H419">
            <v>-10802.07</v>
          </cell>
          <cell r="I419">
            <v>-2004.25</v>
          </cell>
          <cell r="J419">
            <v>1249.05</v>
          </cell>
          <cell r="K419">
            <v>6999.75</v>
          </cell>
          <cell r="L419">
            <v>0</v>
          </cell>
          <cell r="M419">
            <v>0</v>
          </cell>
          <cell r="N419">
            <v>2499.5</v>
          </cell>
          <cell r="O419">
            <v>0</v>
          </cell>
          <cell r="P419">
            <v>0</v>
          </cell>
          <cell r="Q419">
            <v>-2058.0200000000004</v>
          </cell>
        </row>
        <row r="420">
          <cell r="A420">
            <v>59343</v>
          </cell>
          <cell r="B420" t="str">
            <v>WC - Current Year Claims</v>
          </cell>
          <cell r="E420">
            <v>7290.88</v>
          </cell>
          <cell r="F420">
            <v>-17465.98</v>
          </cell>
          <cell r="G420">
            <v>13819.28</v>
          </cell>
          <cell r="H420">
            <v>8553.6</v>
          </cell>
          <cell r="I420">
            <v>5696</v>
          </cell>
          <cell r="J420">
            <v>3275.7</v>
          </cell>
          <cell r="K420">
            <v>6448.16</v>
          </cell>
          <cell r="L420">
            <v>2722</v>
          </cell>
          <cell r="M420">
            <v>820</v>
          </cell>
          <cell r="N420">
            <v>-18388.02</v>
          </cell>
          <cell r="O420">
            <v>-1818.92</v>
          </cell>
          <cell r="P420">
            <v>2266.29</v>
          </cell>
          <cell r="Q420">
            <v>13218.990000000002</v>
          </cell>
        </row>
        <row r="421">
          <cell r="A421">
            <v>59344</v>
          </cell>
          <cell r="B421" t="str">
            <v>WC - Prior Year Claims</v>
          </cell>
          <cell r="E421">
            <v>0</v>
          </cell>
          <cell r="F421">
            <v>0</v>
          </cell>
          <cell r="G421">
            <v>0</v>
          </cell>
          <cell r="H421">
            <v>-9078.02</v>
          </cell>
          <cell r="I421">
            <v>16579.04</v>
          </cell>
          <cell r="J421">
            <v>98644.06</v>
          </cell>
          <cell r="K421">
            <v>-15344.09</v>
          </cell>
          <cell r="L421">
            <v>-28729.19</v>
          </cell>
          <cell r="M421">
            <v>17918.650000000001</v>
          </cell>
          <cell r="N421">
            <v>-103.64</v>
          </cell>
          <cell r="O421">
            <v>1197.08</v>
          </cell>
          <cell r="P421">
            <v>-19684.740000000002</v>
          </cell>
          <cell r="Q421">
            <v>61399.150000000009</v>
          </cell>
        </row>
        <row r="422">
          <cell r="A422">
            <v>59350</v>
          </cell>
          <cell r="B422" t="str">
            <v>Self Isurance IBNR Estimates</v>
          </cell>
          <cell r="E422">
            <v>0</v>
          </cell>
          <cell r="F422">
            <v>0</v>
          </cell>
          <cell r="G422">
            <v>0</v>
          </cell>
          <cell r="H422">
            <v>0</v>
          </cell>
          <cell r="I422">
            <v>0</v>
          </cell>
          <cell r="J422">
            <v>0</v>
          </cell>
          <cell r="K422">
            <v>0</v>
          </cell>
          <cell r="L422">
            <v>0</v>
          </cell>
          <cell r="M422">
            <v>0</v>
          </cell>
          <cell r="N422">
            <v>0</v>
          </cell>
          <cell r="O422">
            <v>0</v>
          </cell>
          <cell r="P422">
            <v>0</v>
          </cell>
          <cell r="Q422">
            <v>0</v>
          </cell>
        </row>
        <row r="423">
          <cell r="A423">
            <v>59400</v>
          </cell>
          <cell r="B423" t="str">
            <v>Damages paid by District</v>
          </cell>
          <cell r="E423">
            <v>5142.99</v>
          </cell>
          <cell r="F423">
            <v>1000</v>
          </cell>
          <cell r="G423">
            <v>2757.56</v>
          </cell>
          <cell r="H423">
            <v>0</v>
          </cell>
          <cell r="I423">
            <v>1701.74</v>
          </cell>
          <cell r="J423">
            <v>6490.95</v>
          </cell>
          <cell r="K423">
            <v>104.97</v>
          </cell>
          <cell r="L423">
            <v>48.7</v>
          </cell>
          <cell r="M423">
            <v>0</v>
          </cell>
          <cell r="N423">
            <v>11054.22</v>
          </cell>
          <cell r="O423">
            <v>655.83</v>
          </cell>
          <cell r="P423">
            <v>11383.6</v>
          </cell>
          <cell r="Q423">
            <v>40340.559999999998</v>
          </cell>
        </row>
        <row r="424">
          <cell r="A424">
            <v>59401</v>
          </cell>
          <cell r="B424" t="str">
            <v>Insurance claim repairs</v>
          </cell>
          <cell r="E424">
            <v>0</v>
          </cell>
          <cell r="F424">
            <v>0</v>
          </cell>
          <cell r="G424">
            <v>0</v>
          </cell>
          <cell r="H424">
            <v>0</v>
          </cell>
          <cell r="I424">
            <v>0</v>
          </cell>
          <cell r="J424">
            <v>0</v>
          </cell>
          <cell r="K424">
            <v>0</v>
          </cell>
          <cell r="L424">
            <v>0</v>
          </cell>
          <cell r="M424">
            <v>0</v>
          </cell>
          <cell r="N424">
            <v>10000</v>
          </cell>
          <cell r="O424">
            <v>31.43</v>
          </cell>
          <cell r="P424">
            <v>-10904.79</v>
          </cell>
          <cell r="Q424">
            <v>-873.36000000000058</v>
          </cell>
        </row>
        <row r="425">
          <cell r="A425">
            <v>59500</v>
          </cell>
          <cell r="B425" t="str">
            <v>Workers Comp Prem</v>
          </cell>
          <cell r="E425">
            <v>4000</v>
          </cell>
          <cell r="F425">
            <v>2000</v>
          </cell>
          <cell r="G425">
            <v>2000</v>
          </cell>
          <cell r="H425">
            <v>2000</v>
          </cell>
          <cell r="I425">
            <v>1000</v>
          </cell>
          <cell r="J425">
            <v>2000</v>
          </cell>
          <cell r="K425">
            <v>2000</v>
          </cell>
          <cell r="L425">
            <v>2000</v>
          </cell>
          <cell r="M425">
            <v>3000</v>
          </cell>
          <cell r="N425">
            <v>3000</v>
          </cell>
          <cell r="O425">
            <v>3000</v>
          </cell>
          <cell r="P425">
            <v>0</v>
          </cell>
          <cell r="Q425">
            <v>26000</v>
          </cell>
        </row>
        <row r="426">
          <cell r="A426">
            <v>59998</v>
          </cell>
          <cell r="B426" t="str">
            <v>Allocation Out - District</v>
          </cell>
          <cell r="E426">
            <v>0</v>
          </cell>
          <cell r="F426">
            <v>0</v>
          </cell>
          <cell r="G426">
            <v>0</v>
          </cell>
          <cell r="H426">
            <v>0</v>
          </cell>
          <cell r="I426">
            <v>0</v>
          </cell>
          <cell r="J426">
            <v>0</v>
          </cell>
          <cell r="K426">
            <v>0</v>
          </cell>
          <cell r="L426">
            <v>0</v>
          </cell>
          <cell r="M426">
            <v>0</v>
          </cell>
          <cell r="N426">
            <v>0</v>
          </cell>
          <cell r="O426">
            <v>0</v>
          </cell>
          <cell r="P426">
            <v>0</v>
          </cell>
          <cell r="Q426">
            <v>0</v>
          </cell>
        </row>
        <row r="427">
          <cell r="A427">
            <v>59999</v>
          </cell>
          <cell r="B427" t="str">
            <v>Allocation Out - Out District</v>
          </cell>
          <cell r="E427">
            <v>0</v>
          </cell>
          <cell r="F427">
            <v>0</v>
          </cell>
          <cell r="G427">
            <v>0</v>
          </cell>
          <cell r="H427">
            <v>0</v>
          </cell>
          <cell r="I427">
            <v>0</v>
          </cell>
          <cell r="J427">
            <v>0</v>
          </cell>
          <cell r="K427">
            <v>0</v>
          </cell>
          <cell r="L427">
            <v>0</v>
          </cell>
          <cell r="M427">
            <v>0</v>
          </cell>
          <cell r="N427">
            <v>0</v>
          </cell>
          <cell r="O427">
            <v>0</v>
          </cell>
          <cell r="P427">
            <v>0</v>
          </cell>
          <cell r="Q427">
            <v>0</v>
          </cell>
        </row>
        <row r="428">
          <cell r="A428" t="str">
            <v>Total Insurance</v>
          </cell>
          <cell r="E428">
            <v>20383.18</v>
          </cell>
          <cell r="F428">
            <v>-6774.6</v>
          </cell>
          <cell r="G428">
            <v>29068.22</v>
          </cell>
          <cell r="H428">
            <v>10618.789999999997</v>
          </cell>
          <cell r="I428">
            <v>33063.910000000003</v>
          </cell>
          <cell r="J428">
            <v>121751.14</v>
          </cell>
          <cell r="K428">
            <v>10300.169999999996</v>
          </cell>
          <cell r="L428">
            <v>-9617.11</v>
          </cell>
          <cell r="M428">
            <v>40754.230000000003</v>
          </cell>
          <cell r="N428">
            <v>18904.439999999999</v>
          </cell>
          <cell r="O428">
            <v>15228.07</v>
          </cell>
          <cell r="P428">
            <v>17581.739999999998</v>
          </cell>
          <cell r="Q428">
            <v>301262.18000000005</v>
          </cell>
        </row>
        <row r="430">
          <cell r="A430" t="str">
            <v>Disposal of Assets and Operations</v>
          </cell>
        </row>
        <row r="431">
          <cell r="A431">
            <v>72000</v>
          </cell>
          <cell r="B431" t="str">
            <v>Gain/Loss on Disposal of Operations</v>
          </cell>
          <cell r="E431">
            <v>0</v>
          </cell>
          <cell r="F431">
            <v>0</v>
          </cell>
          <cell r="G431">
            <v>0</v>
          </cell>
          <cell r="H431">
            <v>0</v>
          </cell>
          <cell r="I431">
            <v>0</v>
          </cell>
          <cell r="J431">
            <v>0</v>
          </cell>
          <cell r="K431">
            <v>0</v>
          </cell>
          <cell r="L431">
            <v>0</v>
          </cell>
          <cell r="M431">
            <v>0</v>
          </cell>
          <cell r="N431">
            <v>0</v>
          </cell>
          <cell r="O431">
            <v>0</v>
          </cell>
          <cell r="P431">
            <v>0</v>
          </cell>
          <cell r="Q431">
            <v>0</v>
          </cell>
        </row>
        <row r="432">
          <cell r="A432">
            <v>91010</v>
          </cell>
          <cell r="B432" t="str">
            <v>Gain/Loss on Sale of Asset</v>
          </cell>
          <cell r="E432">
            <v>0</v>
          </cell>
          <cell r="F432">
            <v>0</v>
          </cell>
          <cell r="G432">
            <v>0</v>
          </cell>
          <cell r="H432">
            <v>1319.45</v>
          </cell>
          <cell r="I432">
            <v>0</v>
          </cell>
          <cell r="J432">
            <v>24949.35</v>
          </cell>
          <cell r="K432">
            <v>-33354.22</v>
          </cell>
          <cell r="L432">
            <v>-3080</v>
          </cell>
          <cell r="M432">
            <v>0</v>
          </cell>
          <cell r="N432">
            <v>0</v>
          </cell>
          <cell r="O432">
            <v>0</v>
          </cell>
          <cell r="P432">
            <v>0</v>
          </cell>
          <cell r="Q432">
            <v>-10165.420000000002</v>
          </cell>
        </row>
        <row r="433">
          <cell r="A433" t="str">
            <v>Total Disposal of Assets and Operations</v>
          </cell>
          <cell r="E433">
            <v>0</v>
          </cell>
          <cell r="F433">
            <v>0</v>
          </cell>
          <cell r="G433">
            <v>0</v>
          </cell>
          <cell r="H433">
            <v>1319.45</v>
          </cell>
          <cell r="I433">
            <v>0</v>
          </cell>
          <cell r="J433">
            <v>24949.35</v>
          </cell>
          <cell r="K433">
            <v>-33354.22</v>
          </cell>
          <cell r="L433">
            <v>-3080</v>
          </cell>
          <cell r="M433">
            <v>0</v>
          </cell>
          <cell r="N433">
            <v>0</v>
          </cell>
          <cell r="O433">
            <v>0</v>
          </cell>
          <cell r="P433">
            <v>0</v>
          </cell>
          <cell r="Q433">
            <v>-10165.420000000002</v>
          </cell>
        </row>
        <row r="435">
          <cell r="A435" t="str">
            <v>Total Operating Costs</v>
          </cell>
          <cell r="E435">
            <v>691108.55</v>
          </cell>
          <cell r="F435">
            <v>591691.37000000011</v>
          </cell>
          <cell r="G435">
            <v>679572.21999999986</v>
          </cell>
          <cell r="H435">
            <v>649398.42000000004</v>
          </cell>
          <cell r="I435">
            <v>715012.80999999994</v>
          </cell>
          <cell r="J435">
            <v>823534.92999999993</v>
          </cell>
          <cell r="K435">
            <v>725146.60999999987</v>
          </cell>
          <cell r="L435">
            <v>671623.93</v>
          </cell>
          <cell r="M435">
            <v>721331.92999999993</v>
          </cell>
          <cell r="N435">
            <v>675314.14999999991</v>
          </cell>
          <cell r="O435">
            <v>713873.94</v>
          </cell>
          <cell r="P435">
            <v>696947.79999999981</v>
          </cell>
          <cell r="Q435">
            <v>8354556.6600000001</v>
          </cell>
        </row>
        <row r="437">
          <cell r="A437" t="str">
            <v>Gross Profit</v>
          </cell>
          <cell r="E437">
            <v>958596.29999999981</v>
          </cell>
          <cell r="F437">
            <v>1078399.0499999998</v>
          </cell>
          <cell r="G437">
            <v>980681.78999999992</v>
          </cell>
          <cell r="H437">
            <v>1060013.06</v>
          </cell>
          <cell r="I437">
            <v>998324.67999999935</v>
          </cell>
          <cell r="J437">
            <v>884006.14000000036</v>
          </cell>
          <cell r="K437">
            <v>999176.6099999994</v>
          </cell>
          <cell r="L437">
            <v>1029352.5499999995</v>
          </cell>
          <cell r="M437">
            <v>1005221.45</v>
          </cell>
          <cell r="N437">
            <v>1062170.0200000005</v>
          </cell>
          <cell r="O437">
            <v>1010676.3699999996</v>
          </cell>
          <cell r="P437">
            <v>1011952.0500000003</v>
          </cell>
          <cell r="Q437">
            <v>12078570.07</v>
          </cell>
        </row>
        <row r="439">
          <cell r="A439" t="str">
            <v>SG&amp;A</v>
          </cell>
        </row>
        <row r="440">
          <cell r="A440" t="str">
            <v>Sales</v>
          </cell>
        </row>
        <row r="441">
          <cell r="A441">
            <v>60010</v>
          </cell>
          <cell r="B441" t="str">
            <v>Salaries</v>
          </cell>
          <cell r="E441">
            <v>0</v>
          </cell>
          <cell r="F441">
            <v>0</v>
          </cell>
          <cell r="G441">
            <v>0</v>
          </cell>
          <cell r="H441">
            <v>0</v>
          </cell>
          <cell r="I441">
            <v>0</v>
          </cell>
          <cell r="J441">
            <v>0</v>
          </cell>
          <cell r="K441">
            <v>0</v>
          </cell>
          <cell r="L441">
            <v>0</v>
          </cell>
          <cell r="M441">
            <v>0</v>
          </cell>
          <cell r="N441">
            <v>0</v>
          </cell>
          <cell r="O441">
            <v>0</v>
          </cell>
          <cell r="P441">
            <v>0</v>
          </cell>
          <cell r="Q441">
            <v>0</v>
          </cell>
        </row>
        <row r="442">
          <cell r="A442">
            <v>60020</v>
          </cell>
          <cell r="B442" t="str">
            <v>Wages Regular</v>
          </cell>
          <cell r="E442">
            <v>0</v>
          </cell>
          <cell r="F442">
            <v>0</v>
          </cell>
          <cell r="G442">
            <v>0</v>
          </cell>
          <cell r="H442">
            <v>0</v>
          </cell>
          <cell r="I442">
            <v>0</v>
          </cell>
          <cell r="J442">
            <v>0</v>
          </cell>
          <cell r="K442">
            <v>0</v>
          </cell>
          <cell r="L442">
            <v>0</v>
          </cell>
          <cell r="M442">
            <v>0</v>
          </cell>
          <cell r="N442">
            <v>0</v>
          </cell>
          <cell r="O442">
            <v>0</v>
          </cell>
          <cell r="P442">
            <v>0</v>
          </cell>
          <cell r="Q442">
            <v>0</v>
          </cell>
        </row>
        <row r="443">
          <cell r="A443">
            <v>60025</v>
          </cell>
          <cell r="B443" t="str">
            <v>Wages O.T.</v>
          </cell>
          <cell r="E443">
            <v>0</v>
          </cell>
          <cell r="F443">
            <v>0</v>
          </cell>
          <cell r="G443">
            <v>0</v>
          </cell>
          <cell r="H443">
            <v>0</v>
          </cell>
          <cell r="I443">
            <v>0</v>
          </cell>
          <cell r="J443">
            <v>0</v>
          </cell>
          <cell r="K443">
            <v>0</v>
          </cell>
          <cell r="L443">
            <v>0</v>
          </cell>
          <cell r="M443">
            <v>0</v>
          </cell>
          <cell r="N443">
            <v>0</v>
          </cell>
          <cell r="O443">
            <v>0</v>
          </cell>
          <cell r="P443">
            <v>0</v>
          </cell>
          <cell r="Q443">
            <v>0</v>
          </cell>
        </row>
        <row r="444">
          <cell r="A444">
            <v>60030</v>
          </cell>
          <cell r="B444" t="str">
            <v>Bonuses and Commissions</v>
          </cell>
          <cell r="E444">
            <v>0</v>
          </cell>
          <cell r="F444">
            <v>0</v>
          </cell>
          <cell r="G444">
            <v>0</v>
          </cell>
          <cell r="H444">
            <v>0</v>
          </cell>
          <cell r="I444">
            <v>0</v>
          </cell>
          <cell r="J444">
            <v>0</v>
          </cell>
          <cell r="K444">
            <v>0</v>
          </cell>
          <cell r="L444">
            <v>0</v>
          </cell>
          <cell r="M444">
            <v>0</v>
          </cell>
          <cell r="N444">
            <v>0</v>
          </cell>
          <cell r="O444">
            <v>0</v>
          </cell>
          <cell r="P444">
            <v>0</v>
          </cell>
          <cell r="Q444">
            <v>0</v>
          </cell>
        </row>
        <row r="445">
          <cell r="A445">
            <v>60035</v>
          </cell>
          <cell r="B445" t="str">
            <v>Safety Bonuses</v>
          </cell>
          <cell r="E445">
            <v>0</v>
          </cell>
          <cell r="F445">
            <v>0</v>
          </cell>
          <cell r="G445">
            <v>0</v>
          </cell>
          <cell r="H445">
            <v>0</v>
          </cell>
          <cell r="I445">
            <v>0</v>
          </cell>
          <cell r="J445">
            <v>0</v>
          </cell>
          <cell r="K445">
            <v>0</v>
          </cell>
          <cell r="L445">
            <v>0</v>
          </cell>
          <cell r="M445">
            <v>0</v>
          </cell>
          <cell r="N445">
            <v>0</v>
          </cell>
          <cell r="O445">
            <v>0</v>
          </cell>
          <cell r="P445">
            <v>0</v>
          </cell>
          <cell r="Q445">
            <v>0</v>
          </cell>
        </row>
        <row r="446">
          <cell r="A446">
            <v>60037</v>
          </cell>
          <cell r="B446" t="str">
            <v>Termination Pay</v>
          </cell>
          <cell r="E446">
            <v>0</v>
          </cell>
          <cell r="F446">
            <v>0</v>
          </cell>
          <cell r="G446">
            <v>0</v>
          </cell>
          <cell r="H446">
            <v>0</v>
          </cell>
          <cell r="I446">
            <v>0</v>
          </cell>
          <cell r="J446">
            <v>0</v>
          </cell>
          <cell r="K446">
            <v>0</v>
          </cell>
          <cell r="L446">
            <v>0</v>
          </cell>
          <cell r="M446">
            <v>0</v>
          </cell>
          <cell r="N446">
            <v>0</v>
          </cell>
          <cell r="O446">
            <v>0</v>
          </cell>
          <cell r="P446">
            <v>0</v>
          </cell>
          <cell r="Q446">
            <v>0</v>
          </cell>
        </row>
        <row r="447">
          <cell r="A447">
            <v>60045</v>
          </cell>
          <cell r="B447" t="str">
            <v>Contract Labor</v>
          </cell>
          <cell r="E447">
            <v>0</v>
          </cell>
          <cell r="F447">
            <v>0</v>
          </cell>
          <cell r="G447">
            <v>0</v>
          </cell>
          <cell r="H447">
            <v>0</v>
          </cell>
          <cell r="I447">
            <v>0</v>
          </cell>
          <cell r="J447">
            <v>0</v>
          </cell>
          <cell r="K447">
            <v>0</v>
          </cell>
          <cell r="L447">
            <v>0</v>
          </cell>
          <cell r="M447">
            <v>0</v>
          </cell>
          <cell r="N447">
            <v>0</v>
          </cell>
          <cell r="O447">
            <v>0</v>
          </cell>
          <cell r="P447">
            <v>0</v>
          </cell>
          <cell r="Q447">
            <v>0</v>
          </cell>
        </row>
        <row r="448">
          <cell r="A448">
            <v>60050</v>
          </cell>
          <cell r="B448" t="str">
            <v>Payroll Taxes</v>
          </cell>
          <cell r="E448">
            <v>0</v>
          </cell>
          <cell r="F448">
            <v>0</v>
          </cell>
          <cell r="G448">
            <v>0</v>
          </cell>
          <cell r="H448">
            <v>0</v>
          </cell>
          <cell r="I448">
            <v>0</v>
          </cell>
          <cell r="J448">
            <v>0</v>
          </cell>
          <cell r="K448">
            <v>0</v>
          </cell>
          <cell r="L448">
            <v>0</v>
          </cell>
          <cell r="M448">
            <v>0</v>
          </cell>
          <cell r="N448">
            <v>0</v>
          </cell>
          <cell r="O448">
            <v>0</v>
          </cell>
          <cell r="P448">
            <v>0</v>
          </cell>
          <cell r="Q448">
            <v>0</v>
          </cell>
        </row>
        <row r="449">
          <cell r="A449">
            <v>60060</v>
          </cell>
          <cell r="B449" t="str">
            <v>Group Insurance</v>
          </cell>
          <cell r="E449">
            <v>0</v>
          </cell>
          <cell r="F449">
            <v>0</v>
          </cell>
          <cell r="G449">
            <v>0</v>
          </cell>
          <cell r="H449">
            <v>0</v>
          </cell>
          <cell r="I449">
            <v>0</v>
          </cell>
          <cell r="J449">
            <v>0</v>
          </cell>
          <cell r="K449">
            <v>0</v>
          </cell>
          <cell r="L449">
            <v>0</v>
          </cell>
          <cell r="M449">
            <v>0</v>
          </cell>
          <cell r="N449">
            <v>0</v>
          </cell>
          <cell r="O449">
            <v>0</v>
          </cell>
          <cell r="P449">
            <v>0</v>
          </cell>
          <cell r="Q449">
            <v>0</v>
          </cell>
        </row>
        <row r="450">
          <cell r="A450">
            <v>60065</v>
          </cell>
          <cell r="B450" t="str">
            <v>Vacation Pay</v>
          </cell>
          <cell r="E450">
            <v>0</v>
          </cell>
          <cell r="F450">
            <v>0</v>
          </cell>
          <cell r="G450">
            <v>0</v>
          </cell>
          <cell r="H450">
            <v>0</v>
          </cell>
          <cell r="I450">
            <v>0</v>
          </cell>
          <cell r="J450">
            <v>0</v>
          </cell>
          <cell r="K450">
            <v>0</v>
          </cell>
          <cell r="L450">
            <v>8.23</v>
          </cell>
          <cell r="M450">
            <v>-8.23</v>
          </cell>
          <cell r="N450">
            <v>0</v>
          </cell>
          <cell r="O450">
            <v>0</v>
          </cell>
          <cell r="P450">
            <v>0</v>
          </cell>
          <cell r="Q450">
            <v>0</v>
          </cell>
        </row>
        <row r="451">
          <cell r="A451">
            <v>60070</v>
          </cell>
          <cell r="B451" t="str">
            <v>Sick Pay</v>
          </cell>
          <cell r="E451">
            <v>0</v>
          </cell>
          <cell r="F451">
            <v>0</v>
          </cell>
          <cell r="G451">
            <v>0</v>
          </cell>
          <cell r="H451">
            <v>0</v>
          </cell>
          <cell r="I451">
            <v>0</v>
          </cell>
          <cell r="J451">
            <v>0</v>
          </cell>
          <cell r="K451">
            <v>0</v>
          </cell>
          <cell r="L451">
            <v>0</v>
          </cell>
          <cell r="M451">
            <v>0</v>
          </cell>
          <cell r="N451">
            <v>0</v>
          </cell>
          <cell r="O451">
            <v>0</v>
          </cell>
          <cell r="P451">
            <v>0</v>
          </cell>
          <cell r="Q451">
            <v>0</v>
          </cell>
        </row>
        <row r="452">
          <cell r="A452">
            <v>60086</v>
          </cell>
          <cell r="B452" t="str">
            <v>Safety and Training</v>
          </cell>
          <cell r="E452">
            <v>0</v>
          </cell>
          <cell r="F452">
            <v>0</v>
          </cell>
          <cell r="G452">
            <v>0</v>
          </cell>
          <cell r="H452">
            <v>0</v>
          </cell>
          <cell r="I452">
            <v>0</v>
          </cell>
          <cell r="J452">
            <v>0</v>
          </cell>
          <cell r="K452">
            <v>0</v>
          </cell>
          <cell r="L452">
            <v>0</v>
          </cell>
          <cell r="M452">
            <v>0</v>
          </cell>
          <cell r="N452">
            <v>0</v>
          </cell>
          <cell r="O452">
            <v>0</v>
          </cell>
          <cell r="P452">
            <v>0</v>
          </cell>
          <cell r="Q452">
            <v>0</v>
          </cell>
        </row>
        <row r="453">
          <cell r="A453">
            <v>60095</v>
          </cell>
          <cell r="B453" t="str">
            <v>Empl &amp; Commun Activ</v>
          </cell>
          <cell r="E453">
            <v>0</v>
          </cell>
          <cell r="F453">
            <v>0</v>
          </cell>
          <cell r="G453">
            <v>0</v>
          </cell>
          <cell r="H453">
            <v>0</v>
          </cell>
          <cell r="I453">
            <v>0</v>
          </cell>
          <cell r="J453">
            <v>0</v>
          </cell>
          <cell r="K453">
            <v>0</v>
          </cell>
          <cell r="L453">
            <v>0</v>
          </cell>
          <cell r="M453">
            <v>0</v>
          </cell>
          <cell r="N453">
            <v>0</v>
          </cell>
          <cell r="O453">
            <v>0</v>
          </cell>
          <cell r="P453">
            <v>0</v>
          </cell>
          <cell r="Q453">
            <v>0</v>
          </cell>
        </row>
        <row r="454">
          <cell r="A454">
            <v>60105</v>
          </cell>
          <cell r="B454" t="str">
            <v>Employee Relocation</v>
          </cell>
          <cell r="E454">
            <v>0</v>
          </cell>
          <cell r="F454">
            <v>0</v>
          </cell>
          <cell r="G454">
            <v>0</v>
          </cell>
          <cell r="H454">
            <v>0</v>
          </cell>
          <cell r="I454">
            <v>0</v>
          </cell>
          <cell r="J454">
            <v>0</v>
          </cell>
          <cell r="K454">
            <v>0</v>
          </cell>
          <cell r="L454">
            <v>0</v>
          </cell>
          <cell r="M454">
            <v>0</v>
          </cell>
          <cell r="N454">
            <v>0</v>
          </cell>
          <cell r="O454">
            <v>0</v>
          </cell>
          <cell r="P454">
            <v>0</v>
          </cell>
          <cell r="Q454">
            <v>0</v>
          </cell>
        </row>
        <row r="455">
          <cell r="A455">
            <v>60115</v>
          </cell>
          <cell r="B455" t="str">
            <v>School Tuition</v>
          </cell>
          <cell r="E455">
            <v>0</v>
          </cell>
          <cell r="F455">
            <v>0</v>
          </cell>
          <cell r="G455">
            <v>0</v>
          </cell>
          <cell r="H455">
            <v>0</v>
          </cell>
          <cell r="I455">
            <v>0</v>
          </cell>
          <cell r="J455">
            <v>0</v>
          </cell>
          <cell r="K455">
            <v>0</v>
          </cell>
          <cell r="L455">
            <v>0</v>
          </cell>
          <cell r="M455">
            <v>0</v>
          </cell>
          <cell r="N455">
            <v>0</v>
          </cell>
          <cell r="O455">
            <v>0</v>
          </cell>
          <cell r="P455">
            <v>0</v>
          </cell>
          <cell r="Q455">
            <v>0</v>
          </cell>
        </row>
        <row r="456">
          <cell r="A456">
            <v>60116</v>
          </cell>
          <cell r="B456" t="str">
            <v>Pension and Profit Sharing</v>
          </cell>
          <cell r="E456">
            <v>0</v>
          </cell>
          <cell r="F456">
            <v>0</v>
          </cell>
          <cell r="G456">
            <v>0</v>
          </cell>
          <cell r="H456">
            <v>0</v>
          </cell>
          <cell r="I456">
            <v>0</v>
          </cell>
          <cell r="J456">
            <v>0</v>
          </cell>
          <cell r="K456">
            <v>0</v>
          </cell>
          <cell r="L456">
            <v>0</v>
          </cell>
          <cell r="M456">
            <v>0</v>
          </cell>
          <cell r="N456">
            <v>0</v>
          </cell>
          <cell r="O456">
            <v>0</v>
          </cell>
          <cell r="P456">
            <v>0</v>
          </cell>
          <cell r="Q456">
            <v>0</v>
          </cell>
        </row>
        <row r="457">
          <cell r="A457">
            <v>60117</v>
          </cell>
          <cell r="B457" t="str">
            <v>Union Pension</v>
          </cell>
          <cell r="E457">
            <v>0</v>
          </cell>
          <cell r="F457">
            <v>0</v>
          </cell>
          <cell r="G457">
            <v>0</v>
          </cell>
          <cell r="H457">
            <v>0</v>
          </cell>
          <cell r="I457">
            <v>0</v>
          </cell>
          <cell r="J457">
            <v>0</v>
          </cell>
          <cell r="K457">
            <v>0</v>
          </cell>
          <cell r="L457">
            <v>0</v>
          </cell>
          <cell r="M457">
            <v>0</v>
          </cell>
          <cell r="N457">
            <v>0</v>
          </cell>
          <cell r="O457">
            <v>0</v>
          </cell>
          <cell r="P457">
            <v>0</v>
          </cell>
          <cell r="Q457">
            <v>0</v>
          </cell>
        </row>
        <row r="458">
          <cell r="A458">
            <v>60148</v>
          </cell>
          <cell r="B458" t="str">
            <v>Allocated Exp In - District</v>
          </cell>
          <cell r="E458">
            <v>2300</v>
          </cell>
          <cell r="F458">
            <v>2448</v>
          </cell>
          <cell r="G458">
            <v>2391</v>
          </cell>
          <cell r="H458">
            <v>2584.5</v>
          </cell>
          <cell r="I458">
            <v>2565</v>
          </cell>
          <cell r="J458">
            <v>3535</v>
          </cell>
          <cell r="K458">
            <v>2899</v>
          </cell>
          <cell r="L458">
            <v>2443</v>
          </cell>
          <cell r="M458">
            <v>1800</v>
          </cell>
          <cell r="N458">
            <v>2326</v>
          </cell>
          <cell r="O458">
            <v>2339</v>
          </cell>
          <cell r="P458">
            <v>0</v>
          </cell>
          <cell r="Q458">
            <v>27630.5</v>
          </cell>
        </row>
        <row r="459">
          <cell r="A459">
            <v>60149</v>
          </cell>
          <cell r="B459" t="str">
            <v>Allocated Exp In Out - District</v>
          </cell>
          <cell r="E459">
            <v>0</v>
          </cell>
          <cell r="F459">
            <v>0</v>
          </cell>
          <cell r="G459">
            <v>0</v>
          </cell>
          <cell r="H459">
            <v>0</v>
          </cell>
          <cell r="I459">
            <v>0</v>
          </cell>
          <cell r="J459">
            <v>0</v>
          </cell>
          <cell r="K459">
            <v>0</v>
          </cell>
          <cell r="L459">
            <v>0</v>
          </cell>
          <cell r="M459">
            <v>0</v>
          </cell>
          <cell r="N459">
            <v>0</v>
          </cell>
          <cell r="O459">
            <v>0</v>
          </cell>
          <cell r="P459">
            <v>0</v>
          </cell>
          <cell r="Q459">
            <v>0</v>
          </cell>
        </row>
        <row r="460">
          <cell r="A460">
            <v>60165</v>
          </cell>
          <cell r="B460" t="str">
            <v>Communications</v>
          </cell>
          <cell r="E460">
            <v>0</v>
          </cell>
          <cell r="F460">
            <v>0</v>
          </cell>
          <cell r="G460">
            <v>0</v>
          </cell>
          <cell r="H460">
            <v>0</v>
          </cell>
          <cell r="I460">
            <v>0</v>
          </cell>
          <cell r="J460">
            <v>0</v>
          </cell>
          <cell r="K460">
            <v>0</v>
          </cell>
          <cell r="L460">
            <v>0</v>
          </cell>
          <cell r="M460">
            <v>0</v>
          </cell>
          <cell r="N460">
            <v>0</v>
          </cell>
          <cell r="O460">
            <v>0</v>
          </cell>
          <cell r="P460">
            <v>0</v>
          </cell>
          <cell r="Q460">
            <v>0</v>
          </cell>
        </row>
        <row r="461">
          <cell r="A461">
            <v>60170</v>
          </cell>
          <cell r="B461" t="str">
            <v>Real Estate Rentals</v>
          </cell>
          <cell r="E461">
            <v>0</v>
          </cell>
          <cell r="F461">
            <v>0</v>
          </cell>
          <cell r="G461">
            <v>0</v>
          </cell>
          <cell r="H461">
            <v>0</v>
          </cell>
          <cell r="I461">
            <v>0</v>
          </cell>
          <cell r="J461">
            <v>0</v>
          </cell>
          <cell r="K461">
            <v>0</v>
          </cell>
          <cell r="L461">
            <v>0</v>
          </cell>
          <cell r="M461">
            <v>0</v>
          </cell>
          <cell r="N461">
            <v>0</v>
          </cell>
          <cell r="O461">
            <v>0</v>
          </cell>
          <cell r="P461">
            <v>0</v>
          </cell>
          <cell r="Q461">
            <v>0</v>
          </cell>
        </row>
        <row r="462">
          <cell r="A462">
            <v>60175</v>
          </cell>
          <cell r="B462" t="str">
            <v>Equip/Vehicle Rental</v>
          </cell>
          <cell r="E462">
            <v>0</v>
          </cell>
          <cell r="F462">
            <v>0</v>
          </cell>
          <cell r="G462">
            <v>0</v>
          </cell>
          <cell r="H462">
            <v>0</v>
          </cell>
          <cell r="I462">
            <v>0</v>
          </cell>
          <cell r="J462">
            <v>0</v>
          </cell>
          <cell r="K462">
            <v>0</v>
          </cell>
          <cell r="L462">
            <v>0</v>
          </cell>
          <cell r="M462">
            <v>0</v>
          </cell>
          <cell r="N462">
            <v>0</v>
          </cell>
          <cell r="O462">
            <v>0</v>
          </cell>
          <cell r="P462">
            <v>0</v>
          </cell>
          <cell r="Q462">
            <v>0</v>
          </cell>
        </row>
        <row r="463">
          <cell r="A463">
            <v>60185</v>
          </cell>
          <cell r="B463" t="str">
            <v>Postage</v>
          </cell>
          <cell r="E463">
            <v>198.54</v>
          </cell>
          <cell r="F463">
            <v>0</v>
          </cell>
          <cell r="G463">
            <v>0</v>
          </cell>
          <cell r="H463">
            <v>0</v>
          </cell>
          <cell r="I463">
            <v>0</v>
          </cell>
          <cell r="J463">
            <v>0</v>
          </cell>
          <cell r="K463">
            <v>0</v>
          </cell>
          <cell r="L463">
            <v>0</v>
          </cell>
          <cell r="M463">
            <v>0</v>
          </cell>
          <cell r="N463">
            <v>0</v>
          </cell>
          <cell r="O463">
            <v>0</v>
          </cell>
          <cell r="P463">
            <v>0</v>
          </cell>
          <cell r="Q463">
            <v>198.54</v>
          </cell>
        </row>
        <row r="464">
          <cell r="A464">
            <v>60195</v>
          </cell>
          <cell r="B464" t="str">
            <v>Dues and Subscriptions</v>
          </cell>
          <cell r="E464">
            <v>0</v>
          </cell>
          <cell r="F464">
            <v>0</v>
          </cell>
          <cell r="G464">
            <v>0</v>
          </cell>
          <cell r="H464">
            <v>0</v>
          </cell>
          <cell r="I464">
            <v>0</v>
          </cell>
          <cell r="J464">
            <v>0</v>
          </cell>
          <cell r="K464">
            <v>0</v>
          </cell>
          <cell r="L464">
            <v>0</v>
          </cell>
          <cell r="M464">
            <v>0</v>
          </cell>
          <cell r="N464">
            <v>0</v>
          </cell>
          <cell r="O464">
            <v>0</v>
          </cell>
          <cell r="P464">
            <v>0</v>
          </cell>
          <cell r="Q464">
            <v>0</v>
          </cell>
        </row>
        <row r="465">
          <cell r="A465">
            <v>60196</v>
          </cell>
          <cell r="B465" t="str">
            <v>Club Dues</v>
          </cell>
          <cell r="E465">
            <v>0</v>
          </cell>
          <cell r="F465">
            <v>0</v>
          </cell>
          <cell r="G465">
            <v>0</v>
          </cell>
          <cell r="H465">
            <v>0</v>
          </cell>
          <cell r="I465">
            <v>0</v>
          </cell>
          <cell r="J465">
            <v>0</v>
          </cell>
          <cell r="K465">
            <v>0</v>
          </cell>
          <cell r="L465">
            <v>0</v>
          </cell>
          <cell r="M465">
            <v>0</v>
          </cell>
          <cell r="N465">
            <v>0</v>
          </cell>
          <cell r="O465">
            <v>0</v>
          </cell>
          <cell r="P465">
            <v>0</v>
          </cell>
          <cell r="Q465">
            <v>0</v>
          </cell>
        </row>
        <row r="466">
          <cell r="A466">
            <v>60200</v>
          </cell>
          <cell r="B466" t="str">
            <v>Travel</v>
          </cell>
          <cell r="E466">
            <v>0</v>
          </cell>
          <cell r="F466">
            <v>0</v>
          </cell>
          <cell r="G466">
            <v>0</v>
          </cell>
          <cell r="H466">
            <v>0</v>
          </cell>
          <cell r="I466">
            <v>0</v>
          </cell>
          <cell r="J466">
            <v>0</v>
          </cell>
          <cell r="K466">
            <v>0</v>
          </cell>
          <cell r="L466">
            <v>0</v>
          </cell>
          <cell r="M466">
            <v>0</v>
          </cell>
          <cell r="N466">
            <v>0</v>
          </cell>
          <cell r="O466">
            <v>0</v>
          </cell>
          <cell r="P466">
            <v>0</v>
          </cell>
          <cell r="Q466">
            <v>0</v>
          </cell>
        </row>
        <row r="467">
          <cell r="A467">
            <v>60201</v>
          </cell>
          <cell r="B467" t="str">
            <v>Entertainment</v>
          </cell>
          <cell r="E467">
            <v>0</v>
          </cell>
          <cell r="F467">
            <v>0</v>
          </cell>
          <cell r="G467">
            <v>0</v>
          </cell>
          <cell r="H467">
            <v>0</v>
          </cell>
          <cell r="I467">
            <v>0</v>
          </cell>
          <cell r="J467">
            <v>0</v>
          </cell>
          <cell r="K467">
            <v>0</v>
          </cell>
          <cell r="L467">
            <v>0</v>
          </cell>
          <cell r="M467">
            <v>0</v>
          </cell>
          <cell r="N467">
            <v>0</v>
          </cell>
          <cell r="O467">
            <v>0</v>
          </cell>
          <cell r="P467">
            <v>0</v>
          </cell>
          <cell r="Q467">
            <v>0</v>
          </cell>
        </row>
        <row r="468">
          <cell r="A468">
            <v>60205</v>
          </cell>
          <cell r="B468" t="str">
            <v>Travel - Auto</v>
          </cell>
          <cell r="E468">
            <v>0</v>
          </cell>
          <cell r="F468">
            <v>0</v>
          </cell>
          <cell r="G468">
            <v>0</v>
          </cell>
          <cell r="H468">
            <v>0</v>
          </cell>
          <cell r="I468">
            <v>0</v>
          </cell>
          <cell r="J468">
            <v>0</v>
          </cell>
          <cell r="K468">
            <v>58.5</v>
          </cell>
          <cell r="L468">
            <v>177.74</v>
          </cell>
          <cell r="M468">
            <v>-77.739999999999995</v>
          </cell>
          <cell r="N468">
            <v>0</v>
          </cell>
          <cell r="O468">
            <v>75.52</v>
          </cell>
          <cell r="P468">
            <v>23.74</v>
          </cell>
          <cell r="Q468">
            <v>257.76</v>
          </cell>
        </row>
        <row r="469">
          <cell r="A469">
            <v>60210</v>
          </cell>
          <cell r="B469" t="str">
            <v>Office Supplies and Equip</v>
          </cell>
          <cell r="E469">
            <v>0</v>
          </cell>
          <cell r="F469">
            <v>0</v>
          </cell>
          <cell r="G469">
            <v>0</v>
          </cell>
          <cell r="H469">
            <v>0</v>
          </cell>
          <cell r="I469">
            <v>0</v>
          </cell>
          <cell r="J469">
            <v>0</v>
          </cell>
          <cell r="K469">
            <v>0</v>
          </cell>
          <cell r="L469">
            <v>0</v>
          </cell>
          <cell r="M469">
            <v>0</v>
          </cell>
          <cell r="N469">
            <v>0</v>
          </cell>
          <cell r="O469">
            <v>0</v>
          </cell>
          <cell r="P469">
            <v>0</v>
          </cell>
          <cell r="Q469">
            <v>0</v>
          </cell>
        </row>
        <row r="470">
          <cell r="A470">
            <v>60225</v>
          </cell>
          <cell r="B470" t="str">
            <v>Advertising and Promotions</v>
          </cell>
          <cell r="E470">
            <v>12977.33</v>
          </cell>
          <cell r="F470">
            <v>949.64</v>
          </cell>
          <cell r="G470">
            <v>5900.84</v>
          </cell>
          <cell r="H470">
            <v>4161.1099999999997</v>
          </cell>
          <cell r="I470">
            <v>3165.78</v>
          </cell>
          <cell r="J470">
            <v>4520.0600000000004</v>
          </cell>
          <cell r="K470">
            <v>1806.35</v>
          </cell>
          <cell r="L470">
            <v>955.59</v>
          </cell>
          <cell r="M470">
            <v>28827.18</v>
          </cell>
          <cell r="N470">
            <v>25999.119999999999</v>
          </cell>
          <cell r="O470">
            <v>1245.2</v>
          </cell>
          <cell r="P470">
            <v>38523.21</v>
          </cell>
          <cell r="Q470">
            <v>129031.41</v>
          </cell>
        </row>
        <row r="471">
          <cell r="A471">
            <v>60234</v>
          </cell>
          <cell r="B471" t="str">
            <v>O/S Sales Exp</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v>60255</v>
          </cell>
          <cell r="B472" t="str">
            <v>Other Prof Fees</v>
          </cell>
          <cell r="E472">
            <v>0</v>
          </cell>
          <cell r="F472">
            <v>0</v>
          </cell>
          <cell r="G472">
            <v>0</v>
          </cell>
          <cell r="H472">
            <v>0</v>
          </cell>
          <cell r="I472">
            <v>0</v>
          </cell>
          <cell r="J472">
            <v>0</v>
          </cell>
          <cell r="K472">
            <v>0</v>
          </cell>
          <cell r="L472">
            <v>0</v>
          </cell>
          <cell r="M472">
            <v>0</v>
          </cell>
          <cell r="N472">
            <v>0</v>
          </cell>
          <cell r="O472">
            <v>0</v>
          </cell>
          <cell r="P472">
            <v>0</v>
          </cell>
          <cell r="Q472">
            <v>0</v>
          </cell>
        </row>
        <row r="473">
          <cell r="A473">
            <v>60326</v>
          </cell>
          <cell r="B473" t="str">
            <v>Deduct - Current Yr</v>
          </cell>
          <cell r="E473">
            <v>0</v>
          </cell>
          <cell r="F473">
            <v>0</v>
          </cell>
          <cell r="G473">
            <v>0</v>
          </cell>
          <cell r="H473">
            <v>0</v>
          </cell>
          <cell r="I473">
            <v>0</v>
          </cell>
          <cell r="J473">
            <v>0</v>
          </cell>
          <cell r="K473">
            <v>0</v>
          </cell>
          <cell r="L473">
            <v>0</v>
          </cell>
          <cell r="M473">
            <v>0</v>
          </cell>
          <cell r="N473">
            <v>0</v>
          </cell>
          <cell r="O473">
            <v>0</v>
          </cell>
          <cell r="P473">
            <v>0</v>
          </cell>
          <cell r="Q473">
            <v>0</v>
          </cell>
        </row>
        <row r="474">
          <cell r="A474">
            <v>60327</v>
          </cell>
          <cell r="B474" t="str">
            <v>Deduct - Damage</v>
          </cell>
          <cell r="E474">
            <v>0</v>
          </cell>
          <cell r="F474">
            <v>0</v>
          </cell>
          <cell r="G474">
            <v>0</v>
          </cell>
          <cell r="H474">
            <v>0</v>
          </cell>
          <cell r="I474">
            <v>0</v>
          </cell>
          <cell r="J474">
            <v>0</v>
          </cell>
          <cell r="K474">
            <v>0</v>
          </cell>
          <cell r="L474">
            <v>0</v>
          </cell>
          <cell r="M474">
            <v>0</v>
          </cell>
          <cell r="N474">
            <v>0</v>
          </cell>
          <cell r="O474">
            <v>0</v>
          </cell>
          <cell r="P474">
            <v>0</v>
          </cell>
          <cell r="Q474">
            <v>0</v>
          </cell>
        </row>
        <row r="475">
          <cell r="A475">
            <v>60328</v>
          </cell>
          <cell r="B475" t="str">
            <v>Claim Recoveries</v>
          </cell>
          <cell r="E475">
            <v>0</v>
          </cell>
          <cell r="F475">
            <v>0</v>
          </cell>
          <cell r="G475">
            <v>0</v>
          </cell>
          <cell r="H475">
            <v>0</v>
          </cell>
          <cell r="I475">
            <v>0</v>
          </cell>
          <cell r="J475">
            <v>0</v>
          </cell>
          <cell r="K475">
            <v>0</v>
          </cell>
          <cell r="L475">
            <v>0</v>
          </cell>
          <cell r="M475">
            <v>0</v>
          </cell>
          <cell r="N475">
            <v>0</v>
          </cell>
          <cell r="O475">
            <v>0</v>
          </cell>
          <cell r="P475">
            <v>0</v>
          </cell>
          <cell r="Q475">
            <v>0</v>
          </cell>
        </row>
        <row r="476">
          <cell r="A476">
            <v>60330</v>
          </cell>
          <cell r="B476" t="str">
            <v>Deduct Prior Year</v>
          </cell>
          <cell r="E476">
            <v>0</v>
          </cell>
          <cell r="F476">
            <v>0</v>
          </cell>
          <cell r="G476">
            <v>0</v>
          </cell>
          <cell r="H476">
            <v>0</v>
          </cell>
          <cell r="I476">
            <v>0</v>
          </cell>
          <cell r="J476">
            <v>0</v>
          </cell>
          <cell r="K476">
            <v>0</v>
          </cell>
          <cell r="L476">
            <v>0</v>
          </cell>
          <cell r="M476">
            <v>0</v>
          </cell>
          <cell r="N476">
            <v>0</v>
          </cell>
          <cell r="O476">
            <v>0</v>
          </cell>
          <cell r="P476">
            <v>0</v>
          </cell>
          <cell r="Q476">
            <v>0</v>
          </cell>
        </row>
        <row r="477">
          <cell r="A477">
            <v>60335</v>
          </cell>
          <cell r="B477" t="str">
            <v>Miscellaneous</v>
          </cell>
          <cell r="E477">
            <v>0</v>
          </cell>
          <cell r="F477">
            <v>0</v>
          </cell>
          <cell r="G477">
            <v>0</v>
          </cell>
          <cell r="H477">
            <v>0</v>
          </cell>
          <cell r="I477">
            <v>0</v>
          </cell>
          <cell r="J477">
            <v>0</v>
          </cell>
          <cell r="K477">
            <v>0</v>
          </cell>
          <cell r="L477">
            <v>0</v>
          </cell>
          <cell r="M477">
            <v>0</v>
          </cell>
          <cell r="N477">
            <v>0</v>
          </cell>
          <cell r="O477">
            <v>0</v>
          </cell>
          <cell r="P477">
            <v>0</v>
          </cell>
          <cell r="Q477">
            <v>0</v>
          </cell>
        </row>
        <row r="478">
          <cell r="A478">
            <v>60998</v>
          </cell>
          <cell r="B478" t="str">
            <v>Allocation Out - District</v>
          </cell>
          <cell r="E478">
            <v>0</v>
          </cell>
          <cell r="F478">
            <v>0</v>
          </cell>
          <cell r="G478">
            <v>0</v>
          </cell>
          <cell r="H478">
            <v>0</v>
          </cell>
          <cell r="I478">
            <v>0</v>
          </cell>
          <cell r="J478">
            <v>0</v>
          </cell>
          <cell r="K478">
            <v>0</v>
          </cell>
          <cell r="L478">
            <v>0</v>
          </cell>
          <cell r="M478">
            <v>0</v>
          </cell>
          <cell r="N478">
            <v>0</v>
          </cell>
          <cell r="O478">
            <v>0</v>
          </cell>
          <cell r="P478">
            <v>0</v>
          </cell>
          <cell r="Q478">
            <v>0</v>
          </cell>
        </row>
        <row r="479">
          <cell r="A479">
            <v>60999</v>
          </cell>
          <cell r="B479" t="str">
            <v>Allocation Out - Out District</v>
          </cell>
          <cell r="E479">
            <v>0</v>
          </cell>
          <cell r="F479">
            <v>0</v>
          </cell>
          <cell r="G479">
            <v>0</v>
          </cell>
          <cell r="H479">
            <v>0</v>
          </cell>
          <cell r="I479">
            <v>0</v>
          </cell>
          <cell r="J479">
            <v>0</v>
          </cell>
          <cell r="K479">
            <v>0</v>
          </cell>
          <cell r="L479">
            <v>0</v>
          </cell>
          <cell r="M479">
            <v>0</v>
          </cell>
          <cell r="N479">
            <v>0</v>
          </cell>
          <cell r="O479">
            <v>0</v>
          </cell>
          <cell r="P479">
            <v>0</v>
          </cell>
          <cell r="Q479">
            <v>0</v>
          </cell>
        </row>
        <row r="480">
          <cell r="A480" t="str">
            <v>Total Sales</v>
          </cell>
          <cell r="E480">
            <v>15475.869999999999</v>
          </cell>
          <cell r="F480">
            <v>3397.64</v>
          </cell>
          <cell r="G480">
            <v>8291.84</v>
          </cell>
          <cell r="H480">
            <v>6745.61</v>
          </cell>
          <cell r="I480">
            <v>5730.7800000000007</v>
          </cell>
          <cell r="J480">
            <v>8055.06</v>
          </cell>
          <cell r="K480">
            <v>4763.8500000000004</v>
          </cell>
          <cell r="L480">
            <v>3584.5600000000004</v>
          </cell>
          <cell r="M480">
            <v>30541.21</v>
          </cell>
          <cell r="N480">
            <v>28325.119999999999</v>
          </cell>
          <cell r="O480">
            <v>3659.7200000000003</v>
          </cell>
          <cell r="P480">
            <v>38546.949999999997</v>
          </cell>
          <cell r="Q480">
            <v>157118.21</v>
          </cell>
        </row>
        <row r="482">
          <cell r="A482" t="str">
            <v>G&amp;A</v>
          </cell>
        </row>
        <row r="483">
          <cell r="A483">
            <v>70010</v>
          </cell>
          <cell r="B483" t="str">
            <v>Salaries</v>
          </cell>
          <cell r="E483">
            <v>31950.25</v>
          </cell>
          <cell r="F483">
            <v>29217.37</v>
          </cell>
          <cell r="G483">
            <v>34993.21</v>
          </cell>
          <cell r="H483">
            <v>32805.65</v>
          </cell>
          <cell r="I483">
            <v>33117.839999999997</v>
          </cell>
          <cell r="J483">
            <v>36102.11</v>
          </cell>
          <cell r="K483">
            <v>36862.230000000003</v>
          </cell>
          <cell r="L483">
            <v>32246.880000000001</v>
          </cell>
          <cell r="M483">
            <v>35474.660000000003</v>
          </cell>
          <cell r="N483">
            <v>34757.17</v>
          </cell>
          <cell r="O483">
            <v>34601.15</v>
          </cell>
          <cell r="P483">
            <v>36751.879999999997</v>
          </cell>
          <cell r="Q483">
            <v>408880.39999999997</v>
          </cell>
        </row>
        <row r="484">
          <cell r="A484">
            <v>70015</v>
          </cell>
          <cell r="B484" t="str">
            <v>Deferred Comp Earnings</v>
          </cell>
          <cell r="E484">
            <v>0</v>
          </cell>
          <cell r="F484">
            <v>0</v>
          </cell>
          <cell r="G484">
            <v>0</v>
          </cell>
          <cell r="H484">
            <v>0</v>
          </cell>
          <cell r="I484">
            <v>0</v>
          </cell>
          <cell r="J484">
            <v>0</v>
          </cell>
          <cell r="K484">
            <v>0</v>
          </cell>
          <cell r="L484">
            <v>0</v>
          </cell>
          <cell r="M484">
            <v>0</v>
          </cell>
          <cell r="N484">
            <v>0</v>
          </cell>
          <cell r="O484">
            <v>0</v>
          </cell>
          <cell r="P484">
            <v>0</v>
          </cell>
          <cell r="Q484">
            <v>0</v>
          </cell>
        </row>
        <row r="485">
          <cell r="A485">
            <v>70020</v>
          </cell>
          <cell r="B485" t="str">
            <v>Wages Regular</v>
          </cell>
          <cell r="E485">
            <v>39238.25</v>
          </cell>
          <cell r="F485">
            <v>41055.800000000003</v>
          </cell>
          <cell r="G485">
            <v>43441.67</v>
          </cell>
          <cell r="H485">
            <v>43159.68</v>
          </cell>
          <cell r="I485">
            <v>40707.99</v>
          </cell>
          <cell r="J485">
            <v>44340.75</v>
          </cell>
          <cell r="K485">
            <v>44034.15</v>
          </cell>
          <cell r="L485">
            <v>37123.65</v>
          </cell>
          <cell r="M485">
            <v>40606.129999999997</v>
          </cell>
          <cell r="N485">
            <v>42194.06</v>
          </cell>
          <cell r="O485">
            <v>45471.69</v>
          </cell>
          <cell r="P485">
            <v>48949.11</v>
          </cell>
          <cell r="Q485">
            <v>510322.93</v>
          </cell>
        </row>
        <row r="486">
          <cell r="A486">
            <v>70025</v>
          </cell>
          <cell r="B486" t="str">
            <v>Wages O.T.</v>
          </cell>
          <cell r="E486">
            <v>2096.58</v>
          </cell>
          <cell r="F486">
            <v>2256.92</v>
          </cell>
          <cell r="G486">
            <v>520.88</v>
          </cell>
          <cell r="H486">
            <v>1862.34</v>
          </cell>
          <cell r="I486">
            <v>3126.98</v>
          </cell>
          <cell r="J486">
            <v>1540.45</v>
          </cell>
          <cell r="K486">
            <v>2442.46</v>
          </cell>
          <cell r="L486">
            <v>2985.84</v>
          </cell>
          <cell r="M486">
            <v>1455.97</v>
          </cell>
          <cell r="N486">
            <v>1845.98</v>
          </cell>
          <cell r="O486">
            <v>2373.81</v>
          </cell>
          <cell r="P486">
            <v>1626.79</v>
          </cell>
          <cell r="Q486">
            <v>24135.000000000004</v>
          </cell>
        </row>
        <row r="487">
          <cell r="A487">
            <v>70030</v>
          </cell>
          <cell r="B487" t="str">
            <v>Corp Allocated Bonus</v>
          </cell>
          <cell r="E487">
            <v>0</v>
          </cell>
          <cell r="F487">
            <v>0</v>
          </cell>
          <cell r="G487">
            <v>0</v>
          </cell>
          <cell r="H487">
            <v>0</v>
          </cell>
          <cell r="I487">
            <v>0</v>
          </cell>
          <cell r="J487">
            <v>0</v>
          </cell>
          <cell r="K487">
            <v>0</v>
          </cell>
          <cell r="L487">
            <v>0</v>
          </cell>
          <cell r="M487">
            <v>0</v>
          </cell>
          <cell r="N487">
            <v>0</v>
          </cell>
          <cell r="O487">
            <v>0</v>
          </cell>
          <cell r="P487">
            <v>0</v>
          </cell>
          <cell r="Q487">
            <v>0</v>
          </cell>
        </row>
        <row r="488">
          <cell r="A488">
            <v>70035</v>
          </cell>
          <cell r="B488" t="str">
            <v>Safety Bonuses</v>
          </cell>
          <cell r="E488">
            <v>0</v>
          </cell>
          <cell r="F488">
            <v>0</v>
          </cell>
          <cell r="G488">
            <v>0</v>
          </cell>
          <cell r="H488">
            <v>0</v>
          </cell>
          <cell r="I488">
            <v>0</v>
          </cell>
          <cell r="J488">
            <v>0</v>
          </cell>
          <cell r="K488">
            <v>0</v>
          </cell>
          <cell r="L488">
            <v>0</v>
          </cell>
          <cell r="M488">
            <v>0</v>
          </cell>
          <cell r="N488">
            <v>0</v>
          </cell>
          <cell r="O488">
            <v>0</v>
          </cell>
          <cell r="P488">
            <v>0</v>
          </cell>
          <cell r="Q488">
            <v>0</v>
          </cell>
        </row>
        <row r="489">
          <cell r="A489">
            <v>70036</v>
          </cell>
          <cell r="B489" t="str">
            <v>Other Bonus/Commission - Non-Safety</v>
          </cell>
          <cell r="E489">
            <v>4809.7700000000004</v>
          </cell>
          <cell r="F489">
            <v>2140.23</v>
          </cell>
          <cell r="G489">
            <v>5107.6499999999996</v>
          </cell>
          <cell r="H489">
            <v>4226.5600000000004</v>
          </cell>
          <cell r="I489">
            <v>1425.85</v>
          </cell>
          <cell r="J489">
            <v>387.84</v>
          </cell>
          <cell r="K489">
            <v>100</v>
          </cell>
          <cell r="L489">
            <v>3426.61</v>
          </cell>
          <cell r="M489">
            <v>665.4</v>
          </cell>
          <cell r="N489">
            <v>-1015.84</v>
          </cell>
          <cell r="O489">
            <v>581.19000000000005</v>
          </cell>
          <cell r="P489">
            <v>5025.8500000000004</v>
          </cell>
          <cell r="Q489">
            <v>26881.11</v>
          </cell>
        </row>
        <row r="490">
          <cell r="A490">
            <v>70037</v>
          </cell>
          <cell r="B490" t="str">
            <v>Termination Pay</v>
          </cell>
          <cell r="E490">
            <v>0</v>
          </cell>
          <cell r="F490">
            <v>0</v>
          </cell>
          <cell r="G490">
            <v>0</v>
          </cell>
          <cell r="H490">
            <v>0</v>
          </cell>
          <cell r="I490">
            <v>0</v>
          </cell>
          <cell r="J490">
            <v>0</v>
          </cell>
          <cell r="K490">
            <v>0</v>
          </cell>
          <cell r="L490">
            <v>0</v>
          </cell>
          <cell r="M490">
            <v>0</v>
          </cell>
          <cell r="N490">
            <v>0</v>
          </cell>
          <cell r="O490">
            <v>0</v>
          </cell>
          <cell r="P490">
            <v>0</v>
          </cell>
          <cell r="Q490">
            <v>0</v>
          </cell>
        </row>
        <row r="491">
          <cell r="A491">
            <v>70045</v>
          </cell>
          <cell r="B491" t="str">
            <v>Contract Labor</v>
          </cell>
          <cell r="E491">
            <v>6680.67</v>
          </cell>
          <cell r="F491">
            <v>232.03</v>
          </cell>
          <cell r="G491">
            <v>0</v>
          </cell>
          <cell r="H491">
            <v>0</v>
          </cell>
          <cell r="I491">
            <v>0</v>
          </cell>
          <cell r="J491">
            <v>0</v>
          </cell>
          <cell r="K491">
            <v>0</v>
          </cell>
          <cell r="L491">
            <v>10440.92</v>
          </cell>
          <cell r="M491">
            <v>7401.37</v>
          </cell>
          <cell r="N491">
            <v>14152.75</v>
          </cell>
          <cell r="O491">
            <v>1820.49</v>
          </cell>
          <cell r="P491">
            <v>6453.68</v>
          </cell>
          <cell r="Q491">
            <v>47181.909999999996</v>
          </cell>
        </row>
        <row r="492">
          <cell r="A492">
            <v>70050</v>
          </cell>
          <cell r="B492" t="str">
            <v>Payroll Taxes</v>
          </cell>
          <cell r="E492">
            <v>9179.65</v>
          </cell>
          <cell r="F492">
            <v>6291.4</v>
          </cell>
          <cell r="G492">
            <v>7661.43</v>
          </cell>
          <cell r="H492">
            <v>6697.51</v>
          </cell>
          <cell r="I492">
            <v>6629.71</v>
          </cell>
          <cell r="J492">
            <v>7324.51</v>
          </cell>
          <cell r="K492">
            <v>5887.85</v>
          </cell>
          <cell r="L492">
            <v>5608.72</v>
          </cell>
          <cell r="M492">
            <v>5768.98</v>
          </cell>
          <cell r="N492">
            <v>5999.27</v>
          </cell>
          <cell r="O492">
            <v>6190.7</v>
          </cell>
          <cell r="P492">
            <v>6776.28</v>
          </cell>
          <cell r="Q492">
            <v>80016.009999999995</v>
          </cell>
        </row>
        <row r="493">
          <cell r="A493">
            <v>70060</v>
          </cell>
          <cell r="B493" t="str">
            <v>Group Insurance</v>
          </cell>
          <cell r="E493">
            <v>10365.61</v>
          </cell>
          <cell r="F493">
            <v>10230.65</v>
          </cell>
          <cell r="G493">
            <v>8851.43</v>
          </cell>
          <cell r="H493">
            <v>12049.32</v>
          </cell>
          <cell r="I493">
            <v>9943.51</v>
          </cell>
          <cell r="J493">
            <v>9742.43</v>
          </cell>
          <cell r="K493">
            <v>9734.74</v>
          </cell>
          <cell r="L493">
            <v>9561.06</v>
          </cell>
          <cell r="M493">
            <v>8494.4699999999993</v>
          </cell>
          <cell r="N493">
            <v>11177.83</v>
          </cell>
          <cell r="O493">
            <v>11411.65</v>
          </cell>
          <cell r="P493">
            <v>11731.69</v>
          </cell>
          <cell r="Q493">
            <v>123294.39</v>
          </cell>
        </row>
        <row r="494">
          <cell r="A494">
            <v>70065</v>
          </cell>
          <cell r="B494" t="str">
            <v>Vacation Pay</v>
          </cell>
          <cell r="E494">
            <v>5445.15</v>
          </cell>
          <cell r="F494">
            <v>2867.53</v>
          </cell>
          <cell r="G494">
            <v>2000.31</v>
          </cell>
          <cell r="H494">
            <v>3981.39</v>
          </cell>
          <cell r="I494">
            <v>4870.18</v>
          </cell>
          <cell r="J494">
            <v>3114.5</v>
          </cell>
          <cell r="K494">
            <v>4765.6099999999997</v>
          </cell>
          <cell r="L494">
            <v>2058.0100000000002</v>
          </cell>
          <cell r="M494">
            <v>3147.12</v>
          </cell>
          <cell r="N494">
            <v>4048.56</v>
          </cell>
          <cell r="O494">
            <v>2256.75</v>
          </cell>
          <cell r="P494">
            <v>3468.68</v>
          </cell>
          <cell r="Q494">
            <v>42023.79</v>
          </cell>
        </row>
        <row r="495">
          <cell r="A495">
            <v>70070</v>
          </cell>
          <cell r="B495" t="str">
            <v>Sick Pay</v>
          </cell>
          <cell r="E495">
            <v>334.55</v>
          </cell>
          <cell r="F495">
            <v>550.89</v>
          </cell>
          <cell r="G495">
            <v>1270.23</v>
          </cell>
          <cell r="H495">
            <v>745.77</v>
          </cell>
          <cell r="I495">
            <v>1246.57</v>
          </cell>
          <cell r="J495">
            <v>334.08</v>
          </cell>
          <cell r="K495">
            <v>365.29</v>
          </cell>
          <cell r="L495">
            <v>1258.6099999999999</v>
          </cell>
          <cell r="M495">
            <v>594.48</v>
          </cell>
          <cell r="N495">
            <v>799.28</v>
          </cell>
          <cell r="O495">
            <v>359.64</v>
          </cell>
          <cell r="P495">
            <v>428.72</v>
          </cell>
          <cell r="Q495">
            <v>8288.1099999999988</v>
          </cell>
        </row>
        <row r="496">
          <cell r="A496">
            <v>70086</v>
          </cell>
          <cell r="B496" t="str">
            <v>Safety and Training</v>
          </cell>
          <cell r="E496">
            <v>307.08999999999997</v>
          </cell>
          <cell r="F496">
            <v>-262.68</v>
          </cell>
          <cell r="G496">
            <v>0</v>
          </cell>
          <cell r="H496">
            <v>0</v>
          </cell>
          <cell r="I496">
            <v>0</v>
          </cell>
          <cell r="J496">
            <v>0</v>
          </cell>
          <cell r="K496">
            <v>0</v>
          </cell>
          <cell r="L496">
            <v>0</v>
          </cell>
          <cell r="M496">
            <v>146.11000000000001</v>
          </cell>
          <cell r="N496">
            <v>550</v>
          </cell>
          <cell r="O496">
            <v>70</v>
          </cell>
          <cell r="P496">
            <v>2091.2399999999998</v>
          </cell>
          <cell r="Q496">
            <v>2901.7599999999998</v>
          </cell>
        </row>
        <row r="497">
          <cell r="A497">
            <v>70090</v>
          </cell>
          <cell r="B497" t="str">
            <v>WCN Training</v>
          </cell>
          <cell r="E497">
            <v>0</v>
          </cell>
          <cell r="F497">
            <v>912.78</v>
          </cell>
          <cell r="G497">
            <v>0</v>
          </cell>
          <cell r="H497">
            <v>0</v>
          </cell>
          <cell r="I497">
            <v>0</v>
          </cell>
          <cell r="J497">
            <v>0</v>
          </cell>
          <cell r="K497">
            <v>0</v>
          </cell>
          <cell r="L497">
            <v>0</v>
          </cell>
          <cell r="M497">
            <v>0</v>
          </cell>
          <cell r="N497">
            <v>0</v>
          </cell>
          <cell r="O497">
            <v>0</v>
          </cell>
          <cell r="P497">
            <v>0</v>
          </cell>
          <cell r="Q497">
            <v>912.78</v>
          </cell>
        </row>
        <row r="498">
          <cell r="A498">
            <v>70095</v>
          </cell>
          <cell r="B498" t="str">
            <v>Empl &amp; Commun Activ</v>
          </cell>
          <cell r="E498">
            <v>14055.36</v>
          </cell>
          <cell r="F498">
            <v>3129.49</v>
          </cell>
          <cell r="G498">
            <v>-8366.42</v>
          </cell>
          <cell r="H498">
            <v>1482.03</v>
          </cell>
          <cell r="I498">
            <v>4740.3999999999996</v>
          </cell>
          <cell r="J498">
            <v>5688.11</v>
          </cell>
          <cell r="K498">
            <v>11283.12</v>
          </cell>
          <cell r="L498">
            <v>21266.09</v>
          </cell>
          <cell r="M498">
            <v>1553.42</v>
          </cell>
          <cell r="N498">
            <v>3453.38</v>
          </cell>
          <cell r="O498">
            <v>4558.05</v>
          </cell>
          <cell r="P498">
            <v>3947.63</v>
          </cell>
          <cell r="Q498">
            <v>66790.659999999989</v>
          </cell>
        </row>
        <row r="499">
          <cell r="A499">
            <v>70105</v>
          </cell>
          <cell r="B499" t="str">
            <v>Employee Relocation</v>
          </cell>
          <cell r="E499">
            <v>0</v>
          </cell>
          <cell r="F499">
            <v>0</v>
          </cell>
          <cell r="G499">
            <v>0</v>
          </cell>
          <cell r="H499">
            <v>0</v>
          </cell>
          <cell r="I499">
            <v>0</v>
          </cell>
          <cell r="J499">
            <v>0</v>
          </cell>
          <cell r="K499">
            <v>0</v>
          </cell>
          <cell r="L499">
            <v>0</v>
          </cell>
          <cell r="M499">
            <v>0</v>
          </cell>
          <cell r="N499">
            <v>0</v>
          </cell>
          <cell r="O499">
            <v>0</v>
          </cell>
          <cell r="P499">
            <v>0</v>
          </cell>
          <cell r="Q499">
            <v>0</v>
          </cell>
        </row>
        <row r="500">
          <cell r="A500">
            <v>70107</v>
          </cell>
          <cell r="B500" t="str">
            <v>Housing Subsidy</v>
          </cell>
          <cell r="E500">
            <v>0</v>
          </cell>
          <cell r="F500">
            <v>0</v>
          </cell>
          <cell r="G500">
            <v>0</v>
          </cell>
          <cell r="H500">
            <v>0</v>
          </cell>
          <cell r="I500">
            <v>0</v>
          </cell>
          <cell r="J500">
            <v>0</v>
          </cell>
          <cell r="K500">
            <v>0</v>
          </cell>
          <cell r="L500">
            <v>0</v>
          </cell>
          <cell r="M500">
            <v>0</v>
          </cell>
          <cell r="N500">
            <v>0</v>
          </cell>
          <cell r="O500">
            <v>0</v>
          </cell>
          <cell r="P500">
            <v>0</v>
          </cell>
          <cell r="Q500">
            <v>0</v>
          </cell>
        </row>
        <row r="501">
          <cell r="A501">
            <v>70108</v>
          </cell>
          <cell r="B501" t="str">
            <v>School Tuition</v>
          </cell>
          <cell r="E501">
            <v>0</v>
          </cell>
          <cell r="F501">
            <v>0</v>
          </cell>
          <cell r="G501">
            <v>0</v>
          </cell>
          <cell r="H501">
            <v>0</v>
          </cell>
          <cell r="I501">
            <v>0</v>
          </cell>
          <cell r="J501">
            <v>0</v>
          </cell>
          <cell r="K501">
            <v>0</v>
          </cell>
          <cell r="L501">
            <v>0</v>
          </cell>
          <cell r="M501">
            <v>0</v>
          </cell>
          <cell r="N501">
            <v>0</v>
          </cell>
          <cell r="O501">
            <v>0</v>
          </cell>
          <cell r="P501">
            <v>0</v>
          </cell>
          <cell r="Q501">
            <v>0</v>
          </cell>
        </row>
        <row r="502">
          <cell r="A502">
            <v>70110</v>
          </cell>
          <cell r="B502" t="str">
            <v>Contributions</v>
          </cell>
          <cell r="E502">
            <v>937.5</v>
          </cell>
          <cell r="F502">
            <v>-1250</v>
          </cell>
          <cell r="G502">
            <v>500</v>
          </cell>
          <cell r="H502">
            <v>2250</v>
          </cell>
          <cell r="I502">
            <v>250</v>
          </cell>
          <cell r="J502">
            <v>500</v>
          </cell>
          <cell r="K502">
            <v>1191.54</v>
          </cell>
          <cell r="L502">
            <v>500</v>
          </cell>
          <cell r="M502">
            <v>0</v>
          </cell>
          <cell r="N502">
            <v>0</v>
          </cell>
          <cell r="O502">
            <v>500</v>
          </cell>
          <cell r="P502">
            <v>0</v>
          </cell>
          <cell r="Q502">
            <v>5379.04</v>
          </cell>
        </row>
        <row r="503">
          <cell r="A503">
            <v>70111</v>
          </cell>
          <cell r="B503" t="str">
            <v>Non Cash Charitable</v>
          </cell>
          <cell r="E503">
            <v>0</v>
          </cell>
          <cell r="F503">
            <v>0</v>
          </cell>
          <cell r="G503">
            <v>0</v>
          </cell>
          <cell r="H503">
            <v>0</v>
          </cell>
          <cell r="I503">
            <v>0</v>
          </cell>
          <cell r="J503">
            <v>0</v>
          </cell>
          <cell r="K503">
            <v>0</v>
          </cell>
          <cell r="L503">
            <v>0</v>
          </cell>
          <cell r="M503">
            <v>0</v>
          </cell>
          <cell r="N503">
            <v>0</v>
          </cell>
          <cell r="O503">
            <v>0</v>
          </cell>
          <cell r="P503">
            <v>0</v>
          </cell>
          <cell r="Q503">
            <v>0</v>
          </cell>
        </row>
        <row r="504">
          <cell r="A504">
            <v>70112</v>
          </cell>
          <cell r="B504" t="str">
            <v>Political Contributions</v>
          </cell>
          <cell r="E504">
            <v>0</v>
          </cell>
          <cell r="F504">
            <v>0</v>
          </cell>
          <cell r="G504">
            <v>0</v>
          </cell>
          <cell r="H504">
            <v>1250</v>
          </cell>
          <cell r="I504">
            <v>0</v>
          </cell>
          <cell r="J504">
            <v>0</v>
          </cell>
          <cell r="K504">
            <v>1250</v>
          </cell>
          <cell r="L504">
            <v>0</v>
          </cell>
          <cell r="M504">
            <v>500</v>
          </cell>
          <cell r="N504">
            <v>250</v>
          </cell>
          <cell r="O504">
            <v>0</v>
          </cell>
          <cell r="P504">
            <v>0</v>
          </cell>
          <cell r="Q504">
            <v>3250</v>
          </cell>
        </row>
        <row r="505">
          <cell r="A505">
            <v>70116</v>
          </cell>
          <cell r="B505" t="str">
            <v>Pension and Profit Sharing</v>
          </cell>
          <cell r="E505">
            <v>991.8</v>
          </cell>
          <cell r="F505">
            <v>1061.8</v>
          </cell>
          <cell r="G505">
            <v>1561.6</v>
          </cell>
          <cell r="H505">
            <v>1001.55</v>
          </cell>
          <cell r="I505">
            <v>1064.48</v>
          </cell>
          <cell r="J505">
            <v>880.04</v>
          </cell>
          <cell r="K505">
            <v>837.46</v>
          </cell>
          <cell r="L505">
            <v>818.44</v>
          </cell>
          <cell r="M505">
            <v>814.08</v>
          </cell>
          <cell r="N505">
            <v>1291.5999999999999</v>
          </cell>
          <cell r="O505">
            <v>832.75</v>
          </cell>
          <cell r="P505">
            <v>978.78</v>
          </cell>
          <cell r="Q505">
            <v>12134.380000000001</v>
          </cell>
        </row>
        <row r="506">
          <cell r="A506">
            <v>70117</v>
          </cell>
          <cell r="B506" t="str">
            <v>Union Pension</v>
          </cell>
          <cell r="E506">
            <v>0</v>
          </cell>
          <cell r="F506">
            <v>0</v>
          </cell>
          <cell r="G506">
            <v>0</v>
          </cell>
          <cell r="H506">
            <v>0</v>
          </cell>
          <cell r="I506">
            <v>0</v>
          </cell>
          <cell r="J506">
            <v>0</v>
          </cell>
          <cell r="K506">
            <v>0</v>
          </cell>
          <cell r="L506">
            <v>0</v>
          </cell>
          <cell r="M506">
            <v>0</v>
          </cell>
          <cell r="N506">
            <v>0</v>
          </cell>
          <cell r="O506">
            <v>0</v>
          </cell>
          <cell r="P506">
            <v>0</v>
          </cell>
          <cell r="Q506">
            <v>0</v>
          </cell>
        </row>
        <row r="507">
          <cell r="A507">
            <v>70142</v>
          </cell>
          <cell r="B507" t="str">
            <v>Fuel Expense</v>
          </cell>
          <cell r="E507">
            <v>0</v>
          </cell>
          <cell r="F507">
            <v>0</v>
          </cell>
          <cell r="G507">
            <v>0</v>
          </cell>
          <cell r="H507">
            <v>0</v>
          </cell>
          <cell r="I507">
            <v>0</v>
          </cell>
          <cell r="J507">
            <v>0</v>
          </cell>
          <cell r="K507">
            <v>0</v>
          </cell>
          <cell r="L507">
            <v>0</v>
          </cell>
          <cell r="M507">
            <v>0</v>
          </cell>
          <cell r="N507">
            <v>0</v>
          </cell>
          <cell r="O507">
            <v>0</v>
          </cell>
          <cell r="P507">
            <v>0</v>
          </cell>
          <cell r="Q507">
            <v>0</v>
          </cell>
        </row>
        <row r="508">
          <cell r="A508">
            <v>70145</v>
          </cell>
          <cell r="B508" t="str">
            <v>Outside Repairs</v>
          </cell>
          <cell r="E508">
            <v>0</v>
          </cell>
          <cell r="F508">
            <v>0</v>
          </cell>
          <cell r="G508">
            <v>0</v>
          </cell>
          <cell r="H508">
            <v>0</v>
          </cell>
          <cell r="I508">
            <v>0</v>
          </cell>
          <cell r="J508">
            <v>0</v>
          </cell>
          <cell r="K508">
            <v>0</v>
          </cell>
          <cell r="L508">
            <v>0</v>
          </cell>
          <cell r="M508">
            <v>0</v>
          </cell>
          <cell r="N508">
            <v>0</v>
          </cell>
          <cell r="O508">
            <v>0</v>
          </cell>
          <cell r="P508">
            <v>0</v>
          </cell>
          <cell r="Q508">
            <v>0</v>
          </cell>
        </row>
        <row r="509">
          <cell r="A509">
            <v>70147</v>
          </cell>
          <cell r="B509" t="str">
            <v>Bldg &amp; Property Maint</v>
          </cell>
          <cell r="E509">
            <v>0</v>
          </cell>
          <cell r="F509">
            <v>0</v>
          </cell>
          <cell r="G509">
            <v>0</v>
          </cell>
          <cell r="H509">
            <v>0</v>
          </cell>
          <cell r="I509">
            <v>0</v>
          </cell>
          <cell r="J509">
            <v>0</v>
          </cell>
          <cell r="K509">
            <v>0</v>
          </cell>
          <cell r="L509">
            <v>0</v>
          </cell>
          <cell r="M509">
            <v>0</v>
          </cell>
          <cell r="N509">
            <v>0</v>
          </cell>
          <cell r="O509">
            <v>0</v>
          </cell>
          <cell r="P509">
            <v>0</v>
          </cell>
          <cell r="Q509">
            <v>0</v>
          </cell>
        </row>
        <row r="510">
          <cell r="A510">
            <v>70148</v>
          </cell>
          <cell r="B510" t="str">
            <v>Allocated Exp In - District</v>
          </cell>
          <cell r="E510">
            <v>9455.33</v>
          </cell>
          <cell r="F510">
            <v>10366.76</v>
          </cell>
          <cell r="G510">
            <v>12777.28</v>
          </cell>
          <cell r="H510">
            <v>9429.9599999999991</v>
          </cell>
          <cell r="I510">
            <v>4111.67</v>
          </cell>
          <cell r="J510">
            <v>13752.97</v>
          </cell>
          <cell r="K510">
            <v>28825.42</v>
          </cell>
          <cell r="L510">
            <v>23366.78</v>
          </cell>
          <cell r="M510">
            <v>-1234.82</v>
          </cell>
          <cell r="N510">
            <v>8735.3799999999992</v>
          </cell>
          <cell r="O510">
            <v>11153.09</v>
          </cell>
          <cell r="P510">
            <v>9005.61</v>
          </cell>
          <cell r="Q510">
            <v>139745.43</v>
          </cell>
        </row>
        <row r="511">
          <cell r="A511">
            <v>70150</v>
          </cell>
          <cell r="B511" t="str">
            <v>Utilities</v>
          </cell>
          <cell r="E511">
            <v>1142.2</v>
          </cell>
          <cell r="F511">
            <v>1092.4000000000001</v>
          </cell>
          <cell r="G511">
            <v>1092.57</v>
          </cell>
          <cell r="H511">
            <v>1056.2</v>
          </cell>
          <cell r="I511">
            <v>971.23</v>
          </cell>
          <cell r="J511">
            <v>927.16</v>
          </cell>
          <cell r="K511">
            <v>0</v>
          </cell>
          <cell r="L511">
            <v>869.77</v>
          </cell>
          <cell r="M511">
            <v>868.91</v>
          </cell>
          <cell r="N511">
            <v>878.75</v>
          </cell>
          <cell r="O511">
            <v>973.97</v>
          </cell>
          <cell r="P511">
            <v>1678.97</v>
          </cell>
          <cell r="Q511">
            <v>11552.13</v>
          </cell>
        </row>
        <row r="512">
          <cell r="A512">
            <v>70165</v>
          </cell>
          <cell r="B512" t="str">
            <v>Communications</v>
          </cell>
          <cell r="E512">
            <v>1837.34</v>
          </cell>
          <cell r="F512">
            <v>1811.33</v>
          </cell>
          <cell r="G512">
            <v>2247.1</v>
          </cell>
          <cell r="H512">
            <v>1908.93</v>
          </cell>
          <cell r="I512">
            <v>2066.65</v>
          </cell>
          <cell r="J512">
            <v>2198.11</v>
          </cell>
          <cell r="K512">
            <v>2042.44</v>
          </cell>
          <cell r="L512">
            <v>2129.4</v>
          </cell>
          <cell r="M512">
            <v>2270.06</v>
          </cell>
          <cell r="N512">
            <v>2682.39</v>
          </cell>
          <cell r="O512">
            <v>1762.11</v>
          </cell>
          <cell r="P512">
            <v>2834.19</v>
          </cell>
          <cell r="Q512">
            <v>25790.05</v>
          </cell>
        </row>
        <row r="513">
          <cell r="A513">
            <v>70166</v>
          </cell>
          <cell r="B513" t="str">
            <v>Office Telephone</v>
          </cell>
          <cell r="E513">
            <v>0</v>
          </cell>
          <cell r="F513">
            <v>0</v>
          </cell>
          <cell r="G513">
            <v>0</v>
          </cell>
          <cell r="H513">
            <v>0</v>
          </cell>
          <cell r="I513">
            <v>0</v>
          </cell>
          <cell r="J513">
            <v>0</v>
          </cell>
          <cell r="K513">
            <v>0</v>
          </cell>
          <cell r="L513">
            <v>0</v>
          </cell>
          <cell r="M513">
            <v>0</v>
          </cell>
          <cell r="N513">
            <v>0</v>
          </cell>
          <cell r="O513">
            <v>0</v>
          </cell>
          <cell r="P513">
            <v>0</v>
          </cell>
          <cell r="Q513">
            <v>0</v>
          </cell>
        </row>
        <row r="514">
          <cell r="A514">
            <v>70167</v>
          </cell>
          <cell r="B514" t="str">
            <v>Cellular Telephone</v>
          </cell>
          <cell r="E514">
            <v>156.94999999999999</v>
          </cell>
          <cell r="F514">
            <v>186.7</v>
          </cell>
          <cell r="G514">
            <v>355.41</v>
          </cell>
          <cell r="H514">
            <v>205.54</v>
          </cell>
          <cell r="I514">
            <v>168.04</v>
          </cell>
          <cell r="J514">
            <v>205.54</v>
          </cell>
          <cell r="K514">
            <v>356.92</v>
          </cell>
          <cell r="L514">
            <v>187.5</v>
          </cell>
          <cell r="M514">
            <v>75</v>
          </cell>
          <cell r="N514">
            <v>223.5</v>
          </cell>
          <cell r="O514">
            <v>226.5</v>
          </cell>
          <cell r="P514">
            <v>150</v>
          </cell>
          <cell r="Q514">
            <v>2497.6</v>
          </cell>
        </row>
        <row r="515">
          <cell r="A515">
            <v>70170</v>
          </cell>
          <cell r="B515" t="str">
            <v>Real Estate Rentals</v>
          </cell>
          <cell r="E515">
            <v>0</v>
          </cell>
          <cell r="F515">
            <v>0</v>
          </cell>
          <cell r="G515">
            <v>0</v>
          </cell>
          <cell r="H515">
            <v>0</v>
          </cell>
          <cell r="I515">
            <v>0</v>
          </cell>
          <cell r="J515">
            <v>0</v>
          </cell>
          <cell r="K515">
            <v>0</v>
          </cell>
          <cell r="L515">
            <v>0</v>
          </cell>
          <cell r="M515">
            <v>0</v>
          </cell>
          <cell r="N515">
            <v>0</v>
          </cell>
          <cell r="O515">
            <v>0</v>
          </cell>
          <cell r="P515">
            <v>0</v>
          </cell>
          <cell r="Q515">
            <v>0</v>
          </cell>
        </row>
        <row r="516">
          <cell r="A516">
            <v>70175</v>
          </cell>
          <cell r="B516" t="str">
            <v>Equip/Vehicle Rental</v>
          </cell>
          <cell r="E516">
            <v>0</v>
          </cell>
          <cell r="F516">
            <v>0</v>
          </cell>
          <cell r="G516">
            <v>0</v>
          </cell>
          <cell r="H516">
            <v>0</v>
          </cell>
          <cell r="I516">
            <v>0</v>
          </cell>
          <cell r="J516">
            <v>0</v>
          </cell>
          <cell r="K516">
            <v>0</v>
          </cell>
          <cell r="L516">
            <v>0</v>
          </cell>
          <cell r="M516">
            <v>0</v>
          </cell>
          <cell r="N516">
            <v>0</v>
          </cell>
          <cell r="O516">
            <v>0</v>
          </cell>
          <cell r="P516">
            <v>0</v>
          </cell>
          <cell r="Q516">
            <v>0</v>
          </cell>
        </row>
        <row r="517">
          <cell r="A517">
            <v>70185</v>
          </cell>
          <cell r="B517" t="str">
            <v>Postage</v>
          </cell>
          <cell r="E517">
            <v>1663.37</v>
          </cell>
          <cell r="F517">
            <v>1464.26</v>
          </cell>
          <cell r="G517">
            <v>492.87</v>
          </cell>
          <cell r="H517">
            <v>1792.31</v>
          </cell>
          <cell r="I517">
            <v>1736.3</v>
          </cell>
          <cell r="J517">
            <v>1600.37</v>
          </cell>
          <cell r="K517">
            <v>417.65</v>
          </cell>
          <cell r="L517">
            <v>1589.73</v>
          </cell>
          <cell r="M517">
            <v>1686.05</v>
          </cell>
          <cell r="N517">
            <v>1653.87</v>
          </cell>
          <cell r="O517">
            <v>1642.82</v>
          </cell>
          <cell r="P517">
            <v>1641.55</v>
          </cell>
          <cell r="Q517">
            <v>17381.149999999998</v>
          </cell>
        </row>
        <row r="518">
          <cell r="A518">
            <v>70190</v>
          </cell>
          <cell r="B518" t="str">
            <v>Registration Fees</v>
          </cell>
          <cell r="E518">
            <v>0</v>
          </cell>
          <cell r="F518">
            <v>0</v>
          </cell>
          <cell r="G518">
            <v>0</v>
          </cell>
          <cell r="H518">
            <v>0</v>
          </cell>
          <cell r="I518">
            <v>0</v>
          </cell>
          <cell r="J518">
            <v>244</v>
          </cell>
          <cell r="K518">
            <v>-244</v>
          </cell>
          <cell r="L518">
            <v>0</v>
          </cell>
          <cell r="M518">
            <v>0</v>
          </cell>
          <cell r="N518">
            <v>450</v>
          </cell>
          <cell r="O518">
            <v>80</v>
          </cell>
          <cell r="P518">
            <v>5</v>
          </cell>
          <cell r="Q518">
            <v>535</v>
          </cell>
        </row>
        <row r="519">
          <cell r="A519">
            <v>70195</v>
          </cell>
          <cell r="B519" t="str">
            <v>Dues and Subscriptions</v>
          </cell>
          <cell r="E519">
            <v>734.67</v>
          </cell>
          <cell r="F519">
            <v>3500</v>
          </cell>
          <cell r="G519">
            <v>654.66999999999996</v>
          </cell>
          <cell r="H519">
            <v>3788.33</v>
          </cell>
          <cell r="I519">
            <v>831.17</v>
          </cell>
          <cell r="J519">
            <v>2522.33</v>
          </cell>
          <cell r="K519">
            <v>3255.67</v>
          </cell>
          <cell r="L519">
            <v>3419.03</v>
          </cell>
          <cell r="M519">
            <v>1208.23</v>
          </cell>
          <cell r="N519">
            <v>2099.1799999999998</v>
          </cell>
          <cell r="O519">
            <v>3420.89</v>
          </cell>
          <cell r="P519">
            <v>1716.89</v>
          </cell>
          <cell r="Q519">
            <v>27151.059999999998</v>
          </cell>
        </row>
        <row r="520">
          <cell r="A520">
            <v>70196</v>
          </cell>
          <cell r="B520" t="str">
            <v>Club Dues</v>
          </cell>
          <cell r="E520">
            <v>0</v>
          </cell>
          <cell r="F520">
            <v>0</v>
          </cell>
          <cell r="G520">
            <v>0</v>
          </cell>
          <cell r="H520">
            <v>0</v>
          </cell>
          <cell r="I520">
            <v>0</v>
          </cell>
          <cell r="J520">
            <v>0</v>
          </cell>
          <cell r="K520">
            <v>0</v>
          </cell>
          <cell r="L520">
            <v>0</v>
          </cell>
          <cell r="M520">
            <v>0</v>
          </cell>
          <cell r="N520">
            <v>0</v>
          </cell>
          <cell r="O520">
            <v>0</v>
          </cell>
          <cell r="P520">
            <v>0</v>
          </cell>
          <cell r="Q520">
            <v>0</v>
          </cell>
        </row>
        <row r="521">
          <cell r="A521">
            <v>70200</v>
          </cell>
          <cell r="B521" t="str">
            <v>Travel</v>
          </cell>
          <cell r="E521">
            <v>225.54</v>
          </cell>
          <cell r="F521">
            <v>769.5</v>
          </cell>
          <cell r="G521">
            <v>907.05</v>
          </cell>
          <cell r="H521">
            <v>0</v>
          </cell>
          <cell r="I521">
            <v>627.9</v>
          </cell>
          <cell r="J521">
            <v>18.75</v>
          </cell>
          <cell r="K521">
            <v>51</v>
          </cell>
          <cell r="L521">
            <v>-46.5</v>
          </cell>
          <cell r="M521">
            <v>1021.88</v>
          </cell>
          <cell r="N521">
            <v>876</v>
          </cell>
          <cell r="O521">
            <v>92.25</v>
          </cell>
          <cell r="P521">
            <v>339.6</v>
          </cell>
          <cell r="Q521">
            <v>4882.97</v>
          </cell>
        </row>
        <row r="522">
          <cell r="A522">
            <v>70201</v>
          </cell>
          <cell r="B522" t="str">
            <v>Entertainment</v>
          </cell>
          <cell r="E522">
            <v>0</v>
          </cell>
          <cell r="F522">
            <v>23.53</v>
          </cell>
          <cell r="G522">
            <v>0</v>
          </cell>
          <cell r="H522">
            <v>321.41000000000003</v>
          </cell>
          <cell r="I522">
            <v>0</v>
          </cell>
          <cell r="J522">
            <v>341.1</v>
          </cell>
          <cell r="K522">
            <v>728.42</v>
          </cell>
          <cell r="L522">
            <v>-72.099999999999994</v>
          </cell>
          <cell r="M522">
            <v>0</v>
          </cell>
          <cell r="N522">
            <v>41.89</v>
          </cell>
          <cell r="O522">
            <v>0</v>
          </cell>
          <cell r="P522">
            <v>0</v>
          </cell>
          <cell r="Q522">
            <v>1384.2500000000002</v>
          </cell>
        </row>
        <row r="523">
          <cell r="A523">
            <v>70202</v>
          </cell>
          <cell r="B523" t="str">
            <v>Excursions Meetings</v>
          </cell>
          <cell r="E523">
            <v>300</v>
          </cell>
          <cell r="F523">
            <v>345.51</v>
          </cell>
          <cell r="G523">
            <v>0</v>
          </cell>
          <cell r="H523">
            <v>0</v>
          </cell>
          <cell r="I523">
            <v>485</v>
          </cell>
          <cell r="J523">
            <v>1248.75</v>
          </cell>
          <cell r="K523">
            <v>0</v>
          </cell>
          <cell r="L523">
            <v>288.39999999999998</v>
          </cell>
          <cell r="M523">
            <v>0</v>
          </cell>
          <cell r="N523">
            <v>0</v>
          </cell>
          <cell r="O523">
            <v>279</v>
          </cell>
          <cell r="P523">
            <v>0</v>
          </cell>
          <cell r="Q523">
            <v>2946.6600000000003</v>
          </cell>
        </row>
        <row r="524">
          <cell r="A524">
            <v>70203</v>
          </cell>
          <cell r="B524" t="str">
            <v>Lodging</v>
          </cell>
          <cell r="E524">
            <v>462.54</v>
          </cell>
          <cell r="F524">
            <v>0</v>
          </cell>
          <cell r="G524">
            <v>0</v>
          </cell>
          <cell r="H524">
            <v>653.4</v>
          </cell>
          <cell r="I524">
            <v>579</v>
          </cell>
          <cell r="J524">
            <v>0</v>
          </cell>
          <cell r="K524">
            <v>797.67</v>
          </cell>
          <cell r="L524">
            <v>618.57000000000005</v>
          </cell>
          <cell r="M524">
            <v>382.5</v>
          </cell>
          <cell r="N524">
            <v>140.19999999999999</v>
          </cell>
          <cell r="O524">
            <v>457.4</v>
          </cell>
          <cell r="P524">
            <v>1133.44</v>
          </cell>
          <cell r="Q524">
            <v>5224.72</v>
          </cell>
        </row>
        <row r="525">
          <cell r="A525">
            <v>70204</v>
          </cell>
          <cell r="B525" t="str">
            <v>Gifts to Customers</v>
          </cell>
          <cell r="E525">
            <v>0</v>
          </cell>
          <cell r="F525">
            <v>0</v>
          </cell>
          <cell r="G525">
            <v>0</v>
          </cell>
          <cell r="H525">
            <v>0</v>
          </cell>
          <cell r="I525">
            <v>0</v>
          </cell>
          <cell r="J525">
            <v>0</v>
          </cell>
          <cell r="K525">
            <v>0</v>
          </cell>
          <cell r="L525">
            <v>0</v>
          </cell>
          <cell r="M525">
            <v>0</v>
          </cell>
          <cell r="N525">
            <v>0</v>
          </cell>
          <cell r="O525">
            <v>0</v>
          </cell>
          <cell r="P525">
            <v>0</v>
          </cell>
          <cell r="Q525">
            <v>0</v>
          </cell>
        </row>
        <row r="526">
          <cell r="A526">
            <v>70205</v>
          </cell>
          <cell r="B526" t="str">
            <v>Travel - Auto</v>
          </cell>
          <cell r="E526">
            <v>592.16</v>
          </cell>
          <cell r="F526">
            <v>812.81</v>
          </cell>
          <cell r="G526">
            <v>372.79</v>
          </cell>
          <cell r="H526">
            <v>924.67</v>
          </cell>
          <cell r="I526">
            <v>591.26</v>
          </cell>
          <cell r="J526">
            <v>614.52</v>
          </cell>
          <cell r="K526">
            <v>370.59</v>
          </cell>
          <cell r="L526">
            <v>811.62</v>
          </cell>
          <cell r="M526">
            <v>291.60000000000002</v>
          </cell>
          <cell r="N526">
            <v>789.52</v>
          </cell>
          <cell r="O526">
            <v>730.2</v>
          </cell>
          <cell r="P526">
            <v>523.23</v>
          </cell>
          <cell r="Q526">
            <v>7424.9699999999993</v>
          </cell>
        </row>
        <row r="527">
          <cell r="A527">
            <v>70206</v>
          </cell>
          <cell r="B527" t="str">
            <v>Meals</v>
          </cell>
          <cell r="E527">
            <v>155.22</v>
          </cell>
          <cell r="F527">
            <v>199.8</v>
          </cell>
          <cell r="G527">
            <v>112.98</v>
          </cell>
          <cell r="H527">
            <v>115.92</v>
          </cell>
          <cell r="I527">
            <v>277.83</v>
          </cell>
          <cell r="J527">
            <v>270.38</v>
          </cell>
          <cell r="K527">
            <v>579.17999999999995</v>
          </cell>
          <cell r="L527">
            <v>-136.55000000000001</v>
          </cell>
          <cell r="M527">
            <v>50</v>
          </cell>
          <cell r="N527">
            <v>287</v>
          </cell>
          <cell r="O527">
            <v>150.02000000000001</v>
          </cell>
          <cell r="P527">
            <v>59.7</v>
          </cell>
          <cell r="Q527">
            <v>2121.48</v>
          </cell>
        </row>
        <row r="528">
          <cell r="A528">
            <v>70207</v>
          </cell>
          <cell r="B528" t="str">
            <v>Meals with Customers</v>
          </cell>
          <cell r="E528">
            <v>0</v>
          </cell>
          <cell r="F528">
            <v>0</v>
          </cell>
          <cell r="G528">
            <v>0</v>
          </cell>
          <cell r="H528">
            <v>0</v>
          </cell>
          <cell r="I528">
            <v>0</v>
          </cell>
          <cell r="J528">
            <v>0</v>
          </cell>
          <cell r="K528">
            <v>0</v>
          </cell>
          <cell r="L528">
            <v>0</v>
          </cell>
          <cell r="M528">
            <v>0</v>
          </cell>
          <cell r="N528">
            <v>3.75</v>
          </cell>
          <cell r="O528">
            <v>0</v>
          </cell>
          <cell r="P528">
            <v>0</v>
          </cell>
          <cell r="Q528">
            <v>3.75</v>
          </cell>
        </row>
        <row r="529">
          <cell r="A529">
            <v>70209</v>
          </cell>
          <cell r="B529" t="str">
            <v>Photo Supplies</v>
          </cell>
          <cell r="E529">
            <v>0</v>
          </cell>
          <cell r="F529">
            <v>0</v>
          </cell>
          <cell r="G529">
            <v>0</v>
          </cell>
          <cell r="H529">
            <v>0</v>
          </cell>
          <cell r="I529">
            <v>0</v>
          </cell>
          <cell r="J529">
            <v>0</v>
          </cell>
          <cell r="K529">
            <v>0</v>
          </cell>
          <cell r="L529">
            <v>0</v>
          </cell>
          <cell r="M529">
            <v>0</v>
          </cell>
          <cell r="N529">
            <v>0</v>
          </cell>
          <cell r="O529">
            <v>0</v>
          </cell>
          <cell r="P529">
            <v>0</v>
          </cell>
          <cell r="Q529">
            <v>0</v>
          </cell>
        </row>
        <row r="530">
          <cell r="A530">
            <v>70210</v>
          </cell>
          <cell r="B530" t="str">
            <v>Office Supplies and Equip</v>
          </cell>
          <cell r="E530">
            <v>7068.1</v>
          </cell>
          <cell r="F530">
            <v>6155.01</v>
          </cell>
          <cell r="G530">
            <v>3868.92</v>
          </cell>
          <cell r="H530">
            <v>3782.02</v>
          </cell>
          <cell r="I530">
            <v>2862.22</v>
          </cell>
          <cell r="J530">
            <v>4721.92</v>
          </cell>
          <cell r="K530">
            <v>5210.1099999999997</v>
          </cell>
          <cell r="L530">
            <v>4854.1400000000003</v>
          </cell>
          <cell r="M530">
            <v>4059.64</v>
          </cell>
          <cell r="N530">
            <v>7017.47</v>
          </cell>
          <cell r="O530">
            <v>1056.94</v>
          </cell>
          <cell r="P530">
            <v>7841.63</v>
          </cell>
          <cell r="Q530">
            <v>58498.12</v>
          </cell>
        </row>
        <row r="531">
          <cell r="A531">
            <v>70213</v>
          </cell>
          <cell r="B531" t="str">
            <v>P-Card Rebate</v>
          </cell>
          <cell r="E531">
            <v>0</v>
          </cell>
          <cell r="F531">
            <v>0</v>
          </cell>
          <cell r="G531">
            <v>0</v>
          </cell>
          <cell r="H531">
            <v>0</v>
          </cell>
          <cell r="I531">
            <v>0</v>
          </cell>
          <cell r="J531">
            <v>0</v>
          </cell>
          <cell r="K531">
            <v>0</v>
          </cell>
          <cell r="L531">
            <v>0</v>
          </cell>
          <cell r="M531">
            <v>0</v>
          </cell>
          <cell r="N531">
            <v>0</v>
          </cell>
          <cell r="O531">
            <v>0</v>
          </cell>
          <cell r="P531">
            <v>0</v>
          </cell>
          <cell r="Q531">
            <v>0</v>
          </cell>
        </row>
        <row r="532">
          <cell r="A532">
            <v>70214</v>
          </cell>
          <cell r="B532" t="str">
            <v>Credit Card Fees</v>
          </cell>
          <cell r="E532">
            <v>7453.96</v>
          </cell>
          <cell r="F532">
            <v>8072.47</v>
          </cell>
          <cell r="G532">
            <v>8471.26</v>
          </cell>
          <cell r="H532">
            <v>7487.53</v>
          </cell>
          <cell r="I532">
            <v>7402.35</v>
          </cell>
          <cell r="J532">
            <v>8604.07</v>
          </cell>
          <cell r="K532">
            <v>8742.07</v>
          </cell>
          <cell r="L532">
            <v>9298.84</v>
          </cell>
          <cell r="M532">
            <v>9731.43</v>
          </cell>
          <cell r="N532">
            <v>9257.65</v>
          </cell>
          <cell r="O532">
            <v>10120.43</v>
          </cell>
          <cell r="P532">
            <v>9008.27</v>
          </cell>
          <cell r="Q532">
            <v>103650.33</v>
          </cell>
        </row>
        <row r="533">
          <cell r="A533">
            <v>70215</v>
          </cell>
          <cell r="B533" t="str">
            <v>Bank Charges</v>
          </cell>
          <cell r="E533">
            <v>520.58000000000004</v>
          </cell>
          <cell r="F533">
            <v>527.17999999999995</v>
          </cell>
          <cell r="G533">
            <v>539.19000000000005</v>
          </cell>
          <cell r="H533">
            <v>530.33000000000004</v>
          </cell>
          <cell r="I533">
            <v>471.57</v>
          </cell>
          <cell r="J533">
            <v>491.42</v>
          </cell>
          <cell r="K533">
            <v>465.31</v>
          </cell>
          <cell r="L533">
            <v>559.30999999999995</v>
          </cell>
          <cell r="M533">
            <v>476.99</v>
          </cell>
          <cell r="N533">
            <v>385.37</v>
          </cell>
          <cell r="O533">
            <v>367.56</v>
          </cell>
          <cell r="P533">
            <v>638.20000000000005</v>
          </cell>
          <cell r="Q533">
            <v>5973.01</v>
          </cell>
        </row>
        <row r="534">
          <cell r="A534">
            <v>70216</v>
          </cell>
          <cell r="B534" t="str">
            <v>Outside Storages</v>
          </cell>
          <cell r="E534">
            <v>0</v>
          </cell>
          <cell r="F534">
            <v>0</v>
          </cell>
          <cell r="G534">
            <v>0</v>
          </cell>
          <cell r="H534">
            <v>0</v>
          </cell>
          <cell r="I534">
            <v>0</v>
          </cell>
          <cell r="J534">
            <v>0</v>
          </cell>
          <cell r="K534">
            <v>0</v>
          </cell>
          <cell r="L534">
            <v>0</v>
          </cell>
          <cell r="M534">
            <v>0</v>
          </cell>
          <cell r="N534">
            <v>0</v>
          </cell>
          <cell r="O534">
            <v>0</v>
          </cell>
          <cell r="P534">
            <v>0</v>
          </cell>
          <cell r="Q534">
            <v>0</v>
          </cell>
        </row>
        <row r="535">
          <cell r="A535">
            <v>70217</v>
          </cell>
          <cell r="B535" t="str">
            <v>Invoice Printing Costs</v>
          </cell>
          <cell r="E535">
            <v>0</v>
          </cell>
          <cell r="F535">
            <v>0</v>
          </cell>
          <cell r="G535">
            <v>0</v>
          </cell>
          <cell r="H535">
            <v>0</v>
          </cell>
          <cell r="I535">
            <v>0</v>
          </cell>
          <cell r="J535">
            <v>0</v>
          </cell>
          <cell r="K535">
            <v>0</v>
          </cell>
          <cell r="L535">
            <v>0</v>
          </cell>
          <cell r="M535">
            <v>0</v>
          </cell>
          <cell r="N535">
            <v>0</v>
          </cell>
          <cell r="O535">
            <v>0</v>
          </cell>
          <cell r="P535">
            <v>0</v>
          </cell>
          <cell r="Q535">
            <v>0</v>
          </cell>
        </row>
        <row r="536">
          <cell r="A536">
            <v>70225</v>
          </cell>
          <cell r="B536" t="str">
            <v>Advertising and Promotions</v>
          </cell>
          <cell r="E536">
            <v>2100</v>
          </cell>
          <cell r="F536">
            <v>-679.79</v>
          </cell>
          <cell r="G536">
            <v>0</v>
          </cell>
          <cell r="H536">
            <v>31.64</v>
          </cell>
          <cell r="I536">
            <v>0</v>
          </cell>
          <cell r="J536">
            <v>0</v>
          </cell>
          <cell r="K536">
            <v>500</v>
          </cell>
          <cell r="L536">
            <v>710.94</v>
          </cell>
          <cell r="M536">
            <v>0</v>
          </cell>
          <cell r="N536">
            <v>3049.29</v>
          </cell>
          <cell r="O536">
            <v>5336.83</v>
          </cell>
          <cell r="P536">
            <v>0</v>
          </cell>
          <cell r="Q536">
            <v>11048.91</v>
          </cell>
        </row>
        <row r="537">
          <cell r="A537">
            <v>70230</v>
          </cell>
          <cell r="B537" t="str">
            <v>External Recruiter Fees</v>
          </cell>
          <cell r="E537">
            <v>0</v>
          </cell>
          <cell r="F537">
            <v>0</v>
          </cell>
          <cell r="G537">
            <v>0</v>
          </cell>
          <cell r="H537">
            <v>0</v>
          </cell>
          <cell r="I537">
            <v>0</v>
          </cell>
          <cell r="J537">
            <v>0</v>
          </cell>
          <cell r="K537">
            <v>0</v>
          </cell>
          <cell r="L537">
            <v>0</v>
          </cell>
          <cell r="M537">
            <v>0</v>
          </cell>
          <cell r="N537">
            <v>0</v>
          </cell>
          <cell r="O537">
            <v>0</v>
          </cell>
          <cell r="P537">
            <v>0</v>
          </cell>
          <cell r="Q537">
            <v>0</v>
          </cell>
        </row>
        <row r="538">
          <cell r="A538">
            <v>70231</v>
          </cell>
          <cell r="B538" t="str">
            <v>Recruitment Advertising &amp; Expenses</v>
          </cell>
          <cell r="E538">
            <v>0</v>
          </cell>
          <cell r="F538">
            <v>0</v>
          </cell>
          <cell r="G538">
            <v>0</v>
          </cell>
          <cell r="H538">
            <v>0</v>
          </cell>
          <cell r="I538">
            <v>0</v>
          </cell>
          <cell r="J538">
            <v>0</v>
          </cell>
          <cell r="K538">
            <v>0</v>
          </cell>
          <cell r="L538">
            <v>25</v>
          </cell>
          <cell r="M538">
            <v>0</v>
          </cell>
          <cell r="N538">
            <v>0</v>
          </cell>
          <cell r="O538">
            <v>0</v>
          </cell>
          <cell r="P538">
            <v>0</v>
          </cell>
          <cell r="Q538">
            <v>25</v>
          </cell>
        </row>
        <row r="539">
          <cell r="A539">
            <v>70232</v>
          </cell>
          <cell r="B539" t="str">
            <v>Recruitment Travel Expenses</v>
          </cell>
          <cell r="E539">
            <v>0</v>
          </cell>
          <cell r="F539">
            <v>0</v>
          </cell>
          <cell r="G539">
            <v>0</v>
          </cell>
          <cell r="H539">
            <v>0</v>
          </cell>
          <cell r="I539">
            <v>0</v>
          </cell>
          <cell r="J539">
            <v>0</v>
          </cell>
          <cell r="K539">
            <v>0</v>
          </cell>
          <cell r="L539">
            <v>0</v>
          </cell>
          <cell r="M539">
            <v>0</v>
          </cell>
          <cell r="N539">
            <v>0</v>
          </cell>
          <cell r="O539">
            <v>0</v>
          </cell>
          <cell r="P539">
            <v>0</v>
          </cell>
          <cell r="Q539">
            <v>0</v>
          </cell>
        </row>
        <row r="540">
          <cell r="A540">
            <v>70235</v>
          </cell>
          <cell r="B540" t="str">
            <v>Legal</v>
          </cell>
          <cell r="E540">
            <v>134.16</v>
          </cell>
          <cell r="F540">
            <v>0</v>
          </cell>
          <cell r="G540">
            <v>198.36</v>
          </cell>
          <cell r="H540">
            <v>3699.71</v>
          </cell>
          <cell r="I540">
            <v>1056.02</v>
          </cell>
          <cell r="J540">
            <v>682.19</v>
          </cell>
          <cell r="K540">
            <v>3008.78</v>
          </cell>
          <cell r="L540">
            <v>-2300.2800000000002</v>
          </cell>
          <cell r="M540">
            <v>3301.28</v>
          </cell>
          <cell r="N540">
            <v>0.2</v>
          </cell>
          <cell r="O540">
            <v>-0.2</v>
          </cell>
          <cell r="P540">
            <v>1207.32</v>
          </cell>
          <cell r="Q540">
            <v>10987.54</v>
          </cell>
        </row>
        <row r="541">
          <cell r="A541">
            <v>70240</v>
          </cell>
          <cell r="B541" t="str">
            <v>Accounting Professional Fees</v>
          </cell>
          <cell r="E541">
            <v>0</v>
          </cell>
          <cell r="F541">
            <v>0</v>
          </cell>
          <cell r="G541">
            <v>0</v>
          </cell>
          <cell r="H541">
            <v>0</v>
          </cell>
          <cell r="I541">
            <v>0</v>
          </cell>
          <cell r="J541">
            <v>0</v>
          </cell>
          <cell r="K541">
            <v>0</v>
          </cell>
          <cell r="L541">
            <v>0</v>
          </cell>
          <cell r="M541">
            <v>0</v>
          </cell>
          <cell r="N541">
            <v>0</v>
          </cell>
          <cell r="O541">
            <v>0</v>
          </cell>
          <cell r="P541">
            <v>0</v>
          </cell>
          <cell r="Q541">
            <v>0</v>
          </cell>
        </row>
        <row r="542">
          <cell r="A542">
            <v>70245</v>
          </cell>
          <cell r="B542" t="str">
            <v>Payroll Processing Fees</v>
          </cell>
          <cell r="E542">
            <v>324.20999999999998</v>
          </cell>
          <cell r="F542">
            <v>333.23</v>
          </cell>
          <cell r="G542">
            <v>333.23</v>
          </cell>
          <cell r="H542">
            <v>333.23</v>
          </cell>
          <cell r="I542">
            <v>333.23</v>
          </cell>
          <cell r="J542">
            <v>333.23</v>
          </cell>
          <cell r="K542">
            <v>333.23</v>
          </cell>
          <cell r="L542">
            <v>300.73</v>
          </cell>
          <cell r="M542">
            <v>300.73</v>
          </cell>
          <cell r="N542">
            <v>300.73</v>
          </cell>
          <cell r="O542">
            <v>300.86</v>
          </cell>
          <cell r="P542">
            <v>300.86</v>
          </cell>
          <cell r="Q542">
            <v>3827.5000000000005</v>
          </cell>
        </row>
        <row r="543">
          <cell r="A543">
            <v>70250</v>
          </cell>
          <cell r="B543" t="str">
            <v>Acquisition Cost Write Off</v>
          </cell>
          <cell r="E543">
            <v>0</v>
          </cell>
          <cell r="F543">
            <v>0</v>
          </cell>
          <cell r="G543">
            <v>0</v>
          </cell>
          <cell r="H543">
            <v>0</v>
          </cell>
          <cell r="I543">
            <v>0</v>
          </cell>
          <cell r="J543">
            <v>0</v>
          </cell>
          <cell r="K543">
            <v>0</v>
          </cell>
          <cell r="L543">
            <v>0</v>
          </cell>
          <cell r="M543">
            <v>0</v>
          </cell>
          <cell r="N543">
            <v>0</v>
          </cell>
          <cell r="O543">
            <v>0</v>
          </cell>
          <cell r="P543">
            <v>0</v>
          </cell>
          <cell r="Q543">
            <v>0</v>
          </cell>
        </row>
        <row r="544">
          <cell r="A544">
            <v>70254</v>
          </cell>
          <cell r="B544" t="str">
            <v>Corporate Capitalized Expenses</v>
          </cell>
          <cell r="E544">
            <v>0</v>
          </cell>
          <cell r="F544">
            <v>0</v>
          </cell>
          <cell r="G544">
            <v>0</v>
          </cell>
          <cell r="H544">
            <v>0</v>
          </cell>
          <cell r="I544">
            <v>0</v>
          </cell>
          <cell r="J544">
            <v>0</v>
          </cell>
          <cell r="K544">
            <v>0</v>
          </cell>
          <cell r="L544">
            <v>0</v>
          </cell>
          <cell r="M544">
            <v>0</v>
          </cell>
          <cell r="N544">
            <v>0</v>
          </cell>
          <cell r="O544">
            <v>0</v>
          </cell>
          <cell r="P544">
            <v>0</v>
          </cell>
          <cell r="Q544">
            <v>0</v>
          </cell>
        </row>
        <row r="545">
          <cell r="A545">
            <v>70255</v>
          </cell>
          <cell r="B545" t="str">
            <v>Other Prof Fees</v>
          </cell>
          <cell r="E545">
            <v>0</v>
          </cell>
          <cell r="F545">
            <v>659.25</v>
          </cell>
          <cell r="G545">
            <v>168.64</v>
          </cell>
          <cell r="H545">
            <v>0</v>
          </cell>
          <cell r="I545">
            <v>900</v>
          </cell>
          <cell r="J545">
            <v>168.64</v>
          </cell>
          <cell r="K545">
            <v>-900</v>
          </cell>
          <cell r="L545">
            <v>0</v>
          </cell>
          <cell r="M545">
            <v>168.64</v>
          </cell>
          <cell r="N545">
            <v>0</v>
          </cell>
          <cell r="O545">
            <v>548.44000000000005</v>
          </cell>
          <cell r="P545">
            <v>243.29</v>
          </cell>
          <cell r="Q545">
            <v>1956.8999999999996</v>
          </cell>
        </row>
        <row r="546">
          <cell r="A546">
            <v>70271</v>
          </cell>
          <cell r="B546" t="str">
            <v>Property and Liability Insurance</v>
          </cell>
          <cell r="E546">
            <v>0</v>
          </cell>
          <cell r="F546">
            <v>0</v>
          </cell>
          <cell r="G546">
            <v>0</v>
          </cell>
          <cell r="H546">
            <v>0</v>
          </cell>
          <cell r="I546">
            <v>0</v>
          </cell>
          <cell r="J546">
            <v>0</v>
          </cell>
          <cell r="K546">
            <v>0</v>
          </cell>
          <cell r="L546">
            <v>0</v>
          </cell>
          <cell r="M546">
            <v>0</v>
          </cell>
          <cell r="N546">
            <v>0</v>
          </cell>
          <cell r="O546">
            <v>0</v>
          </cell>
          <cell r="P546">
            <v>0</v>
          </cell>
          <cell r="Q546">
            <v>0</v>
          </cell>
        </row>
        <row r="547">
          <cell r="A547">
            <v>70272</v>
          </cell>
          <cell r="B547" t="str">
            <v>Keyman Life Insurance</v>
          </cell>
          <cell r="E547">
            <v>0</v>
          </cell>
          <cell r="F547">
            <v>0</v>
          </cell>
          <cell r="G547">
            <v>0</v>
          </cell>
          <cell r="H547">
            <v>0</v>
          </cell>
          <cell r="I547">
            <v>0</v>
          </cell>
          <cell r="J547">
            <v>0</v>
          </cell>
          <cell r="K547">
            <v>0</v>
          </cell>
          <cell r="L547">
            <v>0</v>
          </cell>
          <cell r="M547">
            <v>0</v>
          </cell>
          <cell r="N547">
            <v>0</v>
          </cell>
          <cell r="O547">
            <v>0</v>
          </cell>
          <cell r="P547">
            <v>0</v>
          </cell>
          <cell r="Q547">
            <v>0</v>
          </cell>
        </row>
        <row r="548">
          <cell r="A548">
            <v>70273</v>
          </cell>
          <cell r="B548" t="str">
            <v>Directors and Officers Insurance</v>
          </cell>
          <cell r="E548">
            <v>0</v>
          </cell>
          <cell r="F548">
            <v>0</v>
          </cell>
          <cell r="G548">
            <v>0</v>
          </cell>
          <cell r="H548">
            <v>0</v>
          </cell>
          <cell r="I548">
            <v>0</v>
          </cell>
          <cell r="J548">
            <v>0</v>
          </cell>
          <cell r="K548">
            <v>0</v>
          </cell>
          <cell r="L548">
            <v>0</v>
          </cell>
          <cell r="M548">
            <v>0</v>
          </cell>
          <cell r="N548">
            <v>0</v>
          </cell>
          <cell r="O548">
            <v>0</v>
          </cell>
          <cell r="P548">
            <v>0</v>
          </cell>
          <cell r="Q548">
            <v>0</v>
          </cell>
        </row>
        <row r="549">
          <cell r="A549">
            <v>70275</v>
          </cell>
          <cell r="B549" t="str">
            <v>Property Taxes</v>
          </cell>
          <cell r="E549">
            <v>3633</v>
          </cell>
          <cell r="F549">
            <v>3633</v>
          </cell>
          <cell r="G549">
            <v>4280.66</v>
          </cell>
          <cell r="H549">
            <v>5100.2</v>
          </cell>
          <cell r="I549">
            <v>5100.2</v>
          </cell>
          <cell r="J549">
            <v>5100.2</v>
          </cell>
          <cell r="K549">
            <v>6353.54</v>
          </cell>
          <cell r="L549">
            <v>4787.74</v>
          </cell>
          <cell r="M549">
            <v>4507.07</v>
          </cell>
          <cell r="N549">
            <v>4985.55</v>
          </cell>
          <cell r="O549">
            <v>5021.75</v>
          </cell>
          <cell r="P549">
            <v>4949.34</v>
          </cell>
          <cell r="Q549">
            <v>57452.25</v>
          </cell>
        </row>
        <row r="550">
          <cell r="A550">
            <v>70280</v>
          </cell>
          <cell r="B550" t="str">
            <v>Other Taxes</v>
          </cell>
          <cell r="E550">
            <v>0</v>
          </cell>
          <cell r="F550">
            <v>0</v>
          </cell>
          <cell r="G550">
            <v>0</v>
          </cell>
          <cell r="H550">
            <v>0</v>
          </cell>
          <cell r="I550">
            <v>0</v>
          </cell>
          <cell r="J550">
            <v>0</v>
          </cell>
          <cell r="K550">
            <v>0</v>
          </cell>
          <cell r="L550">
            <v>0</v>
          </cell>
          <cell r="M550">
            <v>0</v>
          </cell>
          <cell r="N550">
            <v>0</v>
          </cell>
          <cell r="O550">
            <v>0</v>
          </cell>
          <cell r="P550">
            <v>0</v>
          </cell>
          <cell r="Q550">
            <v>0</v>
          </cell>
        </row>
        <row r="551">
          <cell r="A551">
            <v>70300</v>
          </cell>
          <cell r="B551" t="str">
            <v>Data Processing</v>
          </cell>
          <cell r="E551">
            <v>3053.24</v>
          </cell>
          <cell r="F551">
            <v>27123.4</v>
          </cell>
          <cell r="G551">
            <v>1994.05</v>
          </cell>
          <cell r="H551">
            <v>25497.25</v>
          </cell>
          <cell r="I551">
            <v>4148.7299999999996</v>
          </cell>
          <cell r="J551">
            <v>12634.95</v>
          </cell>
          <cell r="K551">
            <v>2733.27</v>
          </cell>
          <cell r="L551">
            <v>28900.27</v>
          </cell>
          <cell r="M551">
            <v>2744.08</v>
          </cell>
          <cell r="N551">
            <v>23341.62</v>
          </cell>
          <cell r="O551">
            <v>2653.19</v>
          </cell>
          <cell r="P551">
            <v>25630.6</v>
          </cell>
          <cell r="Q551">
            <v>160454.65000000002</v>
          </cell>
        </row>
        <row r="552">
          <cell r="A552">
            <v>70301</v>
          </cell>
          <cell r="B552" t="str">
            <v>Computer Software</v>
          </cell>
          <cell r="E552">
            <v>0</v>
          </cell>
          <cell r="F552">
            <v>0</v>
          </cell>
          <cell r="G552">
            <v>0</v>
          </cell>
          <cell r="H552">
            <v>0</v>
          </cell>
          <cell r="I552">
            <v>0</v>
          </cell>
          <cell r="J552">
            <v>0</v>
          </cell>
          <cell r="K552">
            <v>0</v>
          </cell>
          <cell r="L552">
            <v>0</v>
          </cell>
          <cell r="M552">
            <v>0</v>
          </cell>
          <cell r="N552">
            <v>0</v>
          </cell>
          <cell r="O552">
            <v>0</v>
          </cell>
          <cell r="P552">
            <v>0</v>
          </cell>
          <cell r="Q552">
            <v>0</v>
          </cell>
        </row>
        <row r="553">
          <cell r="A553">
            <v>70302</v>
          </cell>
          <cell r="B553" t="str">
            <v>Computer Supplies</v>
          </cell>
          <cell r="E553">
            <v>0</v>
          </cell>
          <cell r="F553">
            <v>435.77</v>
          </cell>
          <cell r="G553">
            <v>693.82</v>
          </cell>
          <cell r="H553">
            <v>0</v>
          </cell>
          <cell r="I553">
            <v>0</v>
          </cell>
          <cell r="J553">
            <v>0</v>
          </cell>
          <cell r="K553">
            <v>71.819999999999993</v>
          </cell>
          <cell r="L553">
            <v>73.77</v>
          </cell>
          <cell r="M553">
            <v>0</v>
          </cell>
          <cell r="N553">
            <v>0</v>
          </cell>
          <cell r="O553">
            <v>0</v>
          </cell>
          <cell r="P553">
            <v>561.86</v>
          </cell>
          <cell r="Q553">
            <v>1837.04</v>
          </cell>
        </row>
        <row r="554">
          <cell r="A554">
            <v>70310</v>
          </cell>
          <cell r="B554" t="str">
            <v>Bad Debt Provision</v>
          </cell>
          <cell r="E554">
            <v>-38144.620000000003</v>
          </cell>
          <cell r="F554">
            <v>34133.97</v>
          </cell>
          <cell r="G554">
            <v>-43595.040000000001</v>
          </cell>
          <cell r="H554">
            <v>39178.03</v>
          </cell>
          <cell r="I554">
            <v>-23435.439999999999</v>
          </cell>
          <cell r="J554">
            <v>54303.69</v>
          </cell>
          <cell r="K554">
            <v>-33171.480000000003</v>
          </cell>
          <cell r="L554">
            <v>54213.2</v>
          </cell>
          <cell r="M554">
            <v>-34096.239999999998</v>
          </cell>
          <cell r="N554">
            <v>57772.45</v>
          </cell>
          <cell r="O554">
            <v>-39518.949999999997</v>
          </cell>
          <cell r="P554">
            <v>53267.67</v>
          </cell>
          <cell r="Q554">
            <v>80907.239999999991</v>
          </cell>
        </row>
        <row r="555">
          <cell r="A555">
            <v>70315</v>
          </cell>
          <cell r="B555" t="str">
            <v>Bad Debt Recoveries</v>
          </cell>
          <cell r="E555">
            <v>0</v>
          </cell>
          <cell r="F555">
            <v>0</v>
          </cell>
          <cell r="G555">
            <v>0</v>
          </cell>
          <cell r="H555">
            <v>0</v>
          </cell>
          <cell r="I555">
            <v>0</v>
          </cell>
          <cell r="J555">
            <v>0</v>
          </cell>
          <cell r="K555">
            <v>0</v>
          </cell>
          <cell r="L555">
            <v>0</v>
          </cell>
          <cell r="M555">
            <v>0</v>
          </cell>
          <cell r="N555">
            <v>0</v>
          </cell>
          <cell r="O555">
            <v>0</v>
          </cell>
          <cell r="P555">
            <v>0</v>
          </cell>
          <cell r="Q555">
            <v>0</v>
          </cell>
        </row>
        <row r="556">
          <cell r="A556">
            <v>70320</v>
          </cell>
          <cell r="B556" t="str">
            <v>Credit and Collection</v>
          </cell>
          <cell r="E556">
            <v>6198.28</v>
          </cell>
          <cell r="F556">
            <v>9319.4599999999991</v>
          </cell>
          <cell r="G556">
            <v>5273.3</v>
          </cell>
          <cell r="H556">
            <v>8215.32</v>
          </cell>
          <cell r="I556">
            <v>5615.84</v>
          </cell>
          <cell r="J556">
            <v>3201.73</v>
          </cell>
          <cell r="K556">
            <v>4767.67</v>
          </cell>
          <cell r="L556">
            <v>2810.14</v>
          </cell>
          <cell r="M556">
            <v>5490.95</v>
          </cell>
          <cell r="N556">
            <v>4968.87</v>
          </cell>
          <cell r="O556">
            <v>5918.1</v>
          </cell>
          <cell r="P556">
            <v>0</v>
          </cell>
          <cell r="Q556">
            <v>61779.659999999996</v>
          </cell>
        </row>
        <row r="557">
          <cell r="A557">
            <v>70324</v>
          </cell>
          <cell r="B557" t="str">
            <v>Penalties and Violations</v>
          </cell>
          <cell r="E557">
            <v>0</v>
          </cell>
          <cell r="F557">
            <v>0</v>
          </cell>
          <cell r="G557">
            <v>0</v>
          </cell>
          <cell r="H557">
            <v>0</v>
          </cell>
          <cell r="I557">
            <v>0</v>
          </cell>
          <cell r="J557">
            <v>0</v>
          </cell>
          <cell r="K557">
            <v>0</v>
          </cell>
          <cell r="L557">
            <v>0</v>
          </cell>
          <cell r="M557">
            <v>0</v>
          </cell>
          <cell r="N557">
            <v>0</v>
          </cell>
          <cell r="O557">
            <v>0</v>
          </cell>
          <cell r="P557">
            <v>0</v>
          </cell>
          <cell r="Q557">
            <v>0</v>
          </cell>
        </row>
        <row r="558">
          <cell r="A558">
            <v>70325</v>
          </cell>
          <cell r="B558" t="str">
            <v>Legal Settlement Payments</v>
          </cell>
          <cell r="E558">
            <v>0</v>
          </cell>
          <cell r="F558">
            <v>0</v>
          </cell>
          <cell r="G558">
            <v>0</v>
          </cell>
          <cell r="H558">
            <v>0</v>
          </cell>
          <cell r="I558">
            <v>0</v>
          </cell>
          <cell r="J558">
            <v>0</v>
          </cell>
          <cell r="K558">
            <v>0</v>
          </cell>
          <cell r="L558">
            <v>0</v>
          </cell>
          <cell r="M558">
            <v>0</v>
          </cell>
          <cell r="N558">
            <v>0</v>
          </cell>
          <cell r="O558">
            <v>0</v>
          </cell>
          <cell r="P558">
            <v>0</v>
          </cell>
          <cell r="Q558">
            <v>0</v>
          </cell>
        </row>
        <row r="559">
          <cell r="A559">
            <v>70326</v>
          </cell>
          <cell r="B559" t="str">
            <v>Deductible Current Year</v>
          </cell>
          <cell r="E559">
            <v>0</v>
          </cell>
          <cell r="F559">
            <v>0</v>
          </cell>
          <cell r="G559">
            <v>0</v>
          </cell>
          <cell r="H559">
            <v>0</v>
          </cell>
          <cell r="I559">
            <v>0</v>
          </cell>
          <cell r="J559">
            <v>0</v>
          </cell>
          <cell r="K559">
            <v>0</v>
          </cell>
          <cell r="L559">
            <v>0</v>
          </cell>
          <cell r="M559">
            <v>0</v>
          </cell>
          <cell r="N559">
            <v>0</v>
          </cell>
          <cell r="O559">
            <v>0</v>
          </cell>
          <cell r="P559">
            <v>0</v>
          </cell>
          <cell r="Q559">
            <v>0</v>
          </cell>
        </row>
        <row r="560">
          <cell r="A560">
            <v>70327</v>
          </cell>
          <cell r="B560" t="str">
            <v>Deductible Dammage</v>
          </cell>
          <cell r="E560">
            <v>0</v>
          </cell>
          <cell r="F560">
            <v>0</v>
          </cell>
          <cell r="G560">
            <v>0</v>
          </cell>
          <cell r="H560">
            <v>0</v>
          </cell>
          <cell r="I560">
            <v>0</v>
          </cell>
          <cell r="J560">
            <v>0</v>
          </cell>
          <cell r="K560">
            <v>0</v>
          </cell>
          <cell r="L560">
            <v>0</v>
          </cell>
          <cell r="M560">
            <v>0</v>
          </cell>
          <cell r="N560">
            <v>0</v>
          </cell>
          <cell r="O560">
            <v>0</v>
          </cell>
          <cell r="P560">
            <v>0</v>
          </cell>
          <cell r="Q560">
            <v>0</v>
          </cell>
        </row>
        <row r="561">
          <cell r="A561">
            <v>70328</v>
          </cell>
          <cell r="B561" t="str">
            <v>Claim Recoveries</v>
          </cell>
          <cell r="E561">
            <v>0</v>
          </cell>
          <cell r="F561">
            <v>0</v>
          </cell>
          <cell r="G561">
            <v>0</v>
          </cell>
          <cell r="H561">
            <v>0</v>
          </cell>
          <cell r="I561">
            <v>0</v>
          </cell>
          <cell r="J561">
            <v>0</v>
          </cell>
          <cell r="K561">
            <v>0</v>
          </cell>
          <cell r="L561">
            <v>0</v>
          </cell>
          <cell r="M561">
            <v>0</v>
          </cell>
          <cell r="N561">
            <v>0</v>
          </cell>
          <cell r="O561">
            <v>0</v>
          </cell>
          <cell r="P561">
            <v>0</v>
          </cell>
          <cell r="Q561">
            <v>0</v>
          </cell>
        </row>
        <row r="562">
          <cell r="A562">
            <v>70330</v>
          </cell>
          <cell r="B562" t="str">
            <v>Deductible Prior Year</v>
          </cell>
          <cell r="E562">
            <v>0</v>
          </cell>
          <cell r="F562">
            <v>0</v>
          </cell>
          <cell r="G562">
            <v>0</v>
          </cell>
          <cell r="H562">
            <v>0</v>
          </cell>
          <cell r="I562">
            <v>0</v>
          </cell>
          <cell r="J562">
            <v>0</v>
          </cell>
          <cell r="K562">
            <v>0</v>
          </cell>
          <cell r="L562">
            <v>0</v>
          </cell>
          <cell r="M562">
            <v>0</v>
          </cell>
          <cell r="N562">
            <v>0</v>
          </cell>
          <cell r="O562">
            <v>0</v>
          </cell>
          <cell r="P562">
            <v>0</v>
          </cell>
          <cell r="Q562">
            <v>0</v>
          </cell>
        </row>
        <row r="563">
          <cell r="A563">
            <v>70335</v>
          </cell>
          <cell r="B563" t="str">
            <v>Miscellaneous</v>
          </cell>
          <cell r="E563">
            <v>0</v>
          </cell>
          <cell r="F563">
            <v>-78.28</v>
          </cell>
          <cell r="G563">
            <v>0</v>
          </cell>
          <cell r="H563">
            <v>-123.75</v>
          </cell>
          <cell r="I563">
            <v>0</v>
          </cell>
          <cell r="J563">
            <v>0</v>
          </cell>
          <cell r="K563">
            <v>0</v>
          </cell>
          <cell r="L563">
            <v>0</v>
          </cell>
          <cell r="M563">
            <v>0</v>
          </cell>
          <cell r="N563">
            <v>0</v>
          </cell>
          <cell r="O563">
            <v>0</v>
          </cell>
          <cell r="P563">
            <v>0</v>
          </cell>
          <cell r="Q563">
            <v>-202.03</v>
          </cell>
        </row>
        <row r="564">
          <cell r="A564">
            <v>70336</v>
          </cell>
          <cell r="B564" t="str">
            <v>Coffe Bar</v>
          </cell>
          <cell r="E564">
            <v>0</v>
          </cell>
          <cell r="F564">
            <v>0</v>
          </cell>
          <cell r="G564">
            <v>0</v>
          </cell>
          <cell r="H564">
            <v>0</v>
          </cell>
          <cell r="I564">
            <v>0</v>
          </cell>
          <cell r="J564">
            <v>0</v>
          </cell>
          <cell r="K564">
            <v>0</v>
          </cell>
          <cell r="L564">
            <v>38.020000000000003</v>
          </cell>
          <cell r="M564">
            <v>0</v>
          </cell>
          <cell r="N564">
            <v>-38.020000000000003</v>
          </cell>
          <cell r="O564">
            <v>0</v>
          </cell>
          <cell r="P564">
            <v>0</v>
          </cell>
          <cell r="Q564">
            <v>0</v>
          </cell>
        </row>
        <row r="565">
          <cell r="A565">
            <v>70345</v>
          </cell>
          <cell r="B565" t="str">
            <v>Security Services</v>
          </cell>
          <cell r="E565">
            <v>0</v>
          </cell>
          <cell r="F565">
            <v>0</v>
          </cell>
          <cell r="G565">
            <v>0</v>
          </cell>
          <cell r="H565">
            <v>0</v>
          </cell>
          <cell r="I565">
            <v>0</v>
          </cell>
          <cell r="J565">
            <v>0</v>
          </cell>
          <cell r="K565">
            <v>0</v>
          </cell>
          <cell r="L565">
            <v>0</v>
          </cell>
          <cell r="M565">
            <v>0</v>
          </cell>
          <cell r="N565">
            <v>0</v>
          </cell>
          <cell r="O565">
            <v>0</v>
          </cell>
          <cell r="P565">
            <v>0</v>
          </cell>
          <cell r="Q565">
            <v>0</v>
          </cell>
        </row>
        <row r="566">
          <cell r="A566">
            <v>70357</v>
          </cell>
          <cell r="B566" t="str">
            <v>Permits</v>
          </cell>
          <cell r="E566">
            <v>0</v>
          </cell>
          <cell r="F566">
            <v>0</v>
          </cell>
          <cell r="G566">
            <v>0</v>
          </cell>
          <cell r="H566">
            <v>0</v>
          </cell>
          <cell r="I566">
            <v>0</v>
          </cell>
          <cell r="J566">
            <v>0</v>
          </cell>
          <cell r="K566">
            <v>0</v>
          </cell>
          <cell r="L566">
            <v>0</v>
          </cell>
          <cell r="M566">
            <v>0</v>
          </cell>
          <cell r="N566">
            <v>0</v>
          </cell>
          <cell r="O566">
            <v>0</v>
          </cell>
          <cell r="P566">
            <v>0</v>
          </cell>
          <cell r="Q566">
            <v>0</v>
          </cell>
        </row>
        <row r="567">
          <cell r="A567">
            <v>70370</v>
          </cell>
          <cell r="B567" t="str">
            <v>Bonds Expense</v>
          </cell>
          <cell r="E567">
            <v>0</v>
          </cell>
          <cell r="F567">
            <v>0</v>
          </cell>
          <cell r="G567">
            <v>0</v>
          </cell>
          <cell r="H567">
            <v>0</v>
          </cell>
          <cell r="I567">
            <v>0</v>
          </cell>
          <cell r="J567">
            <v>0</v>
          </cell>
          <cell r="K567">
            <v>0</v>
          </cell>
          <cell r="L567">
            <v>0</v>
          </cell>
          <cell r="M567">
            <v>0</v>
          </cell>
          <cell r="N567">
            <v>0</v>
          </cell>
          <cell r="O567">
            <v>0</v>
          </cell>
          <cell r="P567">
            <v>0</v>
          </cell>
          <cell r="Q567">
            <v>0</v>
          </cell>
        </row>
        <row r="568">
          <cell r="A568">
            <v>70371</v>
          </cell>
          <cell r="B568" t="str">
            <v>Board of Directors Fees</v>
          </cell>
          <cell r="E568">
            <v>0</v>
          </cell>
          <cell r="F568">
            <v>0</v>
          </cell>
          <cell r="G568">
            <v>0</v>
          </cell>
          <cell r="H568">
            <v>0</v>
          </cell>
          <cell r="I568">
            <v>0</v>
          </cell>
          <cell r="J568">
            <v>0</v>
          </cell>
          <cell r="K568">
            <v>0</v>
          </cell>
          <cell r="L568">
            <v>0</v>
          </cell>
          <cell r="M568">
            <v>0</v>
          </cell>
          <cell r="N568">
            <v>0</v>
          </cell>
          <cell r="O568">
            <v>0</v>
          </cell>
          <cell r="P568">
            <v>0</v>
          </cell>
          <cell r="Q568">
            <v>0</v>
          </cell>
        </row>
        <row r="569">
          <cell r="A569">
            <v>70372</v>
          </cell>
          <cell r="B569" t="str">
            <v>Board of Directors Expense Report</v>
          </cell>
          <cell r="E569">
            <v>0</v>
          </cell>
          <cell r="F569">
            <v>0</v>
          </cell>
          <cell r="G569">
            <v>0</v>
          </cell>
          <cell r="H569">
            <v>0</v>
          </cell>
          <cell r="I569">
            <v>0</v>
          </cell>
          <cell r="J569">
            <v>0</v>
          </cell>
          <cell r="K569">
            <v>0</v>
          </cell>
          <cell r="L569">
            <v>0</v>
          </cell>
          <cell r="M569">
            <v>0</v>
          </cell>
          <cell r="N569">
            <v>0</v>
          </cell>
          <cell r="O569">
            <v>0</v>
          </cell>
          <cell r="P569">
            <v>0</v>
          </cell>
          <cell r="Q569">
            <v>0</v>
          </cell>
        </row>
        <row r="570">
          <cell r="A570">
            <v>70475</v>
          </cell>
          <cell r="B570" t="str">
            <v>Trade Shows</v>
          </cell>
          <cell r="E570">
            <v>0</v>
          </cell>
          <cell r="F570">
            <v>0</v>
          </cell>
          <cell r="G570">
            <v>0</v>
          </cell>
          <cell r="H570">
            <v>0</v>
          </cell>
          <cell r="I570">
            <v>0</v>
          </cell>
          <cell r="J570">
            <v>0</v>
          </cell>
          <cell r="K570">
            <v>0</v>
          </cell>
          <cell r="L570">
            <v>0</v>
          </cell>
          <cell r="M570">
            <v>0</v>
          </cell>
          <cell r="N570">
            <v>0</v>
          </cell>
          <cell r="O570">
            <v>0</v>
          </cell>
          <cell r="P570">
            <v>0</v>
          </cell>
          <cell r="Q570">
            <v>0</v>
          </cell>
        </row>
        <row r="571">
          <cell r="A571">
            <v>70900</v>
          </cell>
          <cell r="B571" t="str">
            <v>Entitiy Formation Costs</v>
          </cell>
          <cell r="E571">
            <v>0</v>
          </cell>
          <cell r="F571">
            <v>0</v>
          </cell>
          <cell r="G571">
            <v>0</v>
          </cell>
          <cell r="H571">
            <v>0</v>
          </cell>
          <cell r="I571">
            <v>0</v>
          </cell>
          <cell r="J571">
            <v>0</v>
          </cell>
          <cell r="K571">
            <v>0</v>
          </cell>
          <cell r="L571">
            <v>0</v>
          </cell>
          <cell r="M571">
            <v>0</v>
          </cell>
          <cell r="N571">
            <v>0</v>
          </cell>
          <cell r="O571">
            <v>0</v>
          </cell>
          <cell r="P571">
            <v>0</v>
          </cell>
          <cell r="Q571">
            <v>0</v>
          </cell>
        </row>
        <row r="572">
          <cell r="A572">
            <v>70998</v>
          </cell>
          <cell r="B572" t="str">
            <v>Allocation Out - District</v>
          </cell>
          <cell r="E572">
            <v>0</v>
          </cell>
          <cell r="F572">
            <v>0</v>
          </cell>
          <cell r="G572">
            <v>0</v>
          </cell>
          <cell r="H572">
            <v>0</v>
          </cell>
          <cell r="I572">
            <v>0</v>
          </cell>
          <cell r="J572">
            <v>0</v>
          </cell>
          <cell r="K572">
            <v>0</v>
          </cell>
          <cell r="L572">
            <v>0</v>
          </cell>
          <cell r="M572">
            <v>0</v>
          </cell>
          <cell r="N572">
            <v>0</v>
          </cell>
          <cell r="O572">
            <v>0</v>
          </cell>
          <cell r="P572">
            <v>0</v>
          </cell>
          <cell r="Q572">
            <v>0</v>
          </cell>
        </row>
        <row r="573">
          <cell r="A573">
            <v>70999</v>
          </cell>
          <cell r="B573" t="str">
            <v>Allocation Out - Out District</v>
          </cell>
          <cell r="E573">
            <v>0</v>
          </cell>
          <cell r="F573">
            <v>0</v>
          </cell>
          <cell r="G573">
            <v>0</v>
          </cell>
          <cell r="H573">
            <v>0</v>
          </cell>
          <cell r="I573">
            <v>0</v>
          </cell>
          <cell r="J573">
            <v>0</v>
          </cell>
          <cell r="K573">
            <v>0</v>
          </cell>
          <cell r="L573">
            <v>0</v>
          </cell>
          <cell r="M573">
            <v>0</v>
          </cell>
          <cell r="N573">
            <v>0</v>
          </cell>
          <cell r="O573">
            <v>0</v>
          </cell>
          <cell r="P573">
            <v>0</v>
          </cell>
          <cell r="Q573">
            <v>0</v>
          </cell>
        </row>
        <row r="574">
          <cell r="A574">
            <v>71000</v>
          </cell>
          <cell r="B574" t="str">
            <v>Stock Comp Expense</v>
          </cell>
          <cell r="E574">
            <v>0</v>
          </cell>
          <cell r="F574">
            <v>0</v>
          </cell>
          <cell r="G574">
            <v>0</v>
          </cell>
          <cell r="H574">
            <v>0</v>
          </cell>
          <cell r="I574">
            <v>0</v>
          </cell>
          <cell r="J574">
            <v>0</v>
          </cell>
          <cell r="K574">
            <v>0</v>
          </cell>
          <cell r="L574">
            <v>0</v>
          </cell>
          <cell r="M574">
            <v>0</v>
          </cell>
          <cell r="N574">
            <v>0</v>
          </cell>
          <cell r="O574">
            <v>0</v>
          </cell>
          <cell r="P574">
            <v>0</v>
          </cell>
          <cell r="Q574">
            <v>0</v>
          </cell>
        </row>
        <row r="575">
          <cell r="A575" t="str">
            <v>Total G&amp;A</v>
          </cell>
          <cell r="E575">
            <v>135458.46000000002</v>
          </cell>
          <cell r="F575">
            <v>208641.47999999992</v>
          </cell>
          <cell r="G575">
            <v>98781.099999999962</v>
          </cell>
          <cell r="H575">
            <v>225439.98</v>
          </cell>
          <cell r="I575">
            <v>124024.28</v>
          </cell>
          <cell r="J575">
            <v>224140.84000000008</v>
          </cell>
          <cell r="K575">
            <v>154049.73000000004</v>
          </cell>
          <cell r="L575">
            <v>264592.3</v>
          </cell>
          <cell r="M575">
            <v>109926.17</v>
          </cell>
          <cell r="N575">
            <v>249406.65000000005</v>
          </cell>
          <cell r="O575">
            <v>123801.06999999996</v>
          </cell>
          <cell r="P575">
            <v>250967.55000000005</v>
          </cell>
          <cell r="Q575">
            <v>2169229.61</v>
          </cell>
        </row>
        <row r="577">
          <cell r="A577" t="str">
            <v>Overhead</v>
          </cell>
        </row>
        <row r="578">
          <cell r="A578">
            <v>70149</v>
          </cell>
          <cell r="B578" t="str">
            <v>Corporate Overhead Allocation In</v>
          </cell>
          <cell r="E578">
            <v>95576.95</v>
          </cell>
          <cell r="F578">
            <v>93754.57</v>
          </cell>
          <cell r="G578">
            <v>96892.32</v>
          </cell>
          <cell r="H578">
            <v>96287.7</v>
          </cell>
          <cell r="I578">
            <v>98950.95</v>
          </cell>
          <cell r="J578">
            <v>99254.64</v>
          </cell>
          <cell r="K578">
            <v>97352.26</v>
          </cell>
          <cell r="L578">
            <v>97777.96</v>
          </cell>
          <cell r="M578">
            <v>98592.93</v>
          </cell>
          <cell r="N578">
            <v>101400.48</v>
          </cell>
          <cell r="O578">
            <v>100544.01</v>
          </cell>
          <cell r="P578">
            <v>100617.72</v>
          </cell>
          <cell r="Q578">
            <v>1177002.49</v>
          </cell>
        </row>
        <row r="579">
          <cell r="A579">
            <v>70159</v>
          </cell>
          <cell r="B579" t="str">
            <v>Region Overhead Allocation In</v>
          </cell>
          <cell r="E579">
            <v>0</v>
          </cell>
          <cell r="F579">
            <v>0</v>
          </cell>
          <cell r="G579">
            <v>0</v>
          </cell>
          <cell r="H579">
            <v>0</v>
          </cell>
          <cell r="I579">
            <v>0</v>
          </cell>
          <cell r="J579">
            <v>0</v>
          </cell>
          <cell r="K579">
            <v>0</v>
          </cell>
          <cell r="L579">
            <v>0</v>
          </cell>
          <cell r="M579">
            <v>0</v>
          </cell>
          <cell r="N579">
            <v>0</v>
          </cell>
          <cell r="O579">
            <v>0</v>
          </cell>
          <cell r="P579">
            <v>0</v>
          </cell>
          <cell r="Q579">
            <v>0</v>
          </cell>
        </row>
        <row r="580">
          <cell r="A580" t="str">
            <v>Total Overhead</v>
          </cell>
          <cell r="E580">
            <v>95576.95</v>
          </cell>
          <cell r="F580">
            <v>93754.57</v>
          </cell>
          <cell r="G580">
            <v>96892.32</v>
          </cell>
          <cell r="H580">
            <v>96287.7</v>
          </cell>
          <cell r="I580">
            <v>98950.95</v>
          </cell>
          <cell r="J580">
            <v>99254.64</v>
          </cell>
          <cell r="K580">
            <v>97352.26</v>
          </cell>
          <cell r="L580">
            <v>97777.96</v>
          </cell>
          <cell r="M580">
            <v>98592.93</v>
          </cell>
          <cell r="N580">
            <v>101400.48</v>
          </cell>
          <cell r="O580">
            <v>100544.01</v>
          </cell>
          <cell r="P580">
            <v>100617.72</v>
          </cell>
          <cell r="Q580">
            <v>1177002.49</v>
          </cell>
        </row>
        <row r="582">
          <cell r="A582" t="str">
            <v>Total SG&amp;A</v>
          </cell>
          <cell r="E582">
            <v>246511.28000000003</v>
          </cell>
          <cell r="F582">
            <v>305793.68999999994</v>
          </cell>
          <cell r="G582">
            <v>203965.25999999998</v>
          </cell>
          <cell r="H582">
            <v>328473.28999999998</v>
          </cell>
          <cell r="I582">
            <v>228706.00999999998</v>
          </cell>
          <cell r="J582">
            <v>331450.5400000001</v>
          </cell>
          <cell r="K582">
            <v>256165.84000000005</v>
          </cell>
          <cell r="L582">
            <v>365954.82</v>
          </cell>
          <cell r="M582">
            <v>239060.30999999997</v>
          </cell>
          <cell r="N582">
            <v>379132.25000000006</v>
          </cell>
          <cell r="O582">
            <v>228004.79999999996</v>
          </cell>
          <cell r="P582">
            <v>390132.22000000003</v>
          </cell>
          <cell r="Q582">
            <v>3503350.3099999996</v>
          </cell>
        </row>
        <row r="584">
          <cell r="A584" t="str">
            <v>EBITDA</v>
          </cell>
          <cell r="E584">
            <v>712085.01999999979</v>
          </cell>
          <cell r="F584">
            <v>772605.35999999987</v>
          </cell>
          <cell r="G584">
            <v>776716.52999999991</v>
          </cell>
          <cell r="H584">
            <v>731539.77</v>
          </cell>
          <cell r="I584">
            <v>769618.66999999934</v>
          </cell>
          <cell r="J584">
            <v>552555.60000000033</v>
          </cell>
          <cell r="K584">
            <v>743010.76999999932</v>
          </cell>
          <cell r="L584">
            <v>663397.72999999952</v>
          </cell>
          <cell r="M584">
            <v>766161.14</v>
          </cell>
          <cell r="N584">
            <v>683037.77000000048</v>
          </cell>
          <cell r="O584">
            <v>782671.56999999972</v>
          </cell>
          <cell r="P584">
            <v>621819.83000000031</v>
          </cell>
          <cell r="Q584">
            <v>8575219.7600000016</v>
          </cell>
        </row>
        <row r="586">
          <cell r="A586" t="str">
            <v>DD&amp;A</v>
          </cell>
        </row>
        <row r="587">
          <cell r="A587" t="str">
            <v>Depreciation</v>
          </cell>
        </row>
        <row r="588">
          <cell r="A588">
            <v>51260</v>
          </cell>
          <cell r="B588" t="str">
            <v>Depreciation</v>
          </cell>
          <cell r="E588">
            <v>128653.02</v>
          </cell>
          <cell r="F588">
            <v>131370.81</v>
          </cell>
          <cell r="G588">
            <v>131344.75</v>
          </cell>
          <cell r="H588">
            <v>130833.62</v>
          </cell>
          <cell r="I588">
            <v>128898.54</v>
          </cell>
          <cell r="J588">
            <v>124756.98</v>
          </cell>
          <cell r="K588">
            <v>129780.01</v>
          </cell>
          <cell r="L588">
            <v>124499.33</v>
          </cell>
          <cell r="M588">
            <v>116250.86</v>
          </cell>
          <cell r="N588">
            <v>116469.34</v>
          </cell>
          <cell r="O588">
            <v>115552.67</v>
          </cell>
          <cell r="P588">
            <v>115400.84</v>
          </cell>
          <cell r="Q588">
            <v>1493810.77</v>
          </cell>
        </row>
        <row r="589">
          <cell r="A589">
            <v>54260</v>
          </cell>
          <cell r="B589" t="str">
            <v>Depreciation</v>
          </cell>
          <cell r="E589">
            <v>44644.21</v>
          </cell>
          <cell r="F589">
            <v>45130.14</v>
          </cell>
          <cell r="G589">
            <v>45176.2</v>
          </cell>
          <cell r="H589">
            <v>45736.24</v>
          </cell>
          <cell r="I589">
            <v>45872.49</v>
          </cell>
          <cell r="J589">
            <v>46097.22</v>
          </cell>
          <cell r="K589">
            <v>46974.19</v>
          </cell>
          <cell r="L589">
            <v>47668</v>
          </cell>
          <cell r="M589">
            <v>47777.17</v>
          </cell>
          <cell r="N589">
            <v>47529.919999999998</v>
          </cell>
          <cell r="O589">
            <v>47583.6</v>
          </cell>
          <cell r="P589">
            <v>47682.03</v>
          </cell>
          <cell r="Q589">
            <v>557871.40999999992</v>
          </cell>
        </row>
        <row r="590">
          <cell r="A590">
            <v>56260</v>
          </cell>
          <cell r="B590" t="str">
            <v>Depreciation</v>
          </cell>
          <cell r="E590">
            <v>0</v>
          </cell>
          <cell r="F590">
            <v>0</v>
          </cell>
          <cell r="G590">
            <v>0</v>
          </cell>
          <cell r="H590">
            <v>0</v>
          </cell>
          <cell r="I590">
            <v>0</v>
          </cell>
          <cell r="J590">
            <v>0</v>
          </cell>
          <cell r="K590">
            <v>0</v>
          </cell>
          <cell r="L590">
            <v>0</v>
          </cell>
          <cell r="M590">
            <v>0</v>
          </cell>
          <cell r="N590">
            <v>0</v>
          </cell>
          <cell r="O590">
            <v>0</v>
          </cell>
          <cell r="P590">
            <v>0</v>
          </cell>
          <cell r="Q590">
            <v>0</v>
          </cell>
        </row>
        <row r="591">
          <cell r="A591">
            <v>57260</v>
          </cell>
          <cell r="B591" t="str">
            <v>Depreciation</v>
          </cell>
          <cell r="E591">
            <v>5579.13</v>
          </cell>
          <cell r="F591">
            <v>5579.15</v>
          </cell>
          <cell r="G591">
            <v>5579.14</v>
          </cell>
          <cell r="H591">
            <v>5579.12</v>
          </cell>
          <cell r="I591">
            <v>5579.14</v>
          </cell>
          <cell r="J591">
            <v>5579.19</v>
          </cell>
          <cell r="K591">
            <v>5579.09</v>
          </cell>
          <cell r="L591">
            <v>5579.1</v>
          </cell>
          <cell r="M591">
            <v>5521.44</v>
          </cell>
          <cell r="N591">
            <v>5521.33</v>
          </cell>
          <cell r="O591">
            <v>5521.37</v>
          </cell>
          <cell r="P591">
            <v>5521.3</v>
          </cell>
          <cell r="Q591">
            <v>66718.5</v>
          </cell>
        </row>
        <row r="592">
          <cell r="A592">
            <v>60260</v>
          </cell>
          <cell r="B592" t="str">
            <v>Depreciation</v>
          </cell>
          <cell r="E592">
            <v>0</v>
          </cell>
          <cell r="F592">
            <v>0</v>
          </cell>
          <cell r="G592">
            <v>0</v>
          </cell>
          <cell r="H592">
            <v>0</v>
          </cell>
          <cell r="I592">
            <v>0</v>
          </cell>
          <cell r="J592">
            <v>0</v>
          </cell>
          <cell r="K592">
            <v>0</v>
          </cell>
          <cell r="L592">
            <v>0</v>
          </cell>
          <cell r="M592">
            <v>0</v>
          </cell>
          <cell r="N592">
            <v>0</v>
          </cell>
          <cell r="O592">
            <v>0</v>
          </cell>
          <cell r="P592">
            <v>0</v>
          </cell>
          <cell r="Q592">
            <v>0</v>
          </cell>
        </row>
        <row r="593">
          <cell r="A593">
            <v>70257</v>
          </cell>
          <cell r="B593" t="str">
            <v>Depreciation</v>
          </cell>
          <cell r="E593">
            <v>0</v>
          </cell>
          <cell r="F593">
            <v>0</v>
          </cell>
          <cell r="G593">
            <v>0</v>
          </cell>
          <cell r="H593">
            <v>0</v>
          </cell>
          <cell r="I593">
            <v>0</v>
          </cell>
          <cell r="J593">
            <v>0</v>
          </cell>
          <cell r="K593">
            <v>0</v>
          </cell>
          <cell r="L593">
            <v>0</v>
          </cell>
          <cell r="M593">
            <v>0</v>
          </cell>
          <cell r="N593">
            <v>0</v>
          </cell>
          <cell r="O593">
            <v>0</v>
          </cell>
          <cell r="P593">
            <v>0</v>
          </cell>
          <cell r="Q593">
            <v>0</v>
          </cell>
        </row>
        <row r="594">
          <cell r="A594">
            <v>70260</v>
          </cell>
          <cell r="B594" t="str">
            <v>Depreciation</v>
          </cell>
          <cell r="E594">
            <v>819.53</v>
          </cell>
          <cell r="F594">
            <v>819.52</v>
          </cell>
          <cell r="G594">
            <v>819.52</v>
          </cell>
          <cell r="H594">
            <v>819.45</v>
          </cell>
          <cell r="I594">
            <v>622.97</v>
          </cell>
          <cell r="J594">
            <v>622.99</v>
          </cell>
          <cell r="K594">
            <v>622.98</v>
          </cell>
          <cell r="L594">
            <v>622.91</v>
          </cell>
          <cell r="M594">
            <v>451.09</v>
          </cell>
          <cell r="N594">
            <v>451.1</v>
          </cell>
          <cell r="O594">
            <v>430.18</v>
          </cell>
          <cell r="P594">
            <v>386.57</v>
          </cell>
          <cell r="Q594">
            <v>7488.8099999999995</v>
          </cell>
        </row>
        <row r="595">
          <cell r="A595" t="str">
            <v>Total Depreciation</v>
          </cell>
          <cell r="E595">
            <v>179695.89</v>
          </cell>
          <cell r="F595">
            <v>182899.62</v>
          </cell>
          <cell r="G595">
            <v>182919.61000000002</v>
          </cell>
          <cell r="H595">
            <v>182968.43</v>
          </cell>
          <cell r="I595">
            <v>180973.14</v>
          </cell>
          <cell r="J595">
            <v>177056.38</v>
          </cell>
          <cell r="K595">
            <v>182956.27000000002</v>
          </cell>
          <cell r="L595">
            <v>178369.34000000003</v>
          </cell>
          <cell r="M595">
            <v>170000.56</v>
          </cell>
          <cell r="N595">
            <v>169971.69</v>
          </cell>
          <cell r="O595">
            <v>169087.81999999998</v>
          </cell>
          <cell r="P595">
            <v>168990.74</v>
          </cell>
          <cell r="Q595">
            <v>2125889.4899999998</v>
          </cell>
        </row>
        <row r="597">
          <cell r="A597" t="str">
            <v>Depletion</v>
          </cell>
        </row>
        <row r="598">
          <cell r="A598">
            <v>46000</v>
          </cell>
          <cell r="B598" t="str">
            <v>Depletion</v>
          </cell>
          <cell r="E598">
            <v>0</v>
          </cell>
          <cell r="F598">
            <v>0</v>
          </cell>
          <cell r="G598">
            <v>0</v>
          </cell>
          <cell r="H598">
            <v>0</v>
          </cell>
          <cell r="I598">
            <v>0</v>
          </cell>
          <cell r="J598">
            <v>0</v>
          </cell>
          <cell r="K598">
            <v>0</v>
          </cell>
          <cell r="L598">
            <v>0</v>
          </cell>
          <cell r="M598">
            <v>0</v>
          </cell>
          <cell r="N598">
            <v>0</v>
          </cell>
          <cell r="O598">
            <v>0</v>
          </cell>
          <cell r="P598">
            <v>0</v>
          </cell>
          <cell r="Q598">
            <v>0</v>
          </cell>
        </row>
        <row r="599">
          <cell r="A599">
            <v>46010</v>
          </cell>
          <cell r="B599" t="str">
            <v>Closure Amortization</v>
          </cell>
          <cell r="E599">
            <v>0</v>
          </cell>
          <cell r="F599">
            <v>0</v>
          </cell>
          <cell r="G599">
            <v>0</v>
          </cell>
          <cell r="H599">
            <v>0</v>
          </cell>
          <cell r="I599">
            <v>0</v>
          </cell>
          <cell r="J599">
            <v>0</v>
          </cell>
          <cell r="K599">
            <v>0</v>
          </cell>
          <cell r="L599">
            <v>0</v>
          </cell>
          <cell r="M599">
            <v>0</v>
          </cell>
          <cell r="N599">
            <v>0</v>
          </cell>
          <cell r="O599">
            <v>0</v>
          </cell>
          <cell r="P599">
            <v>0</v>
          </cell>
          <cell r="Q599">
            <v>0</v>
          </cell>
        </row>
        <row r="600">
          <cell r="A600">
            <v>57261</v>
          </cell>
          <cell r="B600" t="str">
            <v>Airspace Amortization</v>
          </cell>
          <cell r="E600">
            <v>0</v>
          </cell>
          <cell r="F600">
            <v>0</v>
          </cell>
          <cell r="G600">
            <v>0</v>
          </cell>
          <cell r="H600">
            <v>0</v>
          </cell>
          <cell r="I600">
            <v>0</v>
          </cell>
          <cell r="J600">
            <v>0</v>
          </cell>
          <cell r="K600">
            <v>0</v>
          </cell>
          <cell r="L600">
            <v>0</v>
          </cell>
          <cell r="M600">
            <v>0</v>
          </cell>
          <cell r="N600">
            <v>0</v>
          </cell>
          <cell r="O600">
            <v>0</v>
          </cell>
          <cell r="P600">
            <v>0</v>
          </cell>
          <cell r="Q600">
            <v>0</v>
          </cell>
        </row>
        <row r="601">
          <cell r="A601" t="str">
            <v>Total Depletion</v>
          </cell>
          <cell r="E601">
            <v>0</v>
          </cell>
          <cell r="F601">
            <v>0</v>
          </cell>
          <cell r="G601">
            <v>0</v>
          </cell>
          <cell r="H601">
            <v>0</v>
          </cell>
          <cell r="I601">
            <v>0</v>
          </cell>
          <cell r="J601">
            <v>0</v>
          </cell>
          <cell r="K601">
            <v>0</v>
          </cell>
          <cell r="L601">
            <v>0</v>
          </cell>
          <cell r="M601">
            <v>0</v>
          </cell>
          <cell r="N601">
            <v>0</v>
          </cell>
          <cell r="O601">
            <v>0</v>
          </cell>
          <cell r="P601">
            <v>0</v>
          </cell>
          <cell r="Q601">
            <v>0</v>
          </cell>
        </row>
        <row r="603">
          <cell r="A603" t="str">
            <v>Amortization</v>
          </cell>
        </row>
        <row r="604">
          <cell r="A604">
            <v>70264</v>
          </cell>
          <cell r="B604" t="str">
            <v>Amortization</v>
          </cell>
          <cell r="E604">
            <v>0</v>
          </cell>
          <cell r="F604">
            <v>0</v>
          </cell>
          <cell r="G604">
            <v>0</v>
          </cell>
          <cell r="H604">
            <v>0</v>
          </cell>
          <cell r="I604">
            <v>0</v>
          </cell>
          <cell r="J604">
            <v>0</v>
          </cell>
          <cell r="K604">
            <v>0</v>
          </cell>
          <cell r="L604">
            <v>0</v>
          </cell>
          <cell r="M604">
            <v>0</v>
          </cell>
          <cell r="N604">
            <v>0</v>
          </cell>
          <cell r="O604">
            <v>0</v>
          </cell>
          <cell r="P604">
            <v>0</v>
          </cell>
          <cell r="Q604">
            <v>0</v>
          </cell>
        </row>
        <row r="605">
          <cell r="A605">
            <v>70266</v>
          </cell>
          <cell r="B605" t="str">
            <v>Cov. Not to Compete</v>
          </cell>
          <cell r="E605">
            <v>1987.84</v>
          </cell>
          <cell r="F605">
            <v>1987.84</v>
          </cell>
          <cell r="G605">
            <v>1987.83</v>
          </cell>
          <cell r="H605">
            <v>1987.84</v>
          </cell>
          <cell r="I605">
            <v>1987.83</v>
          </cell>
          <cell r="J605">
            <v>1987.83</v>
          </cell>
          <cell r="K605">
            <v>1987.84</v>
          </cell>
          <cell r="L605">
            <v>1987.8</v>
          </cell>
          <cell r="M605">
            <v>0</v>
          </cell>
          <cell r="N605">
            <v>0</v>
          </cell>
          <cell r="O605">
            <v>0</v>
          </cell>
          <cell r="P605">
            <v>0</v>
          </cell>
          <cell r="Q605">
            <v>15902.65</v>
          </cell>
        </row>
        <row r="606">
          <cell r="A606">
            <v>70267</v>
          </cell>
          <cell r="B606" t="str">
            <v>Amortization of Goodwill - Taxable</v>
          </cell>
          <cell r="E606">
            <v>0</v>
          </cell>
          <cell r="F606">
            <v>0</v>
          </cell>
          <cell r="G606">
            <v>0</v>
          </cell>
          <cell r="H606">
            <v>0</v>
          </cell>
          <cell r="I606">
            <v>0</v>
          </cell>
          <cell r="J606">
            <v>0</v>
          </cell>
          <cell r="K606">
            <v>0</v>
          </cell>
          <cell r="L606">
            <v>0</v>
          </cell>
          <cell r="M606">
            <v>0</v>
          </cell>
          <cell r="N606">
            <v>0</v>
          </cell>
          <cell r="O606">
            <v>0</v>
          </cell>
          <cell r="P606">
            <v>0</v>
          </cell>
          <cell r="Q606">
            <v>0</v>
          </cell>
        </row>
        <row r="607">
          <cell r="A607">
            <v>70268</v>
          </cell>
          <cell r="B607" t="str">
            <v>Amortization of Goodwill - Non-Taxable</v>
          </cell>
          <cell r="E607">
            <v>0</v>
          </cell>
          <cell r="F607">
            <v>0</v>
          </cell>
          <cell r="G607">
            <v>0</v>
          </cell>
          <cell r="H607">
            <v>0</v>
          </cell>
          <cell r="I607">
            <v>0</v>
          </cell>
          <cell r="J607">
            <v>0</v>
          </cell>
          <cell r="K607">
            <v>0</v>
          </cell>
          <cell r="L607">
            <v>0</v>
          </cell>
          <cell r="M607">
            <v>0</v>
          </cell>
          <cell r="N607">
            <v>0</v>
          </cell>
          <cell r="O607">
            <v>0</v>
          </cell>
          <cell r="P607">
            <v>0</v>
          </cell>
          <cell r="Q607">
            <v>0</v>
          </cell>
        </row>
        <row r="608">
          <cell r="A608">
            <v>70269</v>
          </cell>
          <cell r="B608" t="str">
            <v>Long Term Contract Amort</v>
          </cell>
          <cell r="E608">
            <v>0</v>
          </cell>
          <cell r="F608">
            <v>0</v>
          </cell>
          <cell r="G608">
            <v>0</v>
          </cell>
          <cell r="H608">
            <v>0</v>
          </cell>
          <cell r="I608">
            <v>0</v>
          </cell>
          <cell r="J608">
            <v>0</v>
          </cell>
          <cell r="K608">
            <v>0</v>
          </cell>
          <cell r="L608">
            <v>0</v>
          </cell>
          <cell r="M608">
            <v>0</v>
          </cell>
          <cell r="N608">
            <v>0</v>
          </cell>
          <cell r="O608">
            <v>0</v>
          </cell>
          <cell r="P608">
            <v>0</v>
          </cell>
          <cell r="Q608">
            <v>0</v>
          </cell>
        </row>
        <row r="609">
          <cell r="A609" t="str">
            <v>Total Amortization</v>
          </cell>
          <cell r="E609">
            <v>1987.84</v>
          </cell>
          <cell r="F609">
            <v>1987.84</v>
          </cell>
          <cell r="G609">
            <v>1987.83</v>
          </cell>
          <cell r="H609">
            <v>1987.84</v>
          </cell>
          <cell r="I609">
            <v>1987.83</v>
          </cell>
          <cell r="J609">
            <v>1987.83</v>
          </cell>
          <cell r="K609">
            <v>1987.84</v>
          </cell>
          <cell r="L609">
            <v>1987.8</v>
          </cell>
          <cell r="M609">
            <v>0</v>
          </cell>
          <cell r="N609">
            <v>0</v>
          </cell>
          <cell r="O609">
            <v>0</v>
          </cell>
          <cell r="P609">
            <v>0</v>
          </cell>
          <cell r="Q609">
            <v>15902.65</v>
          </cell>
        </row>
        <row r="611">
          <cell r="A611" t="str">
            <v>Total DDA</v>
          </cell>
          <cell r="E611">
            <v>181683.73</v>
          </cell>
          <cell r="F611">
            <v>184887.46</v>
          </cell>
          <cell r="G611">
            <v>184907.44</v>
          </cell>
          <cell r="H611">
            <v>184956.27</v>
          </cell>
          <cell r="I611">
            <v>182960.97</v>
          </cell>
          <cell r="J611">
            <v>179044.21</v>
          </cell>
          <cell r="K611">
            <v>184944.11000000002</v>
          </cell>
          <cell r="L611">
            <v>180357.14</v>
          </cell>
          <cell r="M611">
            <v>170000.56</v>
          </cell>
          <cell r="N611">
            <v>169971.69</v>
          </cell>
          <cell r="O611">
            <v>169087.81999999998</v>
          </cell>
          <cell r="P611">
            <v>168990.74</v>
          </cell>
          <cell r="Q611">
            <v>2141792.1399999997</v>
          </cell>
        </row>
        <row r="613">
          <cell r="A613" t="str">
            <v>EBIT</v>
          </cell>
          <cell r="E613">
            <v>530401.2899999998</v>
          </cell>
          <cell r="F613">
            <v>587717.89999999991</v>
          </cell>
          <cell r="G613">
            <v>591809.08999999985</v>
          </cell>
          <cell r="H613">
            <v>546583.5</v>
          </cell>
          <cell r="I613">
            <v>586657.69999999937</v>
          </cell>
          <cell r="J613">
            <v>373511.39000000036</v>
          </cell>
          <cell r="K613">
            <v>558066.65999999933</v>
          </cell>
          <cell r="L613">
            <v>483040.5899999995</v>
          </cell>
          <cell r="M613">
            <v>596160.58000000007</v>
          </cell>
          <cell r="N613">
            <v>513066.08000000048</v>
          </cell>
          <cell r="O613">
            <v>613583.74999999977</v>
          </cell>
          <cell r="P613">
            <v>452829.09000000032</v>
          </cell>
          <cell r="Q613">
            <v>6433427.620000002</v>
          </cell>
        </row>
        <row r="615">
          <cell r="A615" t="str">
            <v>Interest Expense</v>
          </cell>
        </row>
        <row r="616">
          <cell r="A616">
            <v>80000</v>
          </cell>
          <cell r="B616" t="str">
            <v>Interest Expense</v>
          </cell>
          <cell r="E616">
            <v>0</v>
          </cell>
          <cell r="F616">
            <v>0</v>
          </cell>
          <cell r="G616">
            <v>0</v>
          </cell>
          <cell r="H616">
            <v>0</v>
          </cell>
          <cell r="I616">
            <v>0</v>
          </cell>
          <cell r="J616">
            <v>0</v>
          </cell>
          <cell r="K616">
            <v>0</v>
          </cell>
          <cell r="L616">
            <v>0</v>
          </cell>
          <cell r="M616">
            <v>0</v>
          </cell>
          <cell r="N616">
            <v>0</v>
          </cell>
          <cell r="O616">
            <v>0</v>
          </cell>
          <cell r="P616">
            <v>0</v>
          </cell>
          <cell r="Q616">
            <v>0</v>
          </cell>
        </row>
        <row r="617">
          <cell r="A617">
            <v>80001</v>
          </cell>
          <cell r="B617" t="str">
            <v>Debt Accretion</v>
          </cell>
          <cell r="E617">
            <v>0</v>
          </cell>
          <cell r="F617">
            <v>0</v>
          </cell>
          <cell r="G617">
            <v>0</v>
          </cell>
          <cell r="H617">
            <v>0</v>
          </cell>
          <cell r="I617">
            <v>0</v>
          </cell>
          <cell r="J617">
            <v>0</v>
          </cell>
          <cell r="K617">
            <v>0</v>
          </cell>
          <cell r="L617">
            <v>0</v>
          </cell>
          <cell r="M617">
            <v>0</v>
          </cell>
          <cell r="N617">
            <v>0</v>
          </cell>
          <cell r="O617">
            <v>0</v>
          </cell>
          <cell r="P617">
            <v>0</v>
          </cell>
          <cell r="Q617">
            <v>0</v>
          </cell>
        </row>
        <row r="618">
          <cell r="A618">
            <v>80009</v>
          </cell>
          <cell r="B618" t="str">
            <v>Capitalized Interest</v>
          </cell>
          <cell r="E618">
            <v>0</v>
          </cell>
          <cell r="F618">
            <v>0</v>
          </cell>
          <cell r="G618">
            <v>0</v>
          </cell>
          <cell r="H618">
            <v>0</v>
          </cell>
          <cell r="I618">
            <v>0</v>
          </cell>
          <cell r="J618">
            <v>0</v>
          </cell>
          <cell r="K618">
            <v>0</v>
          </cell>
          <cell r="L618">
            <v>0</v>
          </cell>
          <cell r="M618">
            <v>0</v>
          </cell>
          <cell r="N618">
            <v>0</v>
          </cell>
          <cell r="O618">
            <v>0</v>
          </cell>
          <cell r="P618">
            <v>0</v>
          </cell>
          <cell r="Q618">
            <v>0</v>
          </cell>
        </row>
        <row r="619">
          <cell r="A619">
            <v>80099</v>
          </cell>
          <cell r="B619" t="str">
            <v>Interest Allocation</v>
          </cell>
          <cell r="E619">
            <v>0</v>
          </cell>
          <cell r="F619">
            <v>0</v>
          </cell>
          <cell r="G619">
            <v>0</v>
          </cell>
          <cell r="H619">
            <v>0</v>
          </cell>
          <cell r="I619">
            <v>0</v>
          </cell>
          <cell r="J619">
            <v>0</v>
          </cell>
          <cell r="K619">
            <v>0</v>
          </cell>
          <cell r="L619">
            <v>0</v>
          </cell>
          <cell r="M619">
            <v>0</v>
          </cell>
          <cell r="N619">
            <v>0</v>
          </cell>
          <cell r="O619">
            <v>0</v>
          </cell>
          <cell r="P619">
            <v>0</v>
          </cell>
          <cell r="Q619">
            <v>0</v>
          </cell>
        </row>
        <row r="620">
          <cell r="A620" t="str">
            <v>Total Interest Expense</v>
          </cell>
          <cell r="E620">
            <v>0</v>
          </cell>
          <cell r="F620">
            <v>0</v>
          </cell>
          <cell r="G620">
            <v>0</v>
          </cell>
          <cell r="H620">
            <v>0</v>
          </cell>
          <cell r="I620">
            <v>0</v>
          </cell>
          <cell r="J620">
            <v>0</v>
          </cell>
          <cell r="K620">
            <v>0</v>
          </cell>
          <cell r="L620">
            <v>0</v>
          </cell>
          <cell r="M620">
            <v>0</v>
          </cell>
          <cell r="N620">
            <v>0</v>
          </cell>
          <cell r="O620">
            <v>0</v>
          </cell>
          <cell r="P620">
            <v>0</v>
          </cell>
          <cell r="Q620">
            <v>0</v>
          </cell>
        </row>
        <row r="622">
          <cell r="A622" t="str">
            <v>Interest Income</v>
          </cell>
        </row>
        <row r="623">
          <cell r="A623">
            <v>80010</v>
          </cell>
          <cell r="B623" t="str">
            <v>Interest Income</v>
          </cell>
          <cell r="E623">
            <v>0</v>
          </cell>
          <cell r="F623">
            <v>0</v>
          </cell>
          <cell r="G623">
            <v>0</v>
          </cell>
          <cell r="H623">
            <v>0</v>
          </cell>
          <cell r="I623">
            <v>0</v>
          </cell>
          <cell r="J623">
            <v>0</v>
          </cell>
          <cell r="K623">
            <v>0</v>
          </cell>
          <cell r="L623">
            <v>0</v>
          </cell>
          <cell r="M623">
            <v>0</v>
          </cell>
          <cell r="N623">
            <v>0</v>
          </cell>
          <cell r="O623">
            <v>0</v>
          </cell>
          <cell r="P623">
            <v>0</v>
          </cell>
          <cell r="Q623">
            <v>0</v>
          </cell>
        </row>
        <row r="624">
          <cell r="A624" t="str">
            <v>Total Interest Income</v>
          </cell>
          <cell r="E624">
            <v>0</v>
          </cell>
          <cell r="F624">
            <v>0</v>
          </cell>
          <cell r="G624">
            <v>0</v>
          </cell>
          <cell r="H624">
            <v>0</v>
          </cell>
          <cell r="I624">
            <v>0</v>
          </cell>
          <cell r="J624">
            <v>0</v>
          </cell>
          <cell r="K624">
            <v>0</v>
          </cell>
          <cell r="L624">
            <v>0</v>
          </cell>
          <cell r="M624">
            <v>0</v>
          </cell>
          <cell r="N624">
            <v>0</v>
          </cell>
          <cell r="O624">
            <v>0</v>
          </cell>
          <cell r="P624">
            <v>0</v>
          </cell>
          <cell r="Q624">
            <v>0</v>
          </cell>
        </row>
        <row r="626">
          <cell r="A626" t="str">
            <v>Other (Income) and Expense</v>
          </cell>
        </row>
        <row r="627">
          <cell r="A627">
            <v>70901</v>
          </cell>
          <cell r="B627" t="str">
            <v>Pooling Costs</v>
          </cell>
          <cell r="E627">
            <v>0</v>
          </cell>
          <cell r="F627">
            <v>0</v>
          </cell>
          <cell r="G627">
            <v>0</v>
          </cell>
          <cell r="H627">
            <v>0</v>
          </cell>
          <cell r="I627">
            <v>0</v>
          </cell>
          <cell r="J627">
            <v>0</v>
          </cell>
          <cell r="K627">
            <v>0</v>
          </cell>
          <cell r="L627">
            <v>0</v>
          </cell>
          <cell r="M627">
            <v>0</v>
          </cell>
          <cell r="N627">
            <v>0</v>
          </cell>
          <cell r="O627">
            <v>0</v>
          </cell>
          <cell r="P627">
            <v>0</v>
          </cell>
          <cell r="Q627">
            <v>0</v>
          </cell>
        </row>
        <row r="628">
          <cell r="A628">
            <v>91000</v>
          </cell>
          <cell r="B628" t="str">
            <v>Unusual Gain/Loss</v>
          </cell>
          <cell r="E628">
            <v>0</v>
          </cell>
          <cell r="F628">
            <v>0</v>
          </cell>
          <cell r="G628">
            <v>0</v>
          </cell>
          <cell r="H628">
            <v>0</v>
          </cell>
          <cell r="I628">
            <v>0</v>
          </cell>
          <cell r="J628">
            <v>0</v>
          </cell>
          <cell r="K628">
            <v>0</v>
          </cell>
          <cell r="L628">
            <v>0</v>
          </cell>
          <cell r="M628">
            <v>0</v>
          </cell>
          <cell r="N628">
            <v>0</v>
          </cell>
          <cell r="O628">
            <v>0</v>
          </cell>
          <cell r="P628">
            <v>0</v>
          </cell>
          <cell r="Q628">
            <v>0</v>
          </cell>
        </row>
        <row r="629">
          <cell r="A629">
            <v>91001</v>
          </cell>
          <cell r="B629" t="str">
            <v>Investment Distribution Income</v>
          </cell>
          <cell r="E629">
            <v>0</v>
          </cell>
          <cell r="F629">
            <v>0</v>
          </cell>
          <cell r="G629">
            <v>0</v>
          </cell>
          <cell r="H629">
            <v>0</v>
          </cell>
          <cell r="I629">
            <v>0</v>
          </cell>
          <cell r="J629">
            <v>0</v>
          </cell>
          <cell r="K629">
            <v>0</v>
          </cell>
          <cell r="L629">
            <v>0</v>
          </cell>
          <cell r="M629">
            <v>0</v>
          </cell>
          <cell r="N629">
            <v>0</v>
          </cell>
          <cell r="O629">
            <v>0</v>
          </cell>
          <cell r="P629">
            <v>0</v>
          </cell>
          <cell r="Q629">
            <v>0</v>
          </cell>
        </row>
        <row r="630">
          <cell r="A630">
            <v>91002</v>
          </cell>
          <cell r="B630" t="str">
            <v>NSF Fees</v>
          </cell>
          <cell r="E630">
            <v>0</v>
          </cell>
          <cell r="F630">
            <v>0</v>
          </cell>
          <cell r="G630">
            <v>0</v>
          </cell>
          <cell r="H630">
            <v>0</v>
          </cell>
          <cell r="I630">
            <v>0</v>
          </cell>
          <cell r="J630">
            <v>0</v>
          </cell>
          <cell r="K630">
            <v>0</v>
          </cell>
          <cell r="L630">
            <v>0</v>
          </cell>
          <cell r="M630">
            <v>0</v>
          </cell>
          <cell r="N630">
            <v>0</v>
          </cell>
          <cell r="O630">
            <v>0</v>
          </cell>
          <cell r="P630">
            <v>0</v>
          </cell>
          <cell r="Q630">
            <v>0</v>
          </cell>
        </row>
        <row r="631">
          <cell r="A631" t="str">
            <v>Total Other (Income) and Expense</v>
          </cell>
          <cell r="E631">
            <v>0</v>
          </cell>
          <cell r="F631">
            <v>0</v>
          </cell>
          <cell r="G631">
            <v>0</v>
          </cell>
          <cell r="H631">
            <v>0</v>
          </cell>
          <cell r="I631">
            <v>0</v>
          </cell>
          <cell r="J631">
            <v>0</v>
          </cell>
          <cell r="K631">
            <v>0</v>
          </cell>
          <cell r="L631">
            <v>0</v>
          </cell>
          <cell r="M631">
            <v>0</v>
          </cell>
          <cell r="N631">
            <v>0</v>
          </cell>
          <cell r="O631">
            <v>0</v>
          </cell>
          <cell r="P631">
            <v>0</v>
          </cell>
          <cell r="Q631">
            <v>0</v>
          </cell>
        </row>
        <row r="633">
          <cell r="A633" t="str">
            <v>Income Before Taxes and Extraordinary Items</v>
          </cell>
          <cell r="E633">
            <v>530401.2899999998</v>
          </cell>
          <cell r="F633">
            <v>587717.89999999991</v>
          </cell>
          <cell r="G633">
            <v>591809.08999999985</v>
          </cell>
          <cell r="H633">
            <v>546583.5</v>
          </cell>
          <cell r="I633">
            <v>586657.69999999937</v>
          </cell>
          <cell r="J633">
            <v>373511.39000000036</v>
          </cell>
          <cell r="K633">
            <v>558066.65999999933</v>
          </cell>
          <cell r="L633">
            <v>483040.5899999995</v>
          </cell>
          <cell r="M633">
            <v>596160.58000000007</v>
          </cell>
          <cell r="N633">
            <v>513066.08000000048</v>
          </cell>
          <cell r="O633">
            <v>613583.74999999977</v>
          </cell>
          <cell r="P633">
            <v>452829.09000000032</v>
          </cell>
          <cell r="Q633">
            <v>6433427.620000002</v>
          </cell>
        </row>
        <row r="635">
          <cell r="A635" t="str">
            <v>Extraordinary Income and Expense</v>
          </cell>
        </row>
        <row r="636">
          <cell r="A636">
            <v>92999</v>
          </cell>
          <cell r="B636" t="str">
            <v>Extraordinary Gain/Loss</v>
          </cell>
          <cell r="E636">
            <v>0</v>
          </cell>
          <cell r="F636">
            <v>0</v>
          </cell>
          <cell r="G636">
            <v>0</v>
          </cell>
          <cell r="H636">
            <v>0</v>
          </cell>
          <cell r="I636">
            <v>0</v>
          </cell>
          <cell r="J636">
            <v>0</v>
          </cell>
          <cell r="K636">
            <v>0</v>
          </cell>
          <cell r="L636">
            <v>0</v>
          </cell>
          <cell r="M636">
            <v>0</v>
          </cell>
          <cell r="N636">
            <v>0</v>
          </cell>
          <cell r="O636">
            <v>0</v>
          </cell>
          <cell r="P636">
            <v>0</v>
          </cell>
          <cell r="Q636">
            <v>0</v>
          </cell>
        </row>
        <row r="637">
          <cell r="A637" t="str">
            <v>Total Extraordinary Income and Expense</v>
          </cell>
          <cell r="E637">
            <v>0</v>
          </cell>
          <cell r="F637">
            <v>0</v>
          </cell>
          <cell r="G637">
            <v>0</v>
          </cell>
          <cell r="H637">
            <v>0</v>
          </cell>
          <cell r="I637">
            <v>0</v>
          </cell>
          <cell r="J637">
            <v>0</v>
          </cell>
          <cell r="K637">
            <v>0</v>
          </cell>
          <cell r="L637">
            <v>0</v>
          </cell>
          <cell r="M637">
            <v>0</v>
          </cell>
          <cell r="N637">
            <v>0</v>
          </cell>
          <cell r="O637">
            <v>0</v>
          </cell>
          <cell r="P637">
            <v>0</v>
          </cell>
          <cell r="Q637">
            <v>0</v>
          </cell>
        </row>
        <row r="639">
          <cell r="A639" t="str">
            <v>Net Income Before Taxes</v>
          </cell>
          <cell r="E639">
            <v>530401.2899999998</v>
          </cell>
          <cell r="F639">
            <v>587717.89999999991</v>
          </cell>
          <cell r="G639">
            <v>591809.08999999985</v>
          </cell>
          <cell r="H639">
            <v>546583.5</v>
          </cell>
          <cell r="I639">
            <v>586657.69999999937</v>
          </cell>
          <cell r="J639">
            <v>373511.39000000036</v>
          </cell>
          <cell r="K639">
            <v>558066.65999999933</v>
          </cell>
          <cell r="L639">
            <v>483040.5899999995</v>
          </cell>
          <cell r="M639">
            <v>596160.58000000007</v>
          </cell>
          <cell r="N639">
            <v>513066.08000000048</v>
          </cell>
          <cell r="O639">
            <v>613583.74999999977</v>
          </cell>
          <cell r="P639">
            <v>452829.09000000032</v>
          </cell>
          <cell r="Q639">
            <v>6433427.620000002</v>
          </cell>
        </row>
        <row r="641">
          <cell r="A641" t="str">
            <v>Income Taxes</v>
          </cell>
        </row>
        <row r="642">
          <cell r="A642">
            <v>90000</v>
          </cell>
          <cell r="B642" t="str">
            <v>Taxes -Federal</v>
          </cell>
          <cell r="E642">
            <v>0</v>
          </cell>
          <cell r="F642">
            <v>0</v>
          </cell>
          <cell r="G642">
            <v>0</v>
          </cell>
          <cell r="H642">
            <v>0</v>
          </cell>
          <cell r="I642">
            <v>0</v>
          </cell>
          <cell r="J642">
            <v>0</v>
          </cell>
          <cell r="K642">
            <v>0</v>
          </cell>
          <cell r="L642">
            <v>0</v>
          </cell>
          <cell r="M642">
            <v>0</v>
          </cell>
          <cell r="N642">
            <v>0</v>
          </cell>
          <cell r="O642">
            <v>0</v>
          </cell>
          <cell r="P642">
            <v>0</v>
          </cell>
          <cell r="Q642">
            <v>0</v>
          </cell>
        </row>
        <row r="643">
          <cell r="A643">
            <v>90010</v>
          </cell>
          <cell r="B643" t="str">
            <v>Taxes - State</v>
          </cell>
          <cell r="E643">
            <v>0</v>
          </cell>
          <cell r="F643">
            <v>0</v>
          </cell>
          <cell r="G643">
            <v>0</v>
          </cell>
          <cell r="H643">
            <v>0</v>
          </cell>
          <cell r="I643">
            <v>0</v>
          </cell>
          <cell r="J643">
            <v>0</v>
          </cell>
          <cell r="K643">
            <v>0</v>
          </cell>
          <cell r="L643">
            <v>0</v>
          </cell>
          <cell r="M643">
            <v>0</v>
          </cell>
          <cell r="N643">
            <v>0</v>
          </cell>
          <cell r="O643">
            <v>0</v>
          </cell>
          <cell r="P643">
            <v>0</v>
          </cell>
          <cell r="Q643">
            <v>0</v>
          </cell>
        </row>
        <row r="644">
          <cell r="A644" t="str">
            <v>Total Income Taxes</v>
          </cell>
          <cell r="E644">
            <v>0</v>
          </cell>
          <cell r="F644">
            <v>0</v>
          </cell>
          <cell r="G644">
            <v>0</v>
          </cell>
          <cell r="H644">
            <v>0</v>
          </cell>
          <cell r="I644">
            <v>0</v>
          </cell>
          <cell r="J644">
            <v>0</v>
          </cell>
          <cell r="K644">
            <v>0</v>
          </cell>
          <cell r="L644">
            <v>0</v>
          </cell>
          <cell r="M644">
            <v>0</v>
          </cell>
          <cell r="N644">
            <v>0</v>
          </cell>
          <cell r="O644">
            <v>0</v>
          </cell>
          <cell r="P644">
            <v>0</v>
          </cell>
          <cell r="Q644">
            <v>0</v>
          </cell>
        </row>
        <row r="646">
          <cell r="A646" t="str">
            <v>Net Income</v>
          </cell>
          <cell r="E646">
            <v>530401.2899999998</v>
          </cell>
          <cell r="F646">
            <v>587717.89999999991</v>
          </cell>
          <cell r="G646">
            <v>591809.08999999985</v>
          </cell>
          <cell r="H646">
            <v>546583.5</v>
          </cell>
          <cell r="I646">
            <v>586657.69999999937</v>
          </cell>
          <cell r="J646">
            <v>373511.39000000036</v>
          </cell>
          <cell r="K646">
            <v>558066.65999999933</v>
          </cell>
          <cell r="L646">
            <v>483040.5899999995</v>
          </cell>
          <cell r="M646">
            <v>596160.58000000007</v>
          </cell>
          <cell r="N646">
            <v>513066.08000000048</v>
          </cell>
          <cell r="O646">
            <v>613583.74999999977</v>
          </cell>
          <cell r="P646">
            <v>452829.09000000032</v>
          </cell>
          <cell r="Q646">
            <v>6433427.620000002</v>
          </cell>
        </row>
        <row r="648">
          <cell r="A648" t="str">
            <v>Noncontrolling Interests Expense</v>
          </cell>
        </row>
        <row r="649">
          <cell r="A649">
            <v>92000</v>
          </cell>
          <cell r="B649" t="str">
            <v>Noncontrolling interests</v>
          </cell>
          <cell r="E649">
            <v>0</v>
          </cell>
          <cell r="F649">
            <v>0</v>
          </cell>
          <cell r="G649">
            <v>0</v>
          </cell>
          <cell r="H649">
            <v>0</v>
          </cell>
          <cell r="I649">
            <v>0</v>
          </cell>
          <cell r="J649">
            <v>0</v>
          </cell>
          <cell r="K649">
            <v>0</v>
          </cell>
          <cell r="L649">
            <v>0</v>
          </cell>
          <cell r="M649">
            <v>0</v>
          </cell>
          <cell r="N649">
            <v>0</v>
          </cell>
          <cell r="O649">
            <v>0</v>
          </cell>
          <cell r="P649">
            <v>0</v>
          </cell>
          <cell r="Q649">
            <v>0</v>
          </cell>
        </row>
        <row r="650">
          <cell r="A650" t="str">
            <v>Total Noncontrolling Interests</v>
          </cell>
          <cell r="E650">
            <v>0</v>
          </cell>
          <cell r="F650">
            <v>0</v>
          </cell>
          <cell r="G650">
            <v>0</v>
          </cell>
          <cell r="H650">
            <v>0</v>
          </cell>
          <cell r="I650">
            <v>0</v>
          </cell>
          <cell r="J650">
            <v>0</v>
          </cell>
          <cell r="K650">
            <v>0</v>
          </cell>
          <cell r="L650">
            <v>0</v>
          </cell>
          <cell r="M650">
            <v>0</v>
          </cell>
          <cell r="N650">
            <v>0</v>
          </cell>
          <cell r="O650">
            <v>0</v>
          </cell>
          <cell r="P650">
            <v>0</v>
          </cell>
          <cell r="Q650">
            <v>0</v>
          </cell>
        </row>
        <row r="652">
          <cell r="A652" t="str">
            <v>Net Income Attributable to Waste Connections</v>
          </cell>
          <cell r="E652">
            <v>530401.2899999998</v>
          </cell>
          <cell r="F652">
            <v>587717.89999999991</v>
          </cell>
          <cell r="G652">
            <v>591809.08999999985</v>
          </cell>
          <cell r="H652">
            <v>546583.5</v>
          </cell>
          <cell r="I652">
            <v>586657.69999999937</v>
          </cell>
          <cell r="J652">
            <v>373511.39000000036</v>
          </cell>
          <cell r="K652">
            <v>558066.65999999933</v>
          </cell>
          <cell r="L652">
            <v>483040.5899999995</v>
          </cell>
          <cell r="M652">
            <v>596160.58000000007</v>
          </cell>
          <cell r="N652">
            <v>513066.08000000048</v>
          </cell>
          <cell r="O652">
            <v>613583.74999999977</v>
          </cell>
          <cell r="P652">
            <v>452829.09000000032</v>
          </cell>
          <cell r="Q652">
            <v>6433427.620000002</v>
          </cell>
        </row>
        <row r="654">
          <cell r="A654" t="str">
            <v>Net Income Attributable to Waste Connections per categories</v>
          </cell>
          <cell r="E654">
            <v>530401.29</v>
          </cell>
          <cell r="F654">
            <v>587717.9</v>
          </cell>
          <cell r="G654">
            <v>591809.09</v>
          </cell>
          <cell r="H654">
            <v>546583.5</v>
          </cell>
          <cell r="I654">
            <v>586657.69999999995</v>
          </cell>
          <cell r="J654">
            <v>373511.39</v>
          </cell>
          <cell r="K654">
            <v>558066.66</v>
          </cell>
          <cell r="L654">
            <v>483040.59</v>
          </cell>
          <cell r="M654">
            <v>596160.57999999996</v>
          </cell>
          <cell r="N654">
            <v>513066.08</v>
          </cell>
          <cell r="O654">
            <v>613583.75</v>
          </cell>
          <cell r="P654">
            <v>452829.09</v>
          </cell>
        </row>
      </sheetData>
      <sheetData sheetId="6" refreshError="1"/>
      <sheetData sheetId="7" refreshError="1">
        <row r="18">
          <cell r="Z18">
            <v>0.33073677436726834</v>
          </cell>
        </row>
        <row r="20">
          <cell r="AC20">
            <v>0.2095860832011289</v>
          </cell>
          <cell r="AK20">
            <v>0.43549015768657823</v>
          </cell>
        </row>
        <row r="39">
          <cell r="AC39">
            <v>0.37964780853584096</v>
          </cell>
        </row>
        <row r="40">
          <cell r="AC40">
            <v>0.36547527560558957</v>
          </cell>
        </row>
        <row r="120">
          <cell r="AE120">
            <v>0.43886061148837213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PL_ActReview2"/>
      <sheetName val="BS_Close"/>
      <sheetName val="PL_ActTranx"/>
      <sheetName val="IS200PL"/>
      <sheetName val="IS210PL"/>
      <sheetName val="ProjRevCheck"/>
      <sheetName val="BDebtCheck"/>
      <sheetName val="52901Check"/>
      <sheetName val="ICCheck"/>
      <sheetName val="BSCheck"/>
      <sheetName val="BadJECheck"/>
      <sheetName val="JE_Review"/>
      <sheetName val="Proj1"/>
      <sheetName val="Proj2"/>
    </sheetNames>
    <sheetDataSet>
      <sheetData sheetId="0"/>
      <sheetData sheetId="1" refreshError="1">
        <row r="2">
          <cell r="S2" t="str">
            <v>P&amp;L Close Report</v>
          </cell>
        </row>
        <row r="3">
          <cell r="S3" t="str">
            <v>P&amp;L Close Report 2</v>
          </cell>
        </row>
        <row r="4">
          <cell r="S4" t="str">
            <v>BS Close Report</v>
          </cell>
        </row>
        <row r="5">
          <cell r="S5" t="str">
            <v>IS 200 - PL Review</v>
          </cell>
        </row>
        <row r="6">
          <cell r="S6" t="str">
            <v>IS 210 - PL Review</v>
          </cell>
        </row>
        <row r="7">
          <cell r="S7" t="str">
            <v>P&amp;L Tranx Report</v>
          </cell>
        </row>
        <row r="8">
          <cell r="S8" t="str">
            <v>JE Review Report</v>
          </cell>
        </row>
        <row r="9">
          <cell r="S9" t="str">
            <v>Corp: Rev/Proj Check</v>
          </cell>
        </row>
        <row r="10">
          <cell r="S10" t="str">
            <v>Corp: 52901 Check</v>
          </cell>
        </row>
        <row r="11">
          <cell r="S11" t="str">
            <v>Corp: BS Check</v>
          </cell>
        </row>
        <row r="12">
          <cell r="S12" t="str">
            <v>Corp: Bad Debt Check</v>
          </cell>
        </row>
        <row r="13">
          <cell r="S13" t="str">
            <v>Corp: IC Check</v>
          </cell>
        </row>
        <row r="14">
          <cell r="S14" t="str">
            <v>Corp: JE Neg Check</v>
          </cell>
        </row>
        <row r="15">
          <cell r="S15" t="str">
            <v>Proj Review Report</v>
          </cell>
        </row>
        <row r="16">
          <cell r="S16" t="str">
            <v>Proj Review Report 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A, Certification, pg 1-2"/>
      <sheetName val="OrgControl, pg 3"/>
      <sheetName val="BS-Assets, pg 4"/>
      <sheetName val="BS-Liab, pg 5"/>
      <sheetName val="FixedAssets, pg 6"/>
      <sheetName val="Income Statement, pg 7"/>
      <sheetName val="RevenuesCust, pg 8"/>
      <sheetName val="Recyc-YW, pg 9"/>
      <sheetName val="contracts, pg 10"/>
      <sheetName val="GarbageDisp, pg 11"/>
      <sheetName val="RecycleProcessing, pg 12"/>
      <sheetName val="RetainEarn, pg 13"/>
      <sheetName val="Payroll, pg 14"/>
      <sheetName val="Fuel, pg 15"/>
      <sheetName val="FeeCalc, pg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320"/>
      <sheetName val="#REF"/>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A, Certification"/>
      <sheetName val="OrgControl"/>
      <sheetName val="InsuranceAccident"/>
      <sheetName val="bsasset"/>
      <sheetName val="bsliab"/>
      <sheetName val="FixedAssets"/>
      <sheetName val="RetainedEarnings"/>
      <sheetName val="Income Statement"/>
      <sheetName val="RevenuesCust"/>
      <sheetName val="Recycle"/>
      <sheetName val="contracts"/>
      <sheetName val="GarbageDisp"/>
      <sheetName val="RecycleProcessing"/>
      <sheetName val="Payroll"/>
      <sheetName val="Fee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G Nonpublic 2018 V5.0"/>
    </sheetNames>
    <sheetDataSet>
      <sheetData sheetId="0">
        <row r="55">
          <cell r="W55">
            <v>5.7225999999999999</v>
          </cell>
          <cell r="Y55">
            <v>5.6985000000000001</v>
          </cell>
        </row>
        <row r="56">
          <cell r="W56">
            <v>5.7082699999999997</v>
          </cell>
          <cell r="Y56">
            <v>5.6921999999999997</v>
          </cell>
        </row>
        <row r="58">
          <cell r="X58">
            <v>0.68367</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Truck Schedule"/>
      <sheetName val="Jun 2011 FAR"/>
      <sheetName val="Scrap List"/>
      <sheetName val="Sheet1"/>
      <sheetName val="Sheet2"/>
      <sheetName val="Sheet3"/>
      <sheetName val="Sheet4"/>
      <sheetName val="Feb'12 FAR Data"/>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Truck Schedule"/>
      <sheetName val="Jun 2011 FAR"/>
      <sheetName val="Scrap List"/>
      <sheetName val="Sheet1"/>
      <sheetName val="Sheet2"/>
      <sheetName val="Sheet3"/>
      <sheetName val="Sheet4"/>
      <sheetName val="Feb'12 FAR Data"/>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4MthProj1"/>
      <sheetName val="4MthProj2"/>
      <sheetName val="PL_ActReview"/>
      <sheetName val="PL_ActReview2"/>
      <sheetName val="BS_Close"/>
      <sheetName val="IS200PL"/>
      <sheetName val="PL_ActTranx"/>
      <sheetName val="IS210PL"/>
      <sheetName val="ProjRevCheck"/>
      <sheetName val="BDebtCheck"/>
      <sheetName val="52901Check"/>
      <sheetName val="ICCheck"/>
      <sheetName val="BSCheck"/>
      <sheetName val="BadJECheck"/>
      <sheetName val="JE_Review"/>
      <sheetName val="Proj1"/>
      <sheetName val="Proj2"/>
    </sheetNames>
    <sheetDataSet>
      <sheetData sheetId="0"/>
      <sheetData sheetId="1">
        <row r="2">
          <cell r="S2" t="str">
            <v>P&amp;L Close Report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
      <sheetName val="2016"/>
    </sheetNames>
    <sheetDataSet>
      <sheetData sheetId="0">
        <row r="1">
          <cell r="A1" t="str">
            <v xml:space="preserve">SOURCE: The Can &gt; Web Based Reports &gt; Price Increases &gt; PI Default Bill Area Pricing </v>
          </cell>
        </row>
        <row r="2">
          <cell r="A2" t="str">
            <v>Vlookup to match Service Code to correct price for each Bil Area</v>
          </cell>
        </row>
        <row r="4">
          <cell r="A4" t="str">
            <v>Sum of def_amount</v>
          </cell>
          <cell r="B4" t="str">
            <v>b_area</v>
          </cell>
        </row>
        <row r="5">
          <cell r="A5" t="str">
            <v>svc_code_alpha</v>
          </cell>
          <cell r="B5" t="str">
            <v>CONTRACT</v>
          </cell>
          <cell r="C5" t="str">
            <v>DUPONT</v>
          </cell>
          <cell r="D5" t="str">
            <v>EATONVILLE</v>
          </cell>
          <cell r="E5" t="str">
            <v>EQUITY</v>
          </cell>
        </row>
        <row r="6">
          <cell r="A6" t="str">
            <v>ACCESS-COMM</v>
          </cell>
          <cell r="B6">
            <v>0</v>
          </cell>
          <cell r="C6">
            <v>5.15</v>
          </cell>
          <cell r="D6">
            <v>4.76</v>
          </cell>
          <cell r="E6">
            <v>0</v>
          </cell>
        </row>
        <row r="7">
          <cell r="A7" t="str">
            <v>ACCESSCREC-COMM</v>
          </cell>
          <cell r="B7">
            <v>8</v>
          </cell>
          <cell r="C7">
            <v>8</v>
          </cell>
          <cell r="D7">
            <v>8</v>
          </cell>
          <cell r="E7">
            <v>8</v>
          </cell>
        </row>
        <row r="8">
          <cell r="A8" t="str">
            <v>ACCESS-MF</v>
          </cell>
          <cell r="B8">
            <v>0</v>
          </cell>
          <cell r="C8">
            <v>0</v>
          </cell>
          <cell r="D8">
            <v>0</v>
          </cell>
          <cell r="E8">
            <v>0</v>
          </cell>
        </row>
        <row r="9">
          <cell r="A9" t="str">
            <v>ACCESS-RES</v>
          </cell>
          <cell r="B9">
            <v>0</v>
          </cell>
          <cell r="C9">
            <v>10.37</v>
          </cell>
          <cell r="D9">
            <v>0</v>
          </cell>
          <cell r="E9">
            <v>0</v>
          </cell>
        </row>
        <row r="10">
          <cell r="A10" t="str">
            <v>ADD32GLCOMM</v>
          </cell>
          <cell r="B10">
            <v>0</v>
          </cell>
          <cell r="C10">
            <v>0</v>
          </cell>
          <cell r="D10">
            <v>0</v>
          </cell>
          <cell r="E10">
            <v>0</v>
          </cell>
        </row>
        <row r="11">
          <cell r="A11" t="str">
            <v>APPLIANCEC</v>
          </cell>
          <cell r="B11">
            <v>0</v>
          </cell>
          <cell r="C11">
            <v>0</v>
          </cell>
          <cell r="D11">
            <v>0</v>
          </cell>
          <cell r="E11">
            <v>0</v>
          </cell>
        </row>
        <row r="12">
          <cell r="A12" t="str">
            <v>APPLIANCER</v>
          </cell>
          <cell r="B12">
            <v>0</v>
          </cell>
          <cell r="C12">
            <v>0</v>
          </cell>
          <cell r="D12">
            <v>0</v>
          </cell>
          <cell r="E12">
            <v>0</v>
          </cell>
        </row>
        <row r="13">
          <cell r="A13" t="str">
            <v>BULKY-COMM</v>
          </cell>
          <cell r="B13">
            <v>0</v>
          </cell>
          <cell r="C13">
            <v>34.15</v>
          </cell>
          <cell r="D13">
            <v>0</v>
          </cell>
          <cell r="E13">
            <v>0</v>
          </cell>
        </row>
        <row r="14">
          <cell r="A14" t="str">
            <v>BULKY-RES</v>
          </cell>
          <cell r="B14">
            <v>0</v>
          </cell>
          <cell r="C14">
            <v>33.75</v>
          </cell>
          <cell r="D14">
            <v>0</v>
          </cell>
          <cell r="E14">
            <v>0</v>
          </cell>
        </row>
        <row r="15">
          <cell r="A15" t="str">
            <v>CANCOUNT65-COMM</v>
          </cell>
          <cell r="B15">
            <v>0</v>
          </cell>
          <cell r="C15">
            <v>7.17</v>
          </cell>
          <cell r="D15">
            <v>0</v>
          </cell>
          <cell r="E15">
            <v>0</v>
          </cell>
        </row>
        <row r="16">
          <cell r="A16" t="str">
            <v>CANCOUNT95-COMM</v>
          </cell>
          <cell r="B16">
            <v>0</v>
          </cell>
          <cell r="C16">
            <v>9.09</v>
          </cell>
          <cell r="D16">
            <v>0</v>
          </cell>
          <cell r="E16">
            <v>0</v>
          </cell>
        </row>
        <row r="17">
          <cell r="A17" t="str">
            <v>CANCOUNTCARRY-COMM</v>
          </cell>
          <cell r="B17">
            <v>0</v>
          </cell>
          <cell r="C17">
            <v>4.0599999999999996</v>
          </cell>
          <cell r="D17">
            <v>0</v>
          </cell>
          <cell r="E17">
            <v>0</v>
          </cell>
        </row>
        <row r="18">
          <cell r="A18" t="str">
            <v>CANCOUNT-COMM</v>
          </cell>
          <cell r="B18">
            <v>4.6100000000000003</v>
          </cell>
          <cell r="C18">
            <v>3.51</v>
          </cell>
          <cell r="D18">
            <v>0</v>
          </cell>
          <cell r="E18">
            <v>0</v>
          </cell>
        </row>
        <row r="19">
          <cell r="A19" t="str">
            <v>CANCOUNTFD65-COMM</v>
          </cell>
          <cell r="B19">
            <v>4.6100000000000003</v>
          </cell>
          <cell r="C19">
            <v>0</v>
          </cell>
          <cell r="D19">
            <v>0</v>
          </cell>
          <cell r="E19">
            <v>0</v>
          </cell>
        </row>
        <row r="20">
          <cell r="A20" t="str">
            <v>CANCOUNTFD95-COMM</v>
          </cell>
          <cell r="B20">
            <v>4.6100000000000003</v>
          </cell>
          <cell r="C20">
            <v>0</v>
          </cell>
          <cell r="D20">
            <v>0</v>
          </cell>
          <cell r="E20">
            <v>0</v>
          </cell>
        </row>
        <row r="21">
          <cell r="A21" t="str">
            <v>CANGRPCARRY-COMM</v>
          </cell>
          <cell r="B21">
            <v>0</v>
          </cell>
          <cell r="C21">
            <v>0</v>
          </cell>
          <cell r="D21">
            <v>0</v>
          </cell>
          <cell r="E21">
            <v>0</v>
          </cell>
        </row>
        <row r="22">
          <cell r="A22" t="str">
            <v>CLEAN1.5-COMM</v>
          </cell>
          <cell r="B22">
            <v>0</v>
          </cell>
          <cell r="C22">
            <v>0</v>
          </cell>
          <cell r="D22">
            <v>0</v>
          </cell>
          <cell r="E22">
            <v>0</v>
          </cell>
        </row>
        <row r="23">
          <cell r="A23" t="str">
            <v>CLEAN15-RO</v>
          </cell>
          <cell r="B23">
            <v>0</v>
          </cell>
          <cell r="C23">
            <v>0</v>
          </cell>
          <cell r="D23">
            <v>0</v>
          </cell>
          <cell r="E23">
            <v>0</v>
          </cell>
        </row>
        <row r="24">
          <cell r="A24" t="str">
            <v>CLEAN10-RO</v>
          </cell>
          <cell r="B24">
            <v>0</v>
          </cell>
          <cell r="C24">
            <v>51.35</v>
          </cell>
          <cell r="D24">
            <v>0</v>
          </cell>
          <cell r="E24">
            <v>47.5</v>
          </cell>
        </row>
        <row r="25">
          <cell r="A25" t="str">
            <v>CLEAN1-COMM</v>
          </cell>
          <cell r="B25">
            <v>0</v>
          </cell>
          <cell r="C25">
            <v>0</v>
          </cell>
          <cell r="D25">
            <v>0</v>
          </cell>
          <cell r="E25">
            <v>0</v>
          </cell>
        </row>
        <row r="26">
          <cell r="A26" t="str">
            <v>CLEAN20-RO</v>
          </cell>
          <cell r="B26">
            <v>0</v>
          </cell>
          <cell r="C26">
            <v>102.68</v>
          </cell>
          <cell r="D26">
            <v>0</v>
          </cell>
          <cell r="E26">
            <v>95</v>
          </cell>
        </row>
        <row r="27">
          <cell r="A27" t="str">
            <v>CLEAN25-RO</v>
          </cell>
          <cell r="B27">
            <v>0</v>
          </cell>
          <cell r="C27">
            <v>128.35</v>
          </cell>
          <cell r="D27">
            <v>0</v>
          </cell>
          <cell r="E27">
            <v>118.75</v>
          </cell>
        </row>
        <row r="28">
          <cell r="A28" t="str">
            <v>CLEAN2-COMM</v>
          </cell>
          <cell r="B28">
            <v>0</v>
          </cell>
          <cell r="C28">
            <v>0</v>
          </cell>
          <cell r="D28">
            <v>0</v>
          </cell>
          <cell r="E28">
            <v>0</v>
          </cell>
        </row>
        <row r="29">
          <cell r="A29" t="str">
            <v>CLEAN30-RO</v>
          </cell>
          <cell r="B29">
            <v>0</v>
          </cell>
          <cell r="C29">
            <v>154.03</v>
          </cell>
          <cell r="D29">
            <v>0</v>
          </cell>
          <cell r="E29">
            <v>142.5</v>
          </cell>
        </row>
        <row r="30">
          <cell r="A30" t="str">
            <v>CLEAN3-COMM</v>
          </cell>
          <cell r="B30">
            <v>0</v>
          </cell>
          <cell r="C30">
            <v>0</v>
          </cell>
          <cell r="D30">
            <v>0</v>
          </cell>
          <cell r="E30">
            <v>0</v>
          </cell>
        </row>
        <row r="31">
          <cell r="A31" t="str">
            <v>CLEAN40-RO</v>
          </cell>
          <cell r="B31">
            <v>0</v>
          </cell>
          <cell r="C31">
            <v>205.37</v>
          </cell>
          <cell r="D31">
            <v>0</v>
          </cell>
          <cell r="E31">
            <v>190</v>
          </cell>
        </row>
        <row r="32">
          <cell r="A32" t="str">
            <v>CLEAN4-COMM</v>
          </cell>
          <cell r="B32">
            <v>0</v>
          </cell>
          <cell r="C32">
            <v>0</v>
          </cell>
          <cell r="D32">
            <v>0</v>
          </cell>
          <cell r="E32">
            <v>0</v>
          </cell>
        </row>
        <row r="33">
          <cell r="A33" t="str">
            <v>CLEAN50-RO</v>
          </cell>
          <cell r="B33">
            <v>0</v>
          </cell>
          <cell r="C33">
            <v>256.72000000000003</v>
          </cell>
          <cell r="D33">
            <v>0</v>
          </cell>
          <cell r="E33">
            <v>237.5</v>
          </cell>
        </row>
        <row r="34">
          <cell r="A34" t="str">
            <v>CLEAN6-COMM</v>
          </cell>
          <cell r="B34">
            <v>0</v>
          </cell>
          <cell r="C34">
            <v>0</v>
          </cell>
          <cell r="D34">
            <v>0</v>
          </cell>
          <cell r="E34">
            <v>0</v>
          </cell>
        </row>
        <row r="35">
          <cell r="A35" t="str">
            <v>CLEAN-COMM</v>
          </cell>
          <cell r="B35">
            <v>0</v>
          </cell>
          <cell r="C35">
            <v>5.14</v>
          </cell>
          <cell r="D35">
            <v>20.25</v>
          </cell>
          <cell r="E35">
            <v>0</v>
          </cell>
        </row>
        <row r="36">
          <cell r="A36" t="str">
            <v>CLEANFW-COMM</v>
          </cell>
          <cell r="B36">
            <v>6.04</v>
          </cell>
          <cell r="C36">
            <v>0</v>
          </cell>
          <cell r="D36">
            <v>0</v>
          </cell>
          <cell r="E36">
            <v>0</v>
          </cell>
        </row>
        <row r="37">
          <cell r="A37" t="str">
            <v>CLEAN-RO</v>
          </cell>
          <cell r="B37">
            <v>84.17</v>
          </cell>
          <cell r="C37">
            <v>0</v>
          </cell>
          <cell r="D37">
            <v>0</v>
          </cell>
          <cell r="E37">
            <v>0</v>
          </cell>
        </row>
        <row r="38">
          <cell r="A38" t="str">
            <v>DEL1.5TEMP-COMM</v>
          </cell>
          <cell r="B38">
            <v>0</v>
          </cell>
          <cell r="C38">
            <v>24.55</v>
          </cell>
          <cell r="D38">
            <v>0</v>
          </cell>
          <cell r="E38">
            <v>0</v>
          </cell>
        </row>
        <row r="39">
          <cell r="A39" t="str">
            <v>DEL15TEMP-RO</v>
          </cell>
          <cell r="B39">
            <v>0</v>
          </cell>
          <cell r="C39">
            <v>0</v>
          </cell>
          <cell r="D39">
            <v>0</v>
          </cell>
          <cell r="E39">
            <v>0</v>
          </cell>
        </row>
        <row r="40">
          <cell r="A40" t="str">
            <v>DEL1TEMP-COMM</v>
          </cell>
          <cell r="B40">
            <v>0</v>
          </cell>
          <cell r="C40">
            <v>24.55</v>
          </cell>
          <cell r="D40">
            <v>0</v>
          </cell>
          <cell r="E40">
            <v>0</v>
          </cell>
        </row>
        <row r="41">
          <cell r="A41" t="str">
            <v>DEL20TEMP-RO</v>
          </cell>
          <cell r="B41">
            <v>0</v>
          </cell>
          <cell r="C41">
            <v>114.58</v>
          </cell>
          <cell r="D41">
            <v>112.97</v>
          </cell>
          <cell r="E41">
            <v>106</v>
          </cell>
        </row>
        <row r="42">
          <cell r="A42" t="str">
            <v>DEL25TEMP-RO</v>
          </cell>
          <cell r="B42">
            <v>0</v>
          </cell>
          <cell r="C42">
            <v>0</v>
          </cell>
          <cell r="D42">
            <v>0</v>
          </cell>
          <cell r="E42">
            <v>0</v>
          </cell>
        </row>
        <row r="43">
          <cell r="A43" t="str">
            <v>DEL2TEMP-COMM</v>
          </cell>
          <cell r="B43">
            <v>0</v>
          </cell>
          <cell r="C43">
            <v>24.55</v>
          </cell>
          <cell r="D43">
            <v>0</v>
          </cell>
          <cell r="E43">
            <v>22.71</v>
          </cell>
        </row>
        <row r="44">
          <cell r="A44" t="str">
            <v>DEL30TEMP-RO</v>
          </cell>
          <cell r="B44">
            <v>0</v>
          </cell>
          <cell r="C44">
            <v>114.58</v>
          </cell>
          <cell r="D44">
            <v>112.97</v>
          </cell>
          <cell r="E44">
            <v>106</v>
          </cell>
        </row>
        <row r="45">
          <cell r="A45" t="str">
            <v>DEL35TEMP-RO</v>
          </cell>
          <cell r="B45">
            <v>0</v>
          </cell>
          <cell r="C45">
            <v>0</v>
          </cell>
          <cell r="D45">
            <v>0</v>
          </cell>
          <cell r="E45">
            <v>0</v>
          </cell>
        </row>
        <row r="46">
          <cell r="A46" t="str">
            <v>DEL3TEMP-COMM</v>
          </cell>
          <cell r="B46">
            <v>0</v>
          </cell>
          <cell r="C46">
            <v>0</v>
          </cell>
          <cell r="D46">
            <v>0</v>
          </cell>
          <cell r="E46">
            <v>0</v>
          </cell>
        </row>
        <row r="47">
          <cell r="A47" t="str">
            <v>DEL40TEMP-RO</v>
          </cell>
          <cell r="B47">
            <v>0</v>
          </cell>
          <cell r="C47">
            <v>114.58</v>
          </cell>
          <cell r="D47">
            <v>112.97</v>
          </cell>
          <cell r="E47">
            <v>106</v>
          </cell>
        </row>
        <row r="48">
          <cell r="A48" t="str">
            <v>DEL4TEMP-COMM</v>
          </cell>
          <cell r="B48">
            <v>0</v>
          </cell>
          <cell r="C48">
            <v>0</v>
          </cell>
          <cell r="D48">
            <v>0</v>
          </cell>
          <cell r="E48">
            <v>0</v>
          </cell>
        </row>
        <row r="49">
          <cell r="A49" t="str">
            <v>DEL6TEMP-COMM</v>
          </cell>
          <cell r="B49">
            <v>0</v>
          </cell>
          <cell r="C49">
            <v>46.23</v>
          </cell>
          <cell r="D49">
            <v>0</v>
          </cell>
          <cell r="E49">
            <v>0</v>
          </cell>
        </row>
        <row r="50">
          <cell r="A50" t="str">
            <v>DEL-COMM</v>
          </cell>
          <cell r="B50">
            <v>0</v>
          </cell>
          <cell r="C50">
            <v>0</v>
          </cell>
          <cell r="D50">
            <v>0</v>
          </cell>
          <cell r="E50">
            <v>0</v>
          </cell>
        </row>
        <row r="51">
          <cell r="A51" t="str">
            <v>DELFW-COMM</v>
          </cell>
          <cell r="B51">
            <v>19.84</v>
          </cell>
          <cell r="C51">
            <v>0</v>
          </cell>
          <cell r="D51">
            <v>0</v>
          </cell>
          <cell r="E51">
            <v>0</v>
          </cell>
        </row>
        <row r="52">
          <cell r="A52" t="str">
            <v>DEM30-RO</v>
          </cell>
          <cell r="B52">
            <v>0</v>
          </cell>
          <cell r="C52">
            <v>0</v>
          </cell>
          <cell r="D52">
            <v>0</v>
          </cell>
          <cell r="E52">
            <v>0</v>
          </cell>
        </row>
        <row r="53">
          <cell r="A53" t="str">
            <v>DISCO-CP</v>
          </cell>
          <cell r="B53">
            <v>0</v>
          </cell>
          <cell r="C53">
            <v>11.35</v>
          </cell>
          <cell r="D53">
            <v>10.5</v>
          </cell>
          <cell r="E53">
            <v>10.5</v>
          </cell>
        </row>
        <row r="54">
          <cell r="A54" t="str">
            <v>DISP-COMM</v>
          </cell>
          <cell r="B54">
            <v>0</v>
          </cell>
          <cell r="C54">
            <v>0</v>
          </cell>
          <cell r="D54">
            <v>0</v>
          </cell>
          <cell r="E54">
            <v>0</v>
          </cell>
        </row>
        <row r="55">
          <cell r="A55" t="str">
            <v>DISPFEDMSW-RES</v>
          </cell>
          <cell r="B55">
            <v>0</v>
          </cell>
          <cell r="C55">
            <v>0</v>
          </cell>
          <cell r="D55">
            <v>0</v>
          </cell>
          <cell r="E55">
            <v>104.59</v>
          </cell>
        </row>
        <row r="56">
          <cell r="A56" t="str">
            <v>DISPFEDMSW-RO</v>
          </cell>
          <cell r="B56">
            <v>0</v>
          </cell>
          <cell r="C56">
            <v>0</v>
          </cell>
          <cell r="D56">
            <v>0</v>
          </cell>
          <cell r="E56">
            <v>104.59</v>
          </cell>
        </row>
        <row r="57">
          <cell r="A57" t="str">
            <v>DISP-RO</v>
          </cell>
          <cell r="B57">
            <v>0</v>
          </cell>
          <cell r="C57">
            <v>159.62</v>
          </cell>
          <cell r="D57">
            <v>153.47999999999999</v>
          </cell>
          <cell r="E57">
            <v>0</v>
          </cell>
        </row>
        <row r="58">
          <cell r="A58" t="str">
            <v>DIST1CAN-COMM</v>
          </cell>
          <cell r="B58">
            <v>0</v>
          </cell>
          <cell r="C58">
            <v>0</v>
          </cell>
          <cell r="D58">
            <v>0</v>
          </cell>
          <cell r="E58">
            <v>0</v>
          </cell>
        </row>
        <row r="59">
          <cell r="A59" t="str">
            <v>DIST2CAN-COMM</v>
          </cell>
          <cell r="B59">
            <v>0</v>
          </cell>
          <cell r="C59">
            <v>0</v>
          </cell>
          <cell r="D59">
            <v>0</v>
          </cell>
          <cell r="E59">
            <v>0</v>
          </cell>
        </row>
        <row r="60">
          <cell r="A60" t="str">
            <v>DIST3CAN-COMM</v>
          </cell>
          <cell r="B60">
            <v>0</v>
          </cell>
          <cell r="C60">
            <v>0</v>
          </cell>
          <cell r="D60">
            <v>0</v>
          </cell>
          <cell r="E60">
            <v>0</v>
          </cell>
        </row>
        <row r="61">
          <cell r="A61" t="str">
            <v>DIST4CAN-COMM</v>
          </cell>
          <cell r="B61">
            <v>0</v>
          </cell>
          <cell r="C61">
            <v>0</v>
          </cell>
          <cell r="D61">
            <v>0</v>
          </cell>
          <cell r="E61">
            <v>0</v>
          </cell>
        </row>
        <row r="62">
          <cell r="A62" t="str">
            <v>DIST5CAN-COMM</v>
          </cell>
          <cell r="B62">
            <v>0</v>
          </cell>
          <cell r="C62">
            <v>0</v>
          </cell>
          <cell r="D62">
            <v>0</v>
          </cell>
          <cell r="E62">
            <v>0</v>
          </cell>
        </row>
        <row r="63">
          <cell r="A63" t="str">
            <v>DRIVEIN1-COMM</v>
          </cell>
          <cell r="B63">
            <v>0</v>
          </cell>
          <cell r="C63">
            <v>7.58</v>
          </cell>
          <cell r="D63">
            <v>7.02</v>
          </cell>
          <cell r="E63">
            <v>0</v>
          </cell>
        </row>
        <row r="64">
          <cell r="A64" t="str">
            <v>DRIVEIN1-RES</v>
          </cell>
          <cell r="B64">
            <v>0</v>
          </cell>
          <cell r="C64">
            <v>0</v>
          </cell>
          <cell r="D64">
            <v>0</v>
          </cell>
          <cell r="E64">
            <v>0</v>
          </cell>
        </row>
        <row r="65">
          <cell r="A65" t="str">
            <v>DRIVEIN2-COMM</v>
          </cell>
          <cell r="B65">
            <v>0</v>
          </cell>
          <cell r="C65">
            <v>9.1300000000000008</v>
          </cell>
          <cell r="D65">
            <v>8.4499999999999993</v>
          </cell>
          <cell r="E65">
            <v>0</v>
          </cell>
        </row>
        <row r="66">
          <cell r="A66" t="str">
            <v>DRIVEIN2-RES</v>
          </cell>
          <cell r="B66">
            <v>0</v>
          </cell>
          <cell r="C66">
            <v>0</v>
          </cell>
          <cell r="D66">
            <v>0</v>
          </cell>
          <cell r="E66">
            <v>0</v>
          </cell>
        </row>
        <row r="67">
          <cell r="A67" t="str">
            <v>DRIVEIN3-COMM</v>
          </cell>
          <cell r="B67">
            <v>0</v>
          </cell>
          <cell r="C67">
            <v>10.66</v>
          </cell>
          <cell r="D67">
            <v>9.8800000000000008</v>
          </cell>
          <cell r="E67">
            <v>0</v>
          </cell>
        </row>
        <row r="68">
          <cell r="A68" t="str">
            <v>DRIVEIN3-RES</v>
          </cell>
          <cell r="B68">
            <v>0</v>
          </cell>
          <cell r="C68">
            <v>0</v>
          </cell>
          <cell r="D68">
            <v>0</v>
          </cell>
          <cell r="E68">
            <v>0</v>
          </cell>
        </row>
        <row r="69">
          <cell r="A69" t="str">
            <v>DRIVEIN4-COMM</v>
          </cell>
          <cell r="B69">
            <v>0</v>
          </cell>
          <cell r="C69">
            <v>12.21</v>
          </cell>
          <cell r="D69">
            <v>11.31</v>
          </cell>
          <cell r="E69">
            <v>0</v>
          </cell>
        </row>
        <row r="70">
          <cell r="A70" t="str">
            <v>DRIVEIN4-RES</v>
          </cell>
          <cell r="B70">
            <v>0</v>
          </cell>
          <cell r="C70">
            <v>0</v>
          </cell>
          <cell r="D70">
            <v>0</v>
          </cell>
          <cell r="E70">
            <v>0</v>
          </cell>
        </row>
        <row r="71">
          <cell r="A71" t="str">
            <v>DRIVEIN5-COMM</v>
          </cell>
          <cell r="B71">
            <v>0</v>
          </cell>
          <cell r="C71">
            <v>13.76</v>
          </cell>
          <cell r="D71">
            <v>12.73</v>
          </cell>
          <cell r="E71">
            <v>0</v>
          </cell>
        </row>
        <row r="72">
          <cell r="A72" t="str">
            <v>DRIVEIN5-RES</v>
          </cell>
          <cell r="B72">
            <v>0</v>
          </cell>
          <cell r="C72">
            <v>0</v>
          </cell>
          <cell r="D72">
            <v>0</v>
          </cell>
          <cell r="E72">
            <v>0</v>
          </cell>
        </row>
        <row r="73">
          <cell r="A73" t="str">
            <v>DRIVEIN6-RES</v>
          </cell>
          <cell r="B73">
            <v>0</v>
          </cell>
          <cell r="C73">
            <v>0</v>
          </cell>
          <cell r="D73">
            <v>0</v>
          </cell>
          <cell r="E73">
            <v>0</v>
          </cell>
        </row>
        <row r="74">
          <cell r="A74" t="str">
            <v>DRIVEIN7-RES</v>
          </cell>
          <cell r="B74">
            <v>0</v>
          </cell>
          <cell r="C74">
            <v>0</v>
          </cell>
          <cell r="D74">
            <v>0</v>
          </cell>
          <cell r="E74">
            <v>0</v>
          </cell>
        </row>
        <row r="75">
          <cell r="A75" t="str">
            <v>DRIVEINMUL-RES</v>
          </cell>
          <cell r="B75">
            <v>0</v>
          </cell>
          <cell r="C75">
            <v>0</v>
          </cell>
          <cell r="D75">
            <v>0</v>
          </cell>
          <cell r="E75">
            <v>0</v>
          </cell>
        </row>
        <row r="76">
          <cell r="A76" t="str">
            <v>DRIVEIN-RES</v>
          </cell>
          <cell r="B76">
            <v>0</v>
          </cell>
          <cell r="C76">
            <v>15.17</v>
          </cell>
          <cell r="D76">
            <v>0</v>
          </cell>
          <cell r="E76">
            <v>0</v>
          </cell>
        </row>
        <row r="77">
          <cell r="A77" t="str">
            <v>EP 1.5-MF</v>
          </cell>
          <cell r="B77">
            <v>0</v>
          </cell>
          <cell r="C77">
            <v>0</v>
          </cell>
          <cell r="D77">
            <v>0</v>
          </cell>
          <cell r="E77">
            <v>0</v>
          </cell>
        </row>
        <row r="78">
          <cell r="A78" t="str">
            <v>EP1.5-COMM</v>
          </cell>
          <cell r="B78">
            <v>0</v>
          </cell>
          <cell r="C78">
            <v>0</v>
          </cell>
          <cell r="D78">
            <v>0</v>
          </cell>
          <cell r="E78">
            <v>0</v>
          </cell>
        </row>
        <row r="79">
          <cell r="A79" t="str">
            <v>EP1-COMM</v>
          </cell>
          <cell r="B79">
            <v>0</v>
          </cell>
          <cell r="C79">
            <v>0</v>
          </cell>
          <cell r="D79">
            <v>0</v>
          </cell>
          <cell r="E79">
            <v>0</v>
          </cell>
        </row>
        <row r="80">
          <cell r="A80" t="str">
            <v>EP1-MF</v>
          </cell>
          <cell r="B80">
            <v>0</v>
          </cell>
          <cell r="C80">
            <v>0</v>
          </cell>
          <cell r="D80">
            <v>0</v>
          </cell>
          <cell r="E80">
            <v>0</v>
          </cell>
        </row>
        <row r="81">
          <cell r="A81" t="str">
            <v>EP2-COMM</v>
          </cell>
          <cell r="B81">
            <v>0</v>
          </cell>
          <cell r="C81">
            <v>0</v>
          </cell>
          <cell r="D81">
            <v>0</v>
          </cell>
          <cell r="E81">
            <v>0</v>
          </cell>
        </row>
        <row r="82">
          <cell r="A82" t="str">
            <v>EP2-MF</v>
          </cell>
          <cell r="B82">
            <v>0</v>
          </cell>
          <cell r="C82">
            <v>0</v>
          </cell>
          <cell r="D82">
            <v>0</v>
          </cell>
          <cell r="E82">
            <v>0</v>
          </cell>
        </row>
        <row r="83">
          <cell r="A83" t="str">
            <v>EP3-COMM</v>
          </cell>
          <cell r="B83">
            <v>0</v>
          </cell>
          <cell r="C83">
            <v>0</v>
          </cell>
          <cell r="D83">
            <v>0</v>
          </cell>
          <cell r="E83">
            <v>0</v>
          </cell>
        </row>
        <row r="84">
          <cell r="A84" t="str">
            <v>EP3-MF</v>
          </cell>
          <cell r="B84">
            <v>0</v>
          </cell>
          <cell r="C84">
            <v>0</v>
          </cell>
          <cell r="D84">
            <v>0</v>
          </cell>
          <cell r="E84">
            <v>0</v>
          </cell>
        </row>
        <row r="85">
          <cell r="A85" t="str">
            <v>EP4-COMM</v>
          </cell>
          <cell r="B85">
            <v>0</v>
          </cell>
          <cell r="C85">
            <v>0</v>
          </cell>
          <cell r="D85">
            <v>0</v>
          </cell>
          <cell r="E85">
            <v>0</v>
          </cell>
        </row>
        <row r="86">
          <cell r="A86" t="str">
            <v>EP4-MF</v>
          </cell>
          <cell r="B86">
            <v>0</v>
          </cell>
          <cell r="C86">
            <v>0</v>
          </cell>
          <cell r="D86">
            <v>0</v>
          </cell>
          <cell r="E86">
            <v>0</v>
          </cell>
        </row>
        <row r="87">
          <cell r="A87" t="str">
            <v>EP6-COMM</v>
          </cell>
          <cell r="B87">
            <v>0</v>
          </cell>
          <cell r="C87">
            <v>0</v>
          </cell>
          <cell r="D87">
            <v>0</v>
          </cell>
          <cell r="E87">
            <v>0</v>
          </cell>
        </row>
        <row r="88">
          <cell r="A88" t="str">
            <v>EP6-MF</v>
          </cell>
          <cell r="B88">
            <v>0</v>
          </cell>
          <cell r="C88">
            <v>0</v>
          </cell>
          <cell r="D88">
            <v>0</v>
          </cell>
          <cell r="E88">
            <v>0</v>
          </cell>
        </row>
        <row r="89">
          <cell r="A89" t="str">
            <v>EP96GW-COMM</v>
          </cell>
          <cell r="B89">
            <v>0</v>
          </cell>
          <cell r="C89">
            <v>4.0999999999999996</v>
          </cell>
          <cell r="D89">
            <v>0</v>
          </cell>
          <cell r="E89">
            <v>0</v>
          </cell>
        </row>
        <row r="90">
          <cell r="A90" t="str">
            <v>EP96GWC-RES</v>
          </cell>
          <cell r="B90">
            <v>0</v>
          </cell>
          <cell r="C90">
            <v>4.0999999999999996</v>
          </cell>
          <cell r="D90">
            <v>0</v>
          </cell>
          <cell r="E90">
            <v>0</v>
          </cell>
        </row>
        <row r="91">
          <cell r="A91" t="str">
            <v>EQUIP-COMM</v>
          </cell>
          <cell r="B91">
            <v>0</v>
          </cell>
          <cell r="C91">
            <v>0</v>
          </cell>
          <cell r="D91">
            <v>0</v>
          </cell>
          <cell r="E91">
            <v>0</v>
          </cell>
        </row>
        <row r="92">
          <cell r="A92" t="str">
            <v>EXTRAGRAD1-COMM</v>
          </cell>
          <cell r="B92">
            <v>0</v>
          </cell>
          <cell r="C92">
            <v>0</v>
          </cell>
          <cell r="D92">
            <v>0</v>
          </cell>
          <cell r="E92">
            <v>0</v>
          </cell>
        </row>
        <row r="93">
          <cell r="A93" t="str">
            <v>EXTRAGRAD1-RES</v>
          </cell>
          <cell r="B93">
            <v>0</v>
          </cell>
          <cell r="C93">
            <v>0</v>
          </cell>
          <cell r="D93">
            <v>0</v>
          </cell>
          <cell r="E93">
            <v>0</v>
          </cell>
        </row>
        <row r="94">
          <cell r="A94" t="str">
            <v>EXTRAGRAD2-COMM</v>
          </cell>
          <cell r="B94">
            <v>0</v>
          </cell>
          <cell r="C94">
            <v>0</v>
          </cell>
          <cell r="D94">
            <v>0</v>
          </cell>
          <cell r="E94">
            <v>0</v>
          </cell>
        </row>
        <row r="95">
          <cell r="A95" t="str">
            <v>EXTRAGRAD2-RES</v>
          </cell>
          <cell r="B95">
            <v>0</v>
          </cell>
          <cell r="C95">
            <v>0</v>
          </cell>
          <cell r="D95">
            <v>0</v>
          </cell>
          <cell r="E95">
            <v>0</v>
          </cell>
        </row>
        <row r="96">
          <cell r="A96" t="str">
            <v>EXTRA65-RES</v>
          </cell>
          <cell r="B96">
            <v>0</v>
          </cell>
          <cell r="C96">
            <v>0</v>
          </cell>
          <cell r="D96">
            <v>0</v>
          </cell>
          <cell r="E96">
            <v>0</v>
          </cell>
        </row>
        <row r="97">
          <cell r="A97" t="str">
            <v>EXTRA95-RES</v>
          </cell>
          <cell r="B97">
            <v>0</v>
          </cell>
          <cell r="C97">
            <v>0</v>
          </cell>
          <cell r="D97">
            <v>0</v>
          </cell>
          <cell r="E97">
            <v>0</v>
          </cell>
        </row>
        <row r="98">
          <cell r="A98" t="str">
            <v>EXTRA-COMM</v>
          </cell>
          <cell r="B98">
            <v>0</v>
          </cell>
          <cell r="C98">
            <v>3.42</v>
          </cell>
          <cell r="D98">
            <v>0</v>
          </cell>
          <cell r="E98">
            <v>0</v>
          </cell>
        </row>
        <row r="99">
          <cell r="A99" t="str">
            <v>EXTRAGWC-COMM</v>
          </cell>
          <cell r="B99">
            <v>0</v>
          </cell>
          <cell r="C99">
            <v>2.16</v>
          </cell>
          <cell r="D99">
            <v>0</v>
          </cell>
          <cell r="E99">
            <v>0</v>
          </cell>
        </row>
        <row r="100">
          <cell r="A100" t="str">
            <v>EXTRAGWC-RES</v>
          </cell>
          <cell r="B100">
            <v>0</v>
          </cell>
          <cell r="C100">
            <v>2.16</v>
          </cell>
          <cell r="D100">
            <v>0</v>
          </cell>
          <cell r="E100">
            <v>0</v>
          </cell>
        </row>
        <row r="101">
          <cell r="A101" t="str">
            <v>EXTRA-RES</v>
          </cell>
          <cell r="B101">
            <v>0</v>
          </cell>
          <cell r="C101">
            <v>4.46</v>
          </cell>
          <cell r="D101">
            <v>0</v>
          </cell>
          <cell r="E101">
            <v>0</v>
          </cell>
        </row>
        <row r="102">
          <cell r="A102" t="str">
            <v>EXTRAGWSPCL-RES</v>
          </cell>
          <cell r="B102">
            <v>0</v>
          </cell>
          <cell r="C102">
            <v>0</v>
          </cell>
          <cell r="D102">
            <v>0</v>
          </cell>
          <cell r="E102">
            <v>0</v>
          </cell>
        </row>
        <row r="103">
          <cell r="A103" t="str">
            <v>EXTRAYDG-COM</v>
          </cell>
          <cell r="B103">
            <v>0</v>
          </cell>
          <cell r="C103">
            <v>34.15</v>
          </cell>
          <cell r="D103">
            <v>0</v>
          </cell>
          <cell r="E103">
            <v>0</v>
          </cell>
        </row>
        <row r="104">
          <cell r="A104" t="str">
            <v>EXTRAYDG-MF</v>
          </cell>
          <cell r="B104">
            <v>0</v>
          </cell>
          <cell r="C104">
            <v>0</v>
          </cell>
          <cell r="D104">
            <v>0</v>
          </cell>
          <cell r="E104">
            <v>0</v>
          </cell>
        </row>
        <row r="105">
          <cell r="A105" t="str">
            <v>EXTRAYDG-RES</v>
          </cell>
          <cell r="B105">
            <v>0</v>
          </cell>
          <cell r="C105">
            <v>0</v>
          </cell>
          <cell r="D105">
            <v>0</v>
          </cell>
          <cell r="E105">
            <v>0</v>
          </cell>
        </row>
        <row r="106">
          <cell r="A106" t="str">
            <v>EXTRAYDG-RO</v>
          </cell>
          <cell r="B106">
            <v>0</v>
          </cell>
          <cell r="C106">
            <v>0</v>
          </cell>
          <cell r="D106">
            <v>0</v>
          </cell>
          <cell r="E106">
            <v>0</v>
          </cell>
        </row>
        <row r="107">
          <cell r="A107" t="str">
            <v>EXWGHT-RO</v>
          </cell>
          <cell r="B107">
            <v>0</v>
          </cell>
          <cell r="C107">
            <v>0.21</v>
          </cell>
          <cell r="D107">
            <v>0</v>
          </cell>
          <cell r="E107">
            <v>0</v>
          </cell>
        </row>
        <row r="108">
          <cell r="A108" t="str">
            <v>FDWASTE-COMM</v>
          </cell>
          <cell r="B108">
            <v>20</v>
          </cell>
          <cell r="C108">
            <v>0</v>
          </cell>
          <cell r="D108">
            <v>0</v>
          </cell>
          <cell r="E108">
            <v>0</v>
          </cell>
        </row>
        <row r="109">
          <cell r="A109" t="str">
            <v>FINAL15-RO</v>
          </cell>
          <cell r="B109">
            <v>0</v>
          </cell>
          <cell r="C109">
            <v>0</v>
          </cell>
          <cell r="D109">
            <v>0</v>
          </cell>
          <cell r="E109">
            <v>0</v>
          </cell>
        </row>
        <row r="110">
          <cell r="A110" t="str">
            <v>FINAL15TEMP-RO</v>
          </cell>
          <cell r="B110">
            <v>0</v>
          </cell>
          <cell r="C110">
            <v>0</v>
          </cell>
          <cell r="D110">
            <v>0</v>
          </cell>
          <cell r="E110">
            <v>0</v>
          </cell>
        </row>
        <row r="111">
          <cell r="A111" t="str">
            <v>FINAL20-RO</v>
          </cell>
          <cell r="B111">
            <v>0</v>
          </cell>
          <cell r="C111">
            <v>164.29</v>
          </cell>
          <cell r="D111">
            <v>162</v>
          </cell>
          <cell r="E111">
            <v>152</v>
          </cell>
        </row>
        <row r="112">
          <cell r="A112" t="str">
            <v>FINAL20TEMP-RO</v>
          </cell>
          <cell r="B112">
            <v>0</v>
          </cell>
          <cell r="C112">
            <v>178.89</v>
          </cell>
          <cell r="D112">
            <v>176.39</v>
          </cell>
          <cell r="E112">
            <v>165.5</v>
          </cell>
        </row>
        <row r="113">
          <cell r="A113" t="str">
            <v>FINAL25-RO</v>
          </cell>
          <cell r="B113">
            <v>0</v>
          </cell>
          <cell r="C113">
            <v>0</v>
          </cell>
          <cell r="D113">
            <v>0</v>
          </cell>
          <cell r="E113">
            <v>0</v>
          </cell>
        </row>
        <row r="114">
          <cell r="A114" t="str">
            <v>FINAL25TEMP-RO</v>
          </cell>
          <cell r="B114">
            <v>0</v>
          </cell>
          <cell r="C114">
            <v>0</v>
          </cell>
          <cell r="D114">
            <v>0</v>
          </cell>
          <cell r="E114">
            <v>0</v>
          </cell>
        </row>
        <row r="115">
          <cell r="A115" t="str">
            <v>FINAL30-RO</v>
          </cell>
          <cell r="B115">
            <v>0</v>
          </cell>
          <cell r="C115">
            <v>171.86</v>
          </cell>
          <cell r="D115">
            <v>169.47</v>
          </cell>
          <cell r="E115">
            <v>159</v>
          </cell>
        </row>
        <row r="116">
          <cell r="A116" t="str">
            <v>FINAL30TEMP-RO</v>
          </cell>
          <cell r="B116">
            <v>0</v>
          </cell>
          <cell r="C116">
            <v>185.92</v>
          </cell>
          <cell r="D116">
            <v>176.33</v>
          </cell>
          <cell r="E116">
            <v>172</v>
          </cell>
        </row>
        <row r="117">
          <cell r="A117" t="str">
            <v>FINAL40-RO</v>
          </cell>
          <cell r="B117">
            <v>0</v>
          </cell>
          <cell r="C117">
            <v>178.35</v>
          </cell>
          <cell r="D117">
            <v>175.86</v>
          </cell>
          <cell r="E117">
            <v>165</v>
          </cell>
        </row>
        <row r="118">
          <cell r="A118" t="str">
            <v>FINAL40TEMP-RO</v>
          </cell>
          <cell r="B118">
            <v>0</v>
          </cell>
          <cell r="C118">
            <v>192.94</v>
          </cell>
          <cell r="D118">
            <v>190.26</v>
          </cell>
          <cell r="E118">
            <v>178.5</v>
          </cell>
        </row>
        <row r="119">
          <cell r="A119" t="str">
            <v>FL001.0Y1W001</v>
          </cell>
          <cell r="B119">
            <v>1.28</v>
          </cell>
          <cell r="C119">
            <v>98.84</v>
          </cell>
          <cell r="D119">
            <v>102.7</v>
          </cell>
          <cell r="E119">
            <v>0</v>
          </cell>
        </row>
        <row r="120">
          <cell r="A120" t="str">
            <v>FL001.0Y1W001MF</v>
          </cell>
          <cell r="B120">
            <v>0</v>
          </cell>
          <cell r="C120">
            <v>0</v>
          </cell>
          <cell r="D120">
            <v>0</v>
          </cell>
          <cell r="E120">
            <v>0</v>
          </cell>
        </row>
        <row r="121">
          <cell r="A121" t="str">
            <v>FL001.0Y2W001</v>
          </cell>
          <cell r="B121">
            <v>0</v>
          </cell>
          <cell r="C121">
            <v>182.83</v>
          </cell>
          <cell r="D121">
            <v>199.38</v>
          </cell>
          <cell r="E121">
            <v>0</v>
          </cell>
        </row>
        <row r="122">
          <cell r="A122" t="str">
            <v>FL001.0Y2W001MF</v>
          </cell>
          <cell r="B122">
            <v>0</v>
          </cell>
          <cell r="C122">
            <v>0</v>
          </cell>
          <cell r="D122">
            <v>0</v>
          </cell>
          <cell r="E122">
            <v>0</v>
          </cell>
        </row>
        <row r="123">
          <cell r="A123" t="str">
            <v>FL001.0Y3W001</v>
          </cell>
          <cell r="B123">
            <v>0</v>
          </cell>
          <cell r="C123">
            <v>266.83</v>
          </cell>
          <cell r="D123">
            <v>0</v>
          </cell>
          <cell r="E123">
            <v>0</v>
          </cell>
        </row>
        <row r="124">
          <cell r="A124" t="str">
            <v>FL001.0Y3W001MF</v>
          </cell>
          <cell r="B124">
            <v>0</v>
          </cell>
          <cell r="C124">
            <v>0</v>
          </cell>
          <cell r="D124">
            <v>0</v>
          </cell>
          <cell r="E124">
            <v>0</v>
          </cell>
        </row>
        <row r="125">
          <cell r="A125" t="str">
            <v>FL001.0Y4W001</v>
          </cell>
          <cell r="B125">
            <v>0</v>
          </cell>
          <cell r="C125">
            <v>350.82</v>
          </cell>
          <cell r="D125">
            <v>0</v>
          </cell>
          <cell r="E125">
            <v>0</v>
          </cell>
        </row>
        <row r="126">
          <cell r="A126" t="str">
            <v>FL001.0Y4W001MF</v>
          </cell>
          <cell r="B126">
            <v>0</v>
          </cell>
          <cell r="C126">
            <v>0</v>
          </cell>
          <cell r="D126">
            <v>0</v>
          </cell>
          <cell r="E126">
            <v>0</v>
          </cell>
        </row>
        <row r="127">
          <cell r="A127" t="str">
            <v>FL001.0Y5W001</v>
          </cell>
          <cell r="B127">
            <v>0</v>
          </cell>
          <cell r="C127">
            <v>434.82</v>
          </cell>
          <cell r="D127">
            <v>0</v>
          </cell>
          <cell r="E127">
            <v>0</v>
          </cell>
        </row>
        <row r="128">
          <cell r="A128" t="str">
            <v>FL001.0Y5W001MF</v>
          </cell>
          <cell r="B128">
            <v>0</v>
          </cell>
          <cell r="C128">
            <v>0</v>
          </cell>
          <cell r="D128">
            <v>0</v>
          </cell>
          <cell r="E128">
            <v>0</v>
          </cell>
        </row>
        <row r="129">
          <cell r="A129" t="str">
            <v>FL001.0YTEMPMF</v>
          </cell>
          <cell r="B129">
            <v>0</v>
          </cell>
          <cell r="C129">
            <v>0</v>
          </cell>
          <cell r="D129">
            <v>0</v>
          </cell>
          <cell r="E129">
            <v>0</v>
          </cell>
        </row>
        <row r="130">
          <cell r="A130" t="str">
            <v>FL001.0YXX001TEMPC</v>
          </cell>
          <cell r="B130">
            <v>0</v>
          </cell>
          <cell r="C130">
            <v>24.81</v>
          </cell>
          <cell r="D130">
            <v>0</v>
          </cell>
          <cell r="E130">
            <v>0</v>
          </cell>
        </row>
        <row r="131">
          <cell r="A131" t="str">
            <v>FL001.5Y1W001</v>
          </cell>
          <cell r="B131">
            <v>0</v>
          </cell>
          <cell r="C131">
            <v>134.94999999999999</v>
          </cell>
          <cell r="D131">
            <v>141.16</v>
          </cell>
          <cell r="E131">
            <v>0</v>
          </cell>
        </row>
        <row r="132">
          <cell r="A132" t="str">
            <v>FL001.5Y1W001MF</v>
          </cell>
          <cell r="B132">
            <v>0</v>
          </cell>
          <cell r="C132">
            <v>0</v>
          </cell>
          <cell r="D132">
            <v>0</v>
          </cell>
          <cell r="E132">
            <v>0</v>
          </cell>
        </row>
        <row r="133">
          <cell r="A133" t="str">
            <v>FL001.5Y2W001</v>
          </cell>
          <cell r="B133">
            <v>0</v>
          </cell>
          <cell r="C133">
            <v>249.61</v>
          </cell>
          <cell r="D133">
            <v>271.73</v>
          </cell>
          <cell r="E133">
            <v>0</v>
          </cell>
        </row>
        <row r="134">
          <cell r="A134" t="str">
            <v>FL001.5Y2W001MF</v>
          </cell>
          <cell r="B134">
            <v>0</v>
          </cell>
          <cell r="C134">
            <v>0</v>
          </cell>
          <cell r="D134">
            <v>0</v>
          </cell>
          <cell r="E134">
            <v>0</v>
          </cell>
        </row>
        <row r="135">
          <cell r="A135" t="str">
            <v>FL001.5Y3W001</v>
          </cell>
          <cell r="B135">
            <v>0</v>
          </cell>
          <cell r="C135">
            <v>364.28</v>
          </cell>
          <cell r="D135">
            <v>0</v>
          </cell>
          <cell r="E135">
            <v>0</v>
          </cell>
        </row>
        <row r="136">
          <cell r="A136" t="str">
            <v>FL001.5Y3W001MF</v>
          </cell>
          <cell r="B136">
            <v>0</v>
          </cell>
          <cell r="C136">
            <v>0</v>
          </cell>
          <cell r="D136">
            <v>0</v>
          </cell>
          <cell r="E136">
            <v>0</v>
          </cell>
        </row>
        <row r="137">
          <cell r="A137" t="str">
            <v>FL001.5Y4W001</v>
          </cell>
          <cell r="B137">
            <v>0</v>
          </cell>
          <cell r="C137">
            <v>478.94</v>
          </cell>
          <cell r="D137">
            <v>0</v>
          </cell>
          <cell r="E137">
            <v>0</v>
          </cell>
        </row>
        <row r="138">
          <cell r="A138" t="str">
            <v>FL001.5Y4W001MF</v>
          </cell>
          <cell r="B138">
            <v>0</v>
          </cell>
          <cell r="C138">
            <v>0</v>
          </cell>
          <cell r="D138">
            <v>0</v>
          </cell>
          <cell r="E138">
            <v>0</v>
          </cell>
        </row>
        <row r="139">
          <cell r="A139" t="str">
            <v>FL001.5Y5W001</v>
          </cell>
          <cell r="B139">
            <v>0</v>
          </cell>
          <cell r="C139">
            <v>593.63</v>
          </cell>
          <cell r="D139">
            <v>0</v>
          </cell>
          <cell r="E139">
            <v>0</v>
          </cell>
        </row>
        <row r="140">
          <cell r="A140" t="str">
            <v>FL001.5Y5W001MF</v>
          </cell>
          <cell r="B140">
            <v>0</v>
          </cell>
          <cell r="C140">
            <v>0</v>
          </cell>
          <cell r="D140">
            <v>0</v>
          </cell>
          <cell r="E140">
            <v>0</v>
          </cell>
        </row>
        <row r="141">
          <cell r="A141" t="str">
            <v>FL001.5YTEMPMF</v>
          </cell>
          <cell r="B141">
            <v>0</v>
          </cell>
          <cell r="C141">
            <v>0</v>
          </cell>
          <cell r="D141">
            <v>0</v>
          </cell>
          <cell r="E141">
            <v>0</v>
          </cell>
        </row>
        <row r="142">
          <cell r="A142" t="str">
            <v>FL001.5YXX001TEMPC</v>
          </cell>
          <cell r="B142">
            <v>0</v>
          </cell>
          <cell r="C142">
            <v>32.96</v>
          </cell>
          <cell r="D142">
            <v>0</v>
          </cell>
          <cell r="E142">
            <v>0</v>
          </cell>
        </row>
        <row r="143">
          <cell r="A143" t="str">
            <v>FL002.0Y1M001BCMGL</v>
          </cell>
          <cell r="B143">
            <v>42</v>
          </cell>
          <cell r="C143">
            <v>46</v>
          </cell>
          <cell r="D143">
            <v>46</v>
          </cell>
          <cell r="E143">
            <v>46</v>
          </cell>
        </row>
        <row r="144">
          <cell r="A144" t="str">
            <v>FL002.0Y1W001</v>
          </cell>
          <cell r="B144">
            <v>1.1499999999999999</v>
          </cell>
          <cell r="C144">
            <v>172.65</v>
          </cell>
          <cell r="D144">
            <v>182.56</v>
          </cell>
          <cell r="E144">
            <v>0</v>
          </cell>
        </row>
        <row r="145">
          <cell r="A145" t="str">
            <v>FL002.0Y1W001BCMGL</v>
          </cell>
          <cell r="B145">
            <v>180</v>
          </cell>
          <cell r="C145">
            <v>186</v>
          </cell>
          <cell r="D145">
            <v>186</v>
          </cell>
          <cell r="E145">
            <v>186</v>
          </cell>
        </row>
        <row r="146">
          <cell r="A146" t="str">
            <v>FL002.0Y1W001BOCC</v>
          </cell>
          <cell r="B146">
            <v>110</v>
          </cell>
          <cell r="C146">
            <v>116</v>
          </cell>
          <cell r="D146">
            <v>116</v>
          </cell>
          <cell r="E146">
            <v>116</v>
          </cell>
        </row>
        <row r="147">
          <cell r="A147" t="str">
            <v>FL002.0Y1W001CMP</v>
          </cell>
          <cell r="B147">
            <v>0</v>
          </cell>
          <cell r="C147">
            <v>0</v>
          </cell>
          <cell r="D147">
            <v>0</v>
          </cell>
          <cell r="E147">
            <v>0</v>
          </cell>
        </row>
        <row r="148">
          <cell r="A148" t="str">
            <v>FL002.0Y1W001MF</v>
          </cell>
          <cell r="B148">
            <v>0</v>
          </cell>
          <cell r="C148">
            <v>0</v>
          </cell>
          <cell r="D148">
            <v>0</v>
          </cell>
          <cell r="E148">
            <v>0</v>
          </cell>
        </row>
        <row r="149">
          <cell r="A149" t="str">
            <v>FL002.0Y1W001SCMGL</v>
          </cell>
          <cell r="B149">
            <v>165</v>
          </cell>
          <cell r="C149">
            <v>171</v>
          </cell>
          <cell r="D149">
            <v>171</v>
          </cell>
          <cell r="E149">
            <v>171</v>
          </cell>
        </row>
        <row r="150">
          <cell r="A150" t="str">
            <v>FL002.0Y1W001SOCC</v>
          </cell>
          <cell r="B150">
            <v>98</v>
          </cell>
          <cell r="C150">
            <v>104</v>
          </cell>
          <cell r="D150">
            <v>104</v>
          </cell>
          <cell r="E150">
            <v>104</v>
          </cell>
        </row>
        <row r="151">
          <cell r="A151" t="str">
            <v>FL002.0Y2W001</v>
          </cell>
          <cell r="B151">
            <v>0</v>
          </cell>
          <cell r="C151">
            <v>323.82</v>
          </cell>
          <cell r="D151">
            <v>351.87</v>
          </cell>
          <cell r="E151">
            <v>0</v>
          </cell>
        </row>
        <row r="152">
          <cell r="A152" t="str">
            <v>FL002.0Y2W001BCMGL</v>
          </cell>
          <cell r="B152">
            <v>260</v>
          </cell>
          <cell r="C152">
            <v>266</v>
          </cell>
          <cell r="D152">
            <v>266</v>
          </cell>
          <cell r="E152">
            <v>266</v>
          </cell>
        </row>
        <row r="153">
          <cell r="A153" t="str">
            <v>FL002.0Y2W001BOCC</v>
          </cell>
          <cell r="B153">
            <v>130</v>
          </cell>
          <cell r="C153">
            <v>136</v>
          </cell>
          <cell r="D153">
            <v>136</v>
          </cell>
          <cell r="E153">
            <v>136</v>
          </cell>
        </row>
        <row r="154">
          <cell r="A154" t="str">
            <v>FL002.0Y2W001CMP</v>
          </cell>
          <cell r="B154">
            <v>0</v>
          </cell>
          <cell r="C154">
            <v>0</v>
          </cell>
          <cell r="D154">
            <v>0</v>
          </cell>
          <cell r="E154">
            <v>0</v>
          </cell>
        </row>
        <row r="155">
          <cell r="A155" t="str">
            <v>FL002.0Y2W001MF</v>
          </cell>
          <cell r="B155">
            <v>0</v>
          </cell>
          <cell r="C155">
            <v>0</v>
          </cell>
          <cell r="D155">
            <v>0</v>
          </cell>
          <cell r="E155">
            <v>0</v>
          </cell>
        </row>
        <row r="156">
          <cell r="A156" t="str">
            <v>FL002.0Y2W001SCMGL</v>
          </cell>
          <cell r="B156">
            <v>205</v>
          </cell>
          <cell r="C156">
            <v>211</v>
          </cell>
          <cell r="D156">
            <v>211</v>
          </cell>
          <cell r="E156">
            <v>211</v>
          </cell>
        </row>
        <row r="157">
          <cell r="A157" t="str">
            <v>FL002.0Y2W001SOCC</v>
          </cell>
          <cell r="B157">
            <v>105</v>
          </cell>
          <cell r="C157">
            <v>111</v>
          </cell>
          <cell r="D157">
            <v>111</v>
          </cell>
          <cell r="E157">
            <v>111</v>
          </cell>
        </row>
        <row r="158">
          <cell r="A158" t="str">
            <v>FL002.0Y3W001</v>
          </cell>
          <cell r="B158">
            <v>0</v>
          </cell>
          <cell r="C158">
            <v>474.88</v>
          </cell>
          <cell r="D158">
            <v>0</v>
          </cell>
          <cell r="E158">
            <v>0</v>
          </cell>
        </row>
        <row r="159">
          <cell r="A159" t="str">
            <v>FL002.0Y3W001BOCC</v>
          </cell>
          <cell r="B159">
            <v>220</v>
          </cell>
          <cell r="C159">
            <v>226</v>
          </cell>
          <cell r="D159">
            <v>226</v>
          </cell>
          <cell r="E159">
            <v>226</v>
          </cell>
        </row>
        <row r="160">
          <cell r="A160" t="str">
            <v>FL002.0Y3W001CMP</v>
          </cell>
          <cell r="B160">
            <v>0</v>
          </cell>
          <cell r="C160">
            <v>0</v>
          </cell>
          <cell r="D160">
            <v>0</v>
          </cell>
          <cell r="E160">
            <v>0</v>
          </cell>
        </row>
        <row r="161">
          <cell r="A161" t="str">
            <v>FL002.0Y3W001MF</v>
          </cell>
          <cell r="B161">
            <v>0</v>
          </cell>
          <cell r="C161">
            <v>0</v>
          </cell>
          <cell r="D161">
            <v>0</v>
          </cell>
          <cell r="E161">
            <v>0</v>
          </cell>
        </row>
        <row r="162">
          <cell r="A162" t="str">
            <v>FL002.0Y3W001SOCC</v>
          </cell>
          <cell r="B162">
            <v>190</v>
          </cell>
          <cell r="C162">
            <v>196</v>
          </cell>
          <cell r="D162">
            <v>196</v>
          </cell>
          <cell r="E162">
            <v>196</v>
          </cell>
        </row>
        <row r="163">
          <cell r="A163" t="str">
            <v>FL002.0Y4W001</v>
          </cell>
          <cell r="B163">
            <v>0</v>
          </cell>
          <cell r="C163">
            <v>626.16</v>
          </cell>
          <cell r="D163">
            <v>0</v>
          </cell>
          <cell r="E163">
            <v>0</v>
          </cell>
        </row>
        <row r="164">
          <cell r="A164" t="str">
            <v>FL002.0Y4W001BOCC</v>
          </cell>
          <cell r="B164">
            <v>250</v>
          </cell>
          <cell r="C164">
            <v>256</v>
          </cell>
          <cell r="D164">
            <v>256</v>
          </cell>
          <cell r="E164">
            <v>256</v>
          </cell>
        </row>
        <row r="165">
          <cell r="A165" t="str">
            <v>FL002.0Y4W001CMP</v>
          </cell>
          <cell r="B165">
            <v>0</v>
          </cell>
          <cell r="C165">
            <v>0</v>
          </cell>
          <cell r="D165">
            <v>0</v>
          </cell>
          <cell r="E165">
            <v>0</v>
          </cell>
        </row>
        <row r="166">
          <cell r="A166" t="str">
            <v>FL002.0Y4W001MF</v>
          </cell>
          <cell r="B166">
            <v>0</v>
          </cell>
          <cell r="C166">
            <v>0</v>
          </cell>
          <cell r="D166">
            <v>0</v>
          </cell>
          <cell r="E166">
            <v>0</v>
          </cell>
        </row>
        <row r="167">
          <cell r="A167" t="str">
            <v>FL002.0Y4W001SOCC</v>
          </cell>
          <cell r="B167">
            <v>230</v>
          </cell>
          <cell r="C167">
            <v>236</v>
          </cell>
          <cell r="D167">
            <v>236</v>
          </cell>
          <cell r="E167">
            <v>236</v>
          </cell>
        </row>
        <row r="168">
          <cell r="A168" t="str">
            <v>FL002.0Y5W001</v>
          </cell>
          <cell r="B168">
            <v>0</v>
          </cell>
          <cell r="C168">
            <v>777.33</v>
          </cell>
          <cell r="D168">
            <v>0</v>
          </cell>
          <cell r="E168">
            <v>0</v>
          </cell>
        </row>
        <row r="169">
          <cell r="A169" t="str">
            <v>FL002.0Y5W001BOCC</v>
          </cell>
          <cell r="B169">
            <v>330</v>
          </cell>
          <cell r="C169">
            <v>336</v>
          </cell>
          <cell r="D169">
            <v>336</v>
          </cell>
          <cell r="E169">
            <v>336</v>
          </cell>
        </row>
        <row r="170">
          <cell r="A170" t="str">
            <v>FL002.0Y5W001CMP</v>
          </cell>
          <cell r="B170">
            <v>0</v>
          </cell>
          <cell r="C170">
            <v>0</v>
          </cell>
          <cell r="D170">
            <v>0</v>
          </cell>
          <cell r="E170">
            <v>0</v>
          </cell>
        </row>
        <row r="171">
          <cell r="A171" t="str">
            <v>FL002.0Y5W001MF</v>
          </cell>
          <cell r="B171">
            <v>0</v>
          </cell>
          <cell r="C171">
            <v>0</v>
          </cell>
          <cell r="D171">
            <v>0</v>
          </cell>
          <cell r="E171">
            <v>0</v>
          </cell>
        </row>
        <row r="172">
          <cell r="A172" t="str">
            <v>FL002.0Y5W001SOCC</v>
          </cell>
          <cell r="B172">
            <v>288</v>
          </cell>
          <cell r="C172">
            <v>294</v>
          </cell>
          <cell r="D172">
            <v>294</v>
          </cell>
          <cell r="E172">
            <v>294</v>
          </cell>
        </row>
        <row r="173">
          <cell r="A173" t="str">
            <v>FL002.0YTEMPMF</v>
          </cell>
          <cell r="B173">
            <v>0</v>
          </cell>
          <cell r="C173">
            <v>0</v>
          </cell>
          <cell r="D173">
            <v>0</v>
          </cell>
          <cell r="E173">
            <v>0</v>
          </cell>
        </row>
        <row r="174">
          <cell r="A174" t="str">
            <v>FL002.0YXX001TEMPC</v>
          </cell>
          <cell r="B174">
            <v>0</v>
          </cell>
          <cell r="C174">
            <v>39.71</v>
          </cell>
          <cell r="D174">
            <v>0</v>
          </cell>
          <cell r="E174">
            <v>0</v>
          </cell>
        </row>
        <row r="175">
          <cell r="A175" t="str">
            <v>FL003.0Y1W001</v>
          </cell>
          <cell r="B175">
            <v>0</v>
          </cell>
          <cell r="C175">
            <v>240.5</v>
          </cell>
          <cell r="D175">
            <v>238.15</v>
          </cell>
          <cell r="E175">
            <v>0</v>
          </cell>
        </row>
        <row r="176">
          <cell r="A176" t="str">
            <v>FL003.0Y1W001CMP</v>
          </cell>
          <cell r="B176">
            <v>0</v>
          </cell>
          <cell r="C176">
            <v>0</v>
          </cell>
          <cell r="D176">
            <v>0</v>
          </cell>
          <cell r="E176">
            <v>0</v>
          </cell>
        </row>
        <row r="177">
          <cell r="A177" t="str">
            <v>FL003.0Y1W001MF</v>
          </cell>
          <cell r="B177">
            <v>0</v>
          </cell>
          <cell r="C177">
            <v>0</v>
          </cell>
          <cell r="D177">
            <v>0</v>
          </cell>
          <cell r="E177">
            <v>0</v>
          </cell>
        </row>
        <row r="178">
          <cell r="A178" t="str">
            <v>FL003.0Y2W001</v>
          </cell>
          <cell r="B178">
            <v>0</v>
          </cell>
          <cell r="C178">
            <v>453.57</v>
          </cell>
          <cell r="D178">
            <v>451.06</v>
          </cell>
          <cell r="E178">
            <v>0</v>
          </cell>
        </row>
        <row r="179">
          <cell r="A179" t="str">
            <v>FL003.0Y2W001CMP</v>
          </cell>
          <cell r="B179">
            <v>0</v>
          </cell>
          <cell r="C179">
            <v>0</v>
          </cell>
          <cell r="D179">
            <v>0</v>
          </cell>
          <cell r="E179">
            <v>0</v>
          </cell>
        </row>
        <row r="180">
          <cell r="A180" t="str">
            <v>FL003.0Y2W001MF</v>
          </cell>
          <cell r="B180">
            <v>0</v>
          </cell>
          <cell r="C180">
            <v>0</v>
          </cell>
          <cell r="D180">
            <v>0</v>
          </cell>
          <cell r="E180">
            <v>0</v>
          </cell>
        </row>
        <row r="181">
          <cell r="A181" t="str">
            <v>FL003.0Y3W001</v>
          </cell>
          <cell r="B181">
            <v>0</v>
          </cell>
          <cell r="C181">
            <v>667.33</v>
          </cell>
          <cell r="D181">
            <v>0</v>
          </cell>
          <cell r="E181">
            <v>0</v>
          </cell>
        </row>
        <row r="182">
          <cell r="A182" t="str">
            <v>FL003.0Y3W001CMP</v>
          </cell>
          <cell r="B182">
            <v>0</v>
          </cell>
          <cell r="C182">
            <v>0</v>
          </cell>
          <cell r="D182">
            <v>0</v>
          </cell>
          <cell r="E182">
            <v>0</v>
          </cell>
        </row>
        <row r="183">
          <cell r="A183" t="str">
            <v>FL003.0Y3W001MF</v>
          </cell>
          <cell r="B183">
            <v>0</v>
          </cell>
          <cell r="C183">
            <v>0</v>
          </cell>
          <cell r="D183">
            <v>0</v>
          </cell>
          <cell r="E183">
            <v>0</v>
          </cell>
        </row>
        <row r="184">
          <cell r="A184" t="str">
            <v>FL003.0Y4W001</v>
          </cell>
          <cell r="B184">
            <v>0</v>
          </cell>
          <cell r="C184">
            <v>881.55</v>
          </cell>
          <cell r="D184">
            <v>0</v>
          </cell>
          <cell r="E184">
            <v>0</v>
          </cell>
        </row>
        <row r="185">
          <cell r="A185" t="str">
            <v>FL003.0Y4W001CMP</v>
          </cell>
          <cell r="B185">
            <v>0</v>
          </cell>
          <cell r="C185">
            <v>0</v>
          </cell>
          <cell r="D185">
            <v>0</v>
          </cell>
          <cell r="E185">
            <v>0</v>
          </cell>
        </row>
        <row r="186">
          <cell r="A186" t="str">
            <v>FL003.0Y4W001MF</v>
          </cell>
          <cell r="B186">
            <v>0</v>
          </cell>
          <cell r="C186">
            <v>0</v>
          </cell>
          <cell r="D186">
            <v>0</v>
          </cell>
          <cell r="E186">
            <v>0</v>
          </cell>
        </row>
        <row r="187">
          <cell r="A187" t="str">
            <v>FL003.0Y5W001</v>
          </cell>
          <cell r="B187">
            <v>0</v>
          </cell>
          <cell r="C187">
            <v>1095.21</v>
          </cell>
          <cell r="D187">
            <v>0</v>
          </cell>
          <cell r="E187">
            <v>0</v>
          </cell>
        </row>
        <row r="188">
          <cell r="A188" t="str">
            <v>FL003.0Y5W001CMP</v>
          </cell>
          <cell r="B188">
            <v>0</v>
          </cell>
          <cell r="C188">
            <v>0</v>
          </cell>
          <cell r="D188">
            <v>0</v>
          </cell>
          <cell r="E188">
            <v>0</v>
          </cell>
        </row>
        <row r="189">
          <cell r="A189" t="str">
            <v>FL003.0Y5W001MF</v>
          </cell>
          <cell r="B189">
            <v>0</v>
          </cell>
          <cell r="C189">
            <v>0</v>
          </cell>
          <cell r="D189">
            <v>0</v>
          </cell>
          <cell r="E189">
            <v>0</v>
          </cell>
        </row>
        <row r="190">
          <cell r="A190" t="str">
            <v>FL003.0YXX001TEMPC</v>
          </cell>
          <cell r="B190">
            <v>0</v>
          </cell>
          <cell r="C190">
            <v>56.01</v>
          </cell>
          <cell r="D190">
            <v>0</v>
          </cell>
          <cell r="E190">
            <v>0</v>
          </cell>
        </row>
        <row r="191">
          <cell r="A191" t="str">
            <v>FL004.0Y1W001</v>
          </cell>
          <cell r="B191">
            <v>3.35</v>
          </cell>
          <cell r="C191">
            <v>320.27999999999997</v>
          </cell>
          <cell r="D191">
            <v>313.45999999999998</v>
          </cell>
          <cell r="E191">
            <v>0</v>
          </cell>
        </row>
        <row r="192">
          <cell r="A192" t="str">
            <v>FL004.0Y1W001CMGL</v>
          </cell>
          <cell r="B192">
            <v>0</v>
          </cell>
          <cell r="C192">
            <v>0</v>
          </cell>
          <cell r="D192">
            <v>0</v>
          </cell>
          <cell r="E192">
            <v>0</v>
          </cell>
        </row>
        <row r="193">
          <cell r="A193" t="str">
            <v>FL004.0Y1W001CMP</v>
          </cell>
          <cell r="B193">
            <v>0</v>
          </cell>
          <cell r="C193">
            <v>0</v>
          </cell>
          <cell r="D193">
            <v>0</v>
          </cell>
          <cell r="E193">
            <v>0</v>
          </cell>
        </row>
        <row r="194">
          <cell r="A194" t="str">
            <v>FL004.0Y1W001MF</v>
          </cell>
          <cell r="B194">
            <v>0</v>
          </cell>
          <cell r="C194">
            <v>0</v>
          </cell>
          <cell r="D194">
            <v>0</v>
          </cell>
          <cell r="E194">
            <v>0</v>
          </cell>
        </row>
        <row r="195">
          <cell r="A195" t="str">
            <v>FL004.0Y2W001</v>
          </cell>
          <cell r="B195">
            <v>0</v>
          </cell>
          <cell r="C195">
            <v>611.63</v>
          </cell>
          <cell r="D195">
            <v>600</v>
          </cell>
          <cell r="E195">
            <v>0</v>
          </cell>
        </row>
        <row r="196">
          <cell r="A196" t="str">
            <v>FL004.0Y2W001CMGL</v>
          </cell>
          <cell r="B196">
            <v>0</v>
          </cell>
          <cell r="C196">
            <v>0</v>
          </cell>
          <cell r="D196">
            <v>0</v>
          </cell>
          <cell r="E196">
            <v>0</v>
          </cell>
        </row>
        <row r="197">
          <cell r="A197" t="str">
            <v>FL004.0Y2W001CMP</v>
          </cell>
          <cell r="B197">
            <v>0</v>
          </cell>
          <cell r="C197">
            <v>0</v>
          </cell>
          <cell r="D197">
            <v>0</v>
          </cell>
          <cell r="E197">
            <v>0</v>
          </cell>
        </row>
        <row r="198">
          <cell r="A198" t="str">
            <v>FL004.0Y2W001MF</v>
          </cell>
          <cell r="B198">
            <v>0</v>
          </cell>
          <cell r="C198">
            <v>0</v>
          </cell>
          <cell r="D198">
            <v>0</v>
          </cell>
          <cell r="E198">
            <v>448.55</v>
          </cell>
        </row>
        <row r="199">
          <cell r="A199" t="str">
            <v>FL004.0Y3W001</v>
          </cell>
          <cell r="B199">
            <v>0</v>
          </cell>
          <cell r="C199">
            <v>893.42</v>
          </cell>
          <cell r="D199">
            <v>0</v>
          </cell>
          <cell r="E199">
            <v>0</v>
          </cell>
        </row>
        <row r="200">
          <cell r="A200" t="str">
            <v>FL004.0Y3W001CMP</v>
          </cell>
          <cell r="B200">
            <v>0</v>
          </cell>
          <cell r="C200">
            <v>0</v>
          </cell>
          <cell r="D200">
            <v>0</v>
          </cell>
          <cell r="E200">
            <v>0</v>
          </cell>
        </row>
        <row r="201">
          <cell r="A201" t="str">
            <v>FL004.0Y3W001MF</v>
          </cell>
          <cell r="B201">
            <v>0</v>
          </cell>
          <cell r="C201">
            <v>0</v>
          </cell>
          <cell r="D201">
            <v>0</v>
          </cell>
          <cell r="E201">
            <v>0</v>
          </cell>
        </row>
        <row r="202">
          <cell r="A202" t="str">
            <v>FL004.0Y4W001</v>
          </cell>
          <cell r="B202">
            <v>0</v>
          </cell>
          <cell r="C202">
            <v>1194.3</v>
          </cell>
          <cell r="D202">
            <v>0</v>
          </cell>
          <cell r="E202">
            <v>0</v>
          </cell>
        </row>
        <row r="203">
          <cell r="A203" t="str">
            <v>FL004.0Y4W001CMP</v>
          </cell>
          <cell r="B203">
            <v>0</v>
          </cell>
          <cell r="C203">
            <v>0</v>
          </cell>
          <cell r="D203">
            <v>0</v>
          </cell>
          <cell r="E203">
            <v>0</v>
          </cell>
        </row>
        <row r="204">
          <cell r="A204" t="str">
            <v>FL004.0Y4W001MF</v>
          </cell>
          <cell r="B204">
            <v>0</v>
          </cell>
          <cell r="C204">
            <v>0</v>
          </cell>
          <cell r="D204">
            <v>0</v>
          </cell>
          <cell r="E204">
            <v>0</v>
          </cell>
        </row>
        <row r="205">
          <cell r="A205" t="str">
            <v>FL004.0Y5W001</v>
          </cell>
          <cell r="B205">
            <v>0</v>
          </cell>
          <cell r="C205">
            <v>1463.31</v>
          </cell>
          <cell r="D205">
            <v>0</v>
          </cell>
          <cell r="E205">
            <v>0</v>
          </cell>
        </row>
        <row r="206">
          <cell r="A206" t="str">
            <v>FL004.0Y5W001CMP</v>
          </cell>
          <cell r="B206">
            <v>0</v>
          </cell>
          <cell r="C206">
            <v>0</v>
          </cell>
          <cell r="D206">
            <v>0</v>
          </cell>
          <cell r="E206">
            <v>0</v>
          </cell>
        </row>
        <row r="207">
          <cell r="A207" t="str">
            <v>FL004.0Y5W001MF</v>
          </cell>
          <cell r="B207">
            <v>0</v>
          </cell>
          <cell r="C207">
            <v>0</v>
          </cell>
          <cell r="D207">
            <v>0</v>
          </cell>
          <cell r="E207">
            <v>0</v>
          </cell>
        </row>
        <row r="208">
          <cell r="A208" t="str">
            <v>FL004.0YXX001TEMPC</v>
          </cell>
          <cell r="B208">
            <v>0</v>
          </cell>
          <cell r="C208">
            <v>72.959999999999994</v>
          </cell>
          <cell r="D208">
            <v>0</v>
          </cell>
          <cell r="E208">
            <v>0</v>
          </cell>
        </row>
        <row r="209">
          <cell r="A209" t="str">
            <v>FL005.0Y1W001BOCC</v>
          </cell>
          <cell r="B209">
            <v>110</v>
          </cell>
          <cell r="C209">
            <v>117</v>
          </cell>
          <cell r="D209">
            <v>117</v>
          </cell>
          <cell r="E209">
            <v>117</v>
          </cell>
        </row>
        <row r="210">
          <cell r="A210" t="str">
            <v>FL005.0Y1W001CMP</v>
          </cell>
          <cell r="B210">
            <v>0</v>
          </cell>
          <cell r="C210">
            <v>0</v>
          </cell>
          <cell r="D210">
            <v>0</v>
          </cell>
          <cell r="E210">
            <v>0</v>
          </cell>
        </row>
        <row r="211">
          <cell r="A211" t="str">
            <v>FL005.0Y1W001SOCC</v>
          </cell>
          <cell r="B211">
            <v>98</v>
          </cell>
          <cell r="C211">
            <v>105</v>
          </cell>
          <cell r="D211">
            <v>105</v>
          </cell>
          <cell r="E211">
            <v>105</v>
          </cell>
        </row>
        <row r="212">
          <cell r="A212" t="str">
            <v>FL005.0Y2W001BOCC</v>
          </cell>
          <cell r="B212">
            <v>130</v>
          </cell>
          <cell r="C212">
            <v>137</v>
          </cell>
          <cell r="D212">
            <v>137</v>
          </cell>
          <cell r="E212">
            <v>137</v>
          </cell>
        </row>
        <row r="213">
          <cell r="A213" t="str">
            <v>FL005.0Y2W001SOCC</v>
          </cell>
          <cell r="B213">
            <v>105</v>
          </cell>
          <cell r="C213">
            <v>112</v>
          </cell>
          <cell r="D213">
            <v>112</v>
          </cell>
          <cell r="E213">
            <v>112</v>
          </cell>
        </row>
        <row r="214">
          <cell r="A214" t="str">
            <v>FL005.0Y3W001BOCC</v>
          </cell>
          <cell r="B214">
            <v>220</v>
          </cell>
          <cell r="C214">
            <v>227</v>
          </cell>
          <cell r="D214">
            <v>227</v>
          </cell>
          <cell r="E214">
            <v>227</v>
          </cell>
        </row>
        <row r="215">
          <cell r="A215" t="str">
            <v>FL005.0Y3W001SOCC</v>
          </cell>
          <cell r="B215">
            <v>190</v>
          </cell>
          <cell r="C215">
            <v>197</v>
          </cell>
          <cell r="D215">
            <v>197</v>
          </cell>
          <cell r="E215">
            <v>197</v>
          </cell>
        </row>
        <row r="216">
          <cell r="A216" t="str">
            <v>FL005.0Y4W001BOCC</v>
          </cell>
          <cell r="B216">
            <v>250</v>
          </cell>
          <cell r="C216">
            <v>257</v>
          </cell>
          <cell r="D216">
            <v>257</v>
          </cell>
          <cell r="E216">
            <v>257</v>
          </cell>
        </row>
        <row r="217">
          <cell r="A217" t="str">
            <v>FL005.0Y4W001SOCC</v>
          </cell>
          <cell r="B217">
            <v>230</v>
          </cell>
          <cell r="C217">
            <v>237</v>
          </cell>
          <cell r="D217">
            <v>237</v>
          </cell>
          <cell r="E217">
            <v>237</v>
          </cell>
        </row>
        <row r="218">
          <cell r="A218" t="str">
            <v>FL005.0Y5W001BOCC</v>
          </cell>
          <cell r="B218">
            <v>330</v>
          </cell>
          <cell r="C218">
            <v>337</v>
          </cell>
          <cell r="D218">
            <v>337</v>
          </cell>
          <cell r="E218">
            <v>337</v>
          </cell>
        </row>
        <row r="219">
          <cell r="A219" t="str">
            <v>FL005.0Y5W001SOCC</v>
          </cell>
          <cell r="B219">
            <v>288</v>
          </cell>
          <cell r="C219">
            <v>295</v>
          </cell>
          <cell r="D219">
            <v>295</v>
          </cell>
          <cell r="E219">
            <v>295</v>
          </cell>
        </row>
        <row r="220">
          <cell r="A220" t="str">
            <v>FL006.0Y1W001</v>
          </cell>
          <cell r="B220">
            <v>9.8000000000000007</v>
          </cell>
          <cell r="C220">
            <v>435.86</v>
          </cell>
          <cell r="D220">
            <v>429.21</v>
          </cell>
          <cell r="E220">
            <v>0</v>
          </cell>
        </row>
        <row r="221">
          <cell r="A221" t="str">
            <v>FL006.0Y1W001BCMGL</v>
          </cell>
          <cell r="B221">
            <v>435</v>
          </cell>
          <cell r="C221">
            <v>442</v>
          </cell>
          <cell r="D221">
            <v>442</v>
          </cell>
          <cell r="E221">
            <v>442</v>
          </cell>
        </row>
        <row r="222">
          <cell r="A222" t="str">
            <v>FL006.0Y1W001CMP</v>
          </cell>
          <cell r="B222">
            <v>0</v>
          </cell>
          <cell r="C222">
            <v>0</v>
          </cell>
          <cell r="D222">
            <v>0</v>
          </cell>
          <cell r="E222">
            <v>0</v>
          </cell>
        </row>
        <row r="223">
          <cell r="A223" t="str">
            <v>FL006.0Y1W001MF</v>
          </cell>
          <cell r="B223">
            <v>0</v>
          </cell>
          <cell r="C223">
            <v>0</v>
          </cell>
          <cell r="D223">
            <v>0</v>
          </cell>
          <cell r="E223">
            <v>318.14999999999998</v>
          </cell>
        </row>
        <row r="224">
          <cell r="A224" t="str">
            <v>FL006.0Y1W001SCMGL</v>
          </cell>
          <cell r="B224">
            <v>400</v>
          </cell>
          <cell r="C224">
            <v>407</v>
          </cell>
          <cell r="D224">
            <v>407</v>
          </cell>
          <cell r="E224">
            <v>407</v>
          </cell>
        </row>
        <row r="225">
          <cell r="A225" t="str">
            <v>FL006.0Y2W001</v>
          </cell>
          <cell r="B225">
            <v>0</v>
          </cell>
          <cell r="C225">
            <v>829.5</v>
          </cell>
          <cell r="D225">
            <v>824.75</v>
          </cell>
          <cell r="E225">
            <v>0</v>
          </cell>
        </row>
        <row r="226">
          <cell r="A226" t="str">
            <v>FL006.0Y2W001BCMGL</v>
          </cell>
          <cell r="B226">
            <v>560</v>
          </cell>
          <cell r="C226">
            <v>567</v>
          </cell>
          <cell r="D226">
            <v>567</v>
          </cell>
          <cell r="E226">
            <v>567</v>
          </cell>
        </row>
        <row r="227">
          <cell r="A227" t="str">
            <v>FL006.0Y2W001MF</v>
          </cell>
          <cell r="B227">
            <v>0</v>
          </cell>
          <cell r="C227">
            <v>0</v>
          </cell>
          <cell r="D227">
            <v>0</v>
          </cell>
          <cell r="E227">
            <v>604.63</v>
          </cell>
        </row>
        <row r="228">
          <cell r="A228" t="str">
            <v>FL006.0Y2W001SCMGL</v>
          </cell>
          <cell r="B228">
            <v>500</v>
          </cell>
          <cell r="C228">
            <v>507</v>
          </cell>
          <cell r="D228">
            <v>507</v>
          </cell>
          <cell r="E228">
            <v>507</v>
          </cell>
        </row>
        <row r="229">
          <cell r="A229" t="str">
            <v>FL006.0Y3W001</v>
          </cell>
          <cell r="B229">
            <v>0</v>
          </cell>
          <cell r="C229">
            <v>1225.27</v>
          </cell>
          <cell r="D229">
            <v>0</v>
          </cell>
          <cell r="E229">
            <v>0</v>
          </cell>
        </row>
        <row r="230">
          <cell r="A230" t="str">
            <v>FL006.0Y3W001BCMGL</v>
          </cell>
          <cell r="B230">
            <v>700</v>
          </cell>
          <cell r="C230">
            <v>700</v>
          </cell>
          <cell r="D230">
            <v>700</v>
          </cell>
          <cell r="E230">
            <v>700</v>
          </cell>
        </row>
        <row r="231">
          <cell r="A231" t="str">
            <v>FL006.0Y3W001MF</v>
          </cell>
          <cell r="B231">
            <v>0</v>
          </cell>
          <cell r="C231">
            <v>0</v>
          </cell>
          <cell r="D231">
            <v>0</v>
          </cell>
          <cell r="E231">
            <v>0</v>
          </cell>
        </row>
        <row r="232">
          <cell r="A232" t="str">
            <v>FL006.0Y4W001</v>
          </cell>
          <cell r="B232">
            <v>0</v>
          </cell>
          <cell r="C232">
            <v>1627.55</v>
          </cell>
          <cell r="D232">
            <v>0</v>
          </cell>
          <cell r="E232">
            <v>0</v>
          </cell>
        </row>
        <row r="233">
          <cell r="A233" t="str">
            <v>FL006.0Y4W001MF</v>
          </cell>
          <cell r="B233">
            <v>0</v>
          </cell>
          <cell r="C233">
            <v>0</v>
          </cell>
          <cell r="D233">
            <v>0</v>
          </cell>
          <cell r="E233">
            <v>0</v>
          </cell>
        </row>
        <row r="234">
          <cell r="A234" t="str">
            <v>FL006.0Y5W001</v>
          </cell>
          <cell r="B234">
            <v>0</v>
          </cell>
          <cell r="C234">
            <v>2035.39</v>
          </cell>
          <cell r="D234">
            <v>0</v>
          </cell>
          <cell r="E234">
            <v>0</v>
          </cell>
        </row>
        <row r="235">
          <cell r="A235" t="str">
            <v>FL006.0Y5W001MF</v>
          </cell>
          <cell r="B235">
            <v>0</v>
          </cell>
          <cell r="C235">
            <v>0</v>
          </cell>
          <cell r="D235">
            <v>0</v>
          </cell>
          <cell r="E235">
            <v>0</v>
          </cell>
        </row>
        <row r="236">
          <cell r="A236" t="str">
            <v>FL006.0YEO001SCMGL</v>
          </cell>
          <cell r="B236">
            <v>305</v>
          </cell>
          <cell r="C236">
            <v>305</v>
          </cell>
          <cell r="D236">
            <v>305</v>
          </cell>
          <cell r="E236">
            <v>305</v>
          </cell>
        </row>
        <row r="237">
          <cell r="A237" t="str">
            <v>FL006.0YXX001TEMPC</v>
          </cell>
          <cell r="B237">
            <v>0</v>
          </cell>
          <cell r="C237">
            <v>101.1</v>
          </cell>
          <cell r="D237">
            <v>0</v>
          </cell>
          <cell r="E237">
            <v>0</v>
          </cell>
        </row>
        <row r="238">
          <cell r="A238" t="str">
            <v>GW3RES</v>
          </cell>
          <cell r="B238">
            <v>0</v>
          </cell>
          <cell r="C238">
            <v>0</v>
          </cell>
          <cell r="D238">
            <v>0</v>
          </cell>
          <cell r="E238">
            <v>0</v>
          </cell>
        </row>
        <row r="239">
          <cell r="A239" t="str">
            <v>GWCOMM</v>
          </cell>
          <cell r="B239">
            <v>7.6</v>
          </cell>
          <cell r="C239">
            <v>5.97</v>
          </cell>
          <cell r="D239">
            <v>5.53</v>
          </cell>
          <cell r="E239">
            <v>0</v>
          </cell>
        </row>
        <row r="240">
          <cell r="A240" t="str">
            <v>GWONLYRES</v>
          </cell>
          <cell r="B240">
            <v>10.78</v>
          </cell>
          <cell r="C240">
            <v>0</v>
          </cell>
          <cell r="D240">
            <v>0</v>
          </cell>
          <cell r="E240">
            <v>0</v>
          </cell>
        </row>
        <row r="241">
          <cell r="A241" t="str">
            <v>GWRES</v>
          </cell>
          <cell r="B241">
            <v>0</v>
          </cell>
          <cell r="C241">
            <v>11.98</v>
          </cell>
          <cell r="D241">
            <v>5.53</v>
          </cell>
          <cell r="E241">
            <v>5.53</v>
          </cell>
        </row>
        <row r="242">
          <cell r="A242" t="str">
            <v>GWSPCL-RES</v>
          </cell>
          <cell r="B242">
            <v>0</v>
          </cell>
          <cell r="C242">
            <v>0</v>
          </cell>
          <cell r="D242">
            <v>0</v>
          </cell>
          <cell r="E242">
            <v>0</v>
          </cell>
        </row>
        <row r="243">
          <cell r="A243" t="str">
            <v>HAUL10-CP</v>
          </cell>
          <cell r="B243">
            <v>0</v>
          </cell>
          <cell r="C243">
            <v>0</v>
          </cell>
          <cell r="D243">
            <v>0</v>
          </cell>
          <cell r="E243">
            <v>0</v>
          </cell>
        </row>
        <row r="244">
          <cell r="A244" t="str">
            <v>HAUL15-CP</v>
          </cell>
          <cell r="B244">
            <v>0</v>
          </cell>
          <cell r="C244">
            <v>0</v>
          </cell>
          <cell r="D244">
            <v>0</v>
          </cell>
          <cell r="E244">
            <v>0</v>
          </cell>
        </row>
        <row r="245">
          <cell r="A245" t="str">
            <v>HAUL15-RO</v>
          </cell>
          <cell r="B245">
            <v>0</v>
          </cell>
          <cell r="C245">
            <v>0</v>
          </cell>
          <cell r="D245">
            <v>0</v>
          </cell>
          <cell r="E245">
            <v>0</v>
          </cell>
        </row>
        <row r="246">
          <cell r="A246" t="str">
            <v>HAUL20-CP</v>
          </cell>
          <cell r="B246">
            <v>0</v>
          </cell>
          <cell r="C246">
            <v>193.48</v>
          </cell>
          <cell r="D246">
            <v>0</v>
          </cell>
          <cell r="E246">
            <v>0</v>
          </cell>
        </row>
        <row r="247">
          <cell r="A247" t="str">
            <v>HAUL20CUST-RO</v>
          </cell>
          <cell r="B247">
            <v>0</v>
          </cell>
          <cell r="C247">
            <v>0</v>
          </cell>
          <cell r="D247">
            <v>0</v>
          </cell>
          <cell r="E247">
            <v>0</v>
          </cell>
        </row>
        <row r="248">
          <cell r="A248" t="str">
            <v>HAUL20-RO</v>
          </cell>
          <cell r="B248">
            <v>0</v>
          </cell>
          <cell r="C248">
            <v>164.29</v>
          </cell>
          <cell r="D248">
            <v>162</v>
          </cell>
          <cell r="E248">
            <v>152</v>
          </cell>
        </row>
        <row r="249">
          <cell r="A249" t="str">
            <v>HAUL20TEMP-RO</v>
          </cell>
          <cell r="B249">
            <v>0</v>
          </cell>
          <cell r="C249">
            <v>178.89</v>
          </cell>
          <cell r="D249">
            <v>176.39</v>
          </cell>
          <cell r="E249">
            <v>165.5</v>
          </cell>
        </row>
        <row r="250">
          <cell r="A250" t="str">
            <v>HAUL25-CP</v>
          </cell>
          <cell r="B250">
            <v>0</v>
          </cell>
          <cell r="C250">
            <v>214.56</v>
          </cell>
          <cell r="D250">
            <v>211.56</v>
          </cell>
          <cell r="E250">
            <v>0</v>
          </cell>
        </row>
        <row r="251">
          <cell r="A251" t="str">
            <v>HAUL26-CP</v>
          </cell>
          <cell r="B251">
            <v>0</v>
          </cell>
          <cell r="C251">
            <v>0</v>
          </cell>
          <cell r="D251">
            <v>0</v>
          </cell>
          <cell r="E251">
            <v>0</v>
          </cell>
        </row>
        <row r="252">
          <cell r="A252" t="str">
            <v>HAUL30-CP</v>
          </cell>
          <cell r="B252">
            <v>0</v>
          </cell>
          <cell r="C252">
            <v>236.17</v>
          </cell>
          <cell r="D252">
            <v>232.88</v>
          </cell>
          <cell r="E252">
            <v>0</v>
          </cell>
        </row>
        <row r="253">
          <cell r="A253" t="str">
            <v>HAUL30CUST-RO</v>
          </cell>
          <cell r="B253">
            <v>0</v>
          </cell>
          <cell r="C253">
            <v>0</v>
          </cell>
          <cell r="D253">
            <v>0</v>
          </cell>
          <cell r="E253">
            <v>0</v>
          </cell>
        </row>
        <row r="254">
          <cell r="A254" t="str">
            <v>HAUL30-RO</v>
          </cell>
          <cell r="B254">
            <v>0</v>
          </cell>
          <cell r="C254">
            <v>171.86</v>
          </cell>
          <cell r="D254">
            <v>169.47</v>
          </cell>
          <cell r="E254">
            <v>159</v>
          </cell>
        </row>
        <row r="255">
          <cell r="A255" t="str">
            <v>HAUL30TEMP-RO</v>
          </cell>
          <cell r="B255">
            <v>0</v>
          </cell>
          <cell r="C255">
            <v>185.92</v>
          </cell>
          <cell r="D255">
            <v>176.33</v>
          </cell>
          <cell r="E255">
            <v>172</v>
          </cell>
        </row>
        <row r="256">
          <cell r="A256" t="str">
            <v>HAUL35-CP</v>
          </cell>
          <cell r="B256">
            <v>0</v>
          </cell>
          <cell r="C256">
            <v>250.23</v>
          </cell>
          <cell r="D256">
            <v>0</v>
          </cell>
          <cell r="E256">
            <v>0</v>
          </cell>
        </row>
        <row r="257">
          <cell r="A257" t="str">
            <v>HAUL40-CP</v>
          </cell>
          <cell r="B257">
            <v>0</v>
          </cell>
          <cell r="C257">
            <v>257.26</v>
          </cell>
          <cell r="D257">
            <v>0</v>
          </cell>
          <cell r="E257">
            <v>0</v>
          </cell>
        </row>
        <row r="258">
          <cell r="A258" t="str">
            <v>HAUL40CUST-RO</v>
          </cell>
          <cell r="B258">
            <v>0</v>
          </cell>
          <cell r="C258">
            <v>0</v>
          </cell>
          <cell r="D258">
            <v>0</v>
          </cell>
          <cell r="E258">
            <v>0</v>
          </cell>
        </row>
        <row r="259">
          <cell r="A259" t="str">
            <v>HAUL40-RO</v>
          </cell>
          <cell r="B259">
            <v>0</v>
          </cell>
          <cell r="C259">
            <v>178.35</v>
          </cell>
          <cell r="D259">
            <v>175.86</v>
          </cell>
          <cell r="E259">
            <v>165</v>
          </cell>
        </row>
        <row r="260">
          <cell r="A260" t="str">
            <v>HAUL40TEMP-RO</v>
          </cell>
          <cell r="B260">
            <v>0</v>
          </cell>
          <cell r="C260">
            <v>192.94</v>
          </cell>
          <cell r="D260">
            <v>190.26</v>
          </cell>
          <cell r="E260">
            <v>178.5</v>
          </cell>
        </row>
        <row r="261">
          <cell r="A261" t="str">
            <v>HAULFLUFF-RO</v>
          </cell>
          <cell r="B261">
            <v>15.89</v>
          </cell>
          <cell r="C261">
            <v>0</v>
          </cell>
          <cell r="D261">
            <v>0</v>
          </cell>
          <cell r="E261">
            <v>0</v>
          </cell>
        </row>
        <row r="262">
          <cell r="A262" t="str">
            <v>LABOR1.5X-RO</v>
          </cell>
          <cell r="B262">
            <v>0</v>
          </cell>
          <cell r="C262">
            <v>0</v>
          </cell>
          <cell r="D262">
            <v>0</v>
          </cell>
          <cell r="E262">
            <v>168.75</v>
          </cell>
        </row>
        <row r="263">
          <cell r="A263" t="str">
            <v>LABOR2X-RO</v>
          </cell>
          <cell r="B263">
            <v>0</v>
          </cell>
          <cell r="C263">
            <v>0</v>
          </cell>
          <cell r="D263">
            <v>0</v>
          </cell>
          <cell r="E263">
            <v>225</v>
          </cell>
        </row>
        <row r="264">
          <cell r="A264" t="str">
            <v>LCKC</v>
          </cell>
          <cell r="B264">
            <v>10</v>
          </cell>
          <cell r="C264">
            <v>5.15</v>
          </cell>
          <cell r="D264">
            <v>0</v>
          </cell>
          <cell r="E264">
            <v>0</v>
          </cell>
        </row>
        <row r="265">
          <cell r="A265" t="str">
            <v>LIDRO</v>
          </cell>
          <cell r="B265">
            <v>0</v>
          </cell>
          <cell r="C265">
            <v>21.45</v>
          </cell>
          <cell r="D265">
            <v>21.15</v>
          </cell>
          <cell r="E265">
            <v>19.850000000000001</v>
          </cell>
        </row>
        <row r="266">
          <cell r="A266" t="str">
            <v>LOCK-RO</v>
          </cell>
          <cell r="B266">
            <v>0</v>
          </cell>
          <cell r="C266">
            <v>0</v>
          </cell>
          <cell r="D266">
            <v>11.05</v>
          </cell>
          <cell r="E266">
            <v>0</v>
          </cell>
        </row>
        <row r="267">
          <cell r="A267" t="str">
            <v>MFNBINS</v>
          </cell>
          <cell r="B267">
            <v>0</v>
          </cell>
          <cell r="C267">
            <v>2.65</v>
          </cell>
          <cell r="D267">
            <v>0</v>
          </cell>
          <cell r="E267">
            <v>0</v>
          </cell>
        </row>
        <row r="268">
          <cell r="A268" t="str">
            <v>MFWBINS</v>
          </cell>
          <cell r="B268">
            <v>3.99</v>
          </cell>
          <cell r="C268">
            <v>1.88</v>
          </cell>
          <cell r="D268">
            <v>0</v>
          </cell>
          <cell r="E268">
            <v>1.7</v>
          </cell>
        </row>
        <row r="269">
          <cell r="A269" t="str">
            <v>MILE-RO</v>
          </cell>
          <cell r="B269">
            <v>0</v>
          </cell>
          <cell r="C269">
            <v>3.25</v>
          </cell>
          <cell r="D269">
            <v>3.2</v>
          </cell>
          <cell r="E269">
            <v>3</v>
          </cell>
        </row>
        <row r="270">
          <cell r="A270" t="str">
            <v>OC-RES</v>
          </cell>
          <cell r="B270">
            <v>0</v>
          </cell>
          <cell r="C270">
            <v>8.2799999999999994</v>
          </cell>
          <cell r="D270">
            <v>7.61</v>
          </cell>
          <cell r="E270">
            <v>0</v>
          </cell>
        </row>
        <row r="271">
          <cell r="A271" t="str">
            <v>OFOWCONT-COMM</v>
          </cell>
          <cell r="B271">
            <v>0</v>
          </cell>
          <cell r="C271">
            <v>8.07</v>
          </cell>
          <cell r="D271">
            <v>0</v>
          </cell>
          <cell r="E271">
            <v>0</v>
          </cell>
        </row>
        <row r="272">
          <cell r="A272" t="str">
            <v>OS-COMM</v>
          </cell>
          <cell r="B272">
            <v>0</v>
          </cell>
          <cell r="C272">
            <v>8.07</v>
          </cell>
          <cell r="D272">
            <v>0</v>
          </cell>
          <cell r="E272">
            <v>0</v>
          </cell>
        </row>
        <row r="273">
          <cell r="A273" t="str">
            <v>OS-RES</v>
          </cell>
          <cell r="B273">
            <v>0</v>
          </cell>
          <cell r="C273">
            <v>8.17</v>
          </cell>
          <cell r="D273">
            <v>0</v>
          </cell>
          <cell r="E273">
            <v>0</v>
          </cell>
        </row>
        <row r="274">
          <cell r="A274" t="str">
            <v>OW-RES</v>
          </cell>
          <cell r="B274">
            <v>0</v>
          </cell>
          <cell r="C274">
            <v>8.17</v>
          </cell>
          <cell r="D274">
            <v>0</v>
          </cell>
          <cell r="E274">
            <v>0</v>
          </cell>
        </row>
        <row r="275">
          <cell r="A275" t="str">
            <v>PDBAG-COMM</v>
          </cell>
          <cell r="B275">
            <v>0</v>
          </cell>
          <cell r="C275">
            <v>3.38</v>
          </cell>
          <cell r="D275">
            <v>5.67</v>
          </cell>
          <cell r="E275">
            <v>0</v>
          </cell>
        </row>
        <row r="276">
          <cell r="A276" t="str">
            <v>PDBAG-RES</v>
          </cell>
          <cell r="B276">
            <v>0</v>
          </cell>
          <cell r="C276">
            <v>5.23</v>
          </cell>
          <cell r="D276">
            <v>5.67</v>
          </cell>
          <cell r="E276">
            <v>0</v>
          </cell>
        </row>
        <row r="277">
          <cell r="A277" t="str">
            <v>RECBINONLYR</v>
          </cell>
          <cell r="B277">
            <v>0</v>
          </cell>
          <cell r="C277">
            <v>15.15</v>
          </cell>
          <cell r="D277">
            <v>0</v>
          </cell>
          <cell r="E277">
            <v>6.01</v>
          </cell>
        </row>
        <row r="278">
          <cell r="A278" t="str">
            <v>RECBINSCOMSVC</v>
          </cell>
          <cell r="B278">
            <v>7</v>
          </cell>
          <cell r="C278">
            <v>7</v>
          </cell>
          <cell r="D278">
            <v>7</v>
          </cell>
          <cell r="E278">
            <v>7</v>
          </cell>
        </row>
        <row r="279">
          <cell r="A279" t="str">
            <v>RECPROGADJ-RES</v>
          </cell>
          <cell r="B279">
            <v>0</v>
          </cell>
          <cell r="C279">
            <v>0</v>
          </cell>
          <cell r="D279">
            <v>6.01</v>
          </cell>
          <cell r="E279">
            <v>6.01</v>
          </cell>
        </row>
        <row r="280">
          <cell r="A280" t="str">
            <v>RECVALRES</v>
          </cell>
          <cell r="B280">
            <v>0</v>
          </cell>
          <cell r="C280">
            <v>0</v>
          </cell>
          <cell r="D280">
            <v>0</v>
          </cell>
          <cell r="E280">
            <v>-0.53</v>
          </cell>
        </row>
        <row r="281">
          <cell r="A281" t="str">
            <v>REDEL-COMM</v>
          </cell>
          <cell r="B281">
            <v>0</v>
          </cell>
          <cell r="C281">
            <v>0</v>
          </cell>
          <cell r="D281">
            <v>0</v>
          </cell>
          <cell r="E281">
            <v>0</v>
          </cell>
        </row>
        <row r="282">
          <cell r="A282" t="str">
            <v>REDEL-RES</v>
          </cell>
          <cell r="B282">
            <v>0</v>
          </cell>
          <cell r="C282">
            <v>20</v>
          </cell>
          <cell r="D282">
            <v>0</v>
          </cell>
          <cell r="E282">
            <v>0</v>
          </cell>
        </row>
        <row r="283">
          <cell r="A283" t="str">
            <v>REFURB1.5-COMM</v>
          </cell>
          <cell r="B283">
            <v>0</v>
          </cell>
          <cell r="C283">
            <v>0</v>
          </cell>
          <cell r="D283">
            <v>0</v>
          </cell>
          <cell r="E283">
            <v>0</v>
          </cell>
        </row>
        <row r="284">
          <cell r="A284" t="str">
            <v>REFURB1-COMM</v>
          </cell>
          <cell r="B284">
            <v>0</v>
          </cell>
          <cell r="C284">
            <v>0</v>
          </cell>
          <cell r="D284">
            <v>0</v>
          </cell>
          <cell r="E284">
            <v>0</v>
          </cell>
        </row>
        <row r="285">
          <cell r="A285" t="str">
            <v>REFURB2-COMM</v>
          </cell>
          <cell r="B285">
            <v>0</v>
          </cell>
          <cell r="C285">
            <v>0</v>
          </cell>
          <cell r="D285">
            <v>0</v>
          </cell>
          <cell r="E285">
            <v>0</v>
          </cell>
        </row>
        <row r="286">
          <cell r="A286" t="str">
            <v>REFURB3-COMM</v>
          </cell>
          <cell r="B286">
            <v>0</v>
          </cell>
          <cell r="C286">
            <v>0</v>
          </cell>
          <cell r="D286">
            <v>0</v>
          </cell>
          <cell r="E286">
            <v>0</v>
          </cell>
        </row>
        <row r="287">
          <cell r="A287" t="str">
            <v>REFURB4-COMM</v>
          </cell>
          <cell r="B287">
            <v>0</v>
          </cell>
          <cell r="C287">
            <v>0</v>
          </cell>
          <cell r="D287">
            <v>0</v>
          </cell>
          <cell r="E287">
            <v>0</v>
          </cell>
        </row>
        <row r="288">
          <cell r="A288" t="str">
            <v>REFURB6-COMM</v>
          </cell>
          <cell r="B288">
            <v>0</v>
          </cell>
          <cell r="C288">
            <v>0</v>
          </cell>
          <cell r="D288">
            <v>0</v>
          </cell>
          <cell r="E288">
            <v>0</v>
          </cell>
        </row>
        <row r="289">
          <cell r="A289" t="str">
            <v>REINSTATE-COMM</v>
          </cell>
          <cell r="B289">
            <v>0</v>
          </cell>
          <cell r="C289">
            <v>13.68</v>
          </cell>
          <cell r="D289">
            <v>12.65</v>
          </cell>
          <cell r="E289">
            <v>0</v>
          </cell>
        </row>
        <row r="290">
          <cell r="A290" t="str">
            <v>REINSTATE-RES</v>
          </cell>
          <cell r="B290">
            <v>0</v>
          </cell>
          <cell r="C290">
            <v>13.68</v>
          </cell>
          <cell r="D290">
            <v>12.65</v>
          </cell>
          <cell r="E290">
            <v>0</v>
          </cell>
        </row>
        <row r="291">
          <cell r="A291" t="str">
            <v>RENT1.5TEMP-COMM</v>
          </cell>
          <cell r="B291">
            <v>0</v>
          </cell>
          <cell r="C291">
            <v>0.56999999999999995</v>
          </cell>
          <cell r="D291">
            <v>0</v>
          </cell>
          <cell r="E291">
            <v>0</v>
          </cell>
        </row>
        <row r="292">
          <cell r="A292" t="str">
            <v>RENT15MO-RO</v>
          </cell>
          <cell r="B292">
            <v>0</v>
          </cell>
          <cell r="C292">
            <v>0</v>
          </cell>
          <cell r="D292">
            <v>0</v>
          </cell>
          <cell r="E292">
            <v>0</v>
          </cell>
        </row>
        <row r="293">
          <cell r="A293" t="str">
            <v>RENT1TEMP-COMM</v>
          </cell>
          <cell r="B293">
            <v>0</v>
          </cell>
          <cell r="C293">
            <v>0.52</v>
          </cell>
          <cell r="D293">
            <v>0</v>
          </cell>
          <cell r="E293">
            <v>0</v>
          </cell>
        </row>
        <row r="294">
          <cell r="A294" t="str">
            <v>RENT20MO-RO</v>
          </cell>
          <cell r="B294">
            <v>0</v>
          </cell>
          <cell r="C294">
            <v>64.31</v>
          </cell>
          <cell r="D294">
            <v>63.41</v>
          </cell>
          <cell r="E294">
            <v>59.5</v>
          </cell>
        </row>
        <row r="295">
          <cell r="A295" t="str">
            <v>RENT20TEMP-RO</v>
          </cell>
          <cell r="B295">
            <v>0</v>
          </cell>
          <cell r="C295">
            <v>5.57</v>
          </cell>
          <cell r="D295">
            <v>5.48</v>
          </cell>
          <cell r="E295">
            <v>5.15</v>
          </cell>
        </row>
        <row r="296">
          <cell r="A296" t="str">
            <v>RENT2TEMP-COMM</v>
          </cell>
          <cell r="B296">
            <v>0</v>
          </cell>
          <cell r="C296">
            <v>0.68</v>
          </cell>
          <cell r="D296">
            <v>0</v>
          </cell>
          <cell r="E296">
            <v>0.63</v>
          </cell>
        </row>
        <row r="297">
          <cell r="A297" t="str">
            <v>RENT30MO-RO</v>
          </cell>
          <cell r="B297">
            <v>0</v>
          </cell>
          <cell r="C297">
            <v>64.31</v>
          </cell>
          <cell r="D297">
            <v>63.41</v>
          </cell>
          <cell r="E297">
            <v>59.5</v>
          </cell>
        </row>
        <row r="298">
          <cell r="A298" t="str">
            <v>RENT30TEMP-RO</v>
          </cell>
          <cell r="B298">
            <v>0</v>
          </cell>
          <cell r="C298">
            <v>6.59</v>
          </cell>
          <cell r="D298">
            <v>6.5</v>
          </cell>
          <cell r="E298">
            <v>0</v>
          </cell>
        </row>
        <row r="299">
          <cell r="A299" t="str">
            <v>RENT3TEMP-COMM</v>
          </cell>
          <cell r="B299">
            <v>0</v>
          </cell>
          <cell r="C299">
            <v>0.75</v>
          </cell>
          <cell r="D299">
            <v>0</v>
          </cell>
          <cell r="E299">
            <v>0</v>
          </cell>
        </row>
        <row r="300">
          <cell r="A300" t="str">
            <v>RENT40MO-RO</v>
          </cell>
          <cell r="B300">
            <v>0</v>
          </cell>
          <cell r="C300">
            <v>64.31</v>
          </cell>
          <cell r="D300">
            <v>63.41</v>
          </cell>
          <cell r="E300">
            <v>59.5</v>
          </cell>
        </row>
        <row r="301">
          <cell r="A301" t="str">
            <v>RENT40TEMP-RO</v>
          </cell>
          <cell r="B301">
            <v>0</v>
          </cell>
          <cell r="C301">
            <v>7.73</v>
          </cell>
          <cell r="D301">
            <v>7.62</v>
          </cell>
          <cell r="E301">
            <v>7.15</v>
          </cell>
        </row>
        <row r="302">
          <cell r="A302" t="str">
            <v>RENT4TEMP-COMM</v>
          </cell>
          <cell r="B302">
            <v>0</v>
          </cell>
          <cell r="C302">
            <v>0.98</v>
          </cell>
          <cell r="D302">
            <v>0</v>
          </cell>
          <cell r="E302">
            <v>0</v>
          </cell>
        </row>
        <row r="303">
          <cell r="A303" t="str">
            <v>RENT6TEMP-COMM</v>
          </cell>
          <cell r="B303">
            <v>0</v>
          </cell>
          <cell r="C303">
            <v>1.42</v>
          </cell>
          <cell r="D303">
            <v>0</v>
          </cell>
          <cell r="E303">
            <v>0</v>
          </cell>
        </row>
        <row r="304">
          <cell r="A304" t="str">
            <v>RENTFOOD-COMM</v>
          </cell>
          <cell r="B304">
            <v>2</v>
          </cell>
          <cell r="C304">
            <v>0</v>
          </cell>
          <cell r="D304">
            <v>0</v>
          </cell>
          <cell r="E304">
            <v>0</v>
          </cell>
        </row>
        <row r="305">
          <cell r="A305" t="str">
            <v>RENTRECCNT-COMM</v>
          </cell>
          <cell r="B305">
            <v>3</v>
          </cell>
          <cell r="C305">
            <v>3</v>
          </cell>
          <cell r="D305">
            <v>3</v>
          </cell>
          <cell r="E305">
            <v>3</v>
          </cell>
        </row>
        <row r="306">
          <cell r="A306" t="str">
            <v>RETCKC</v>
          </cell>
          <cell r="B306">
            <v>0</v>
          </cell>
          <cell r="C306">
            <v>21.5</v>
          </cell>
          <cell r="D306">
            <v>21.5</v>
          </cell>
          <cell r="E306">
            <v>0</v>
          </cell>
        </row>
        <row r="307">
          <cell r="A307" t="str">
            <v>RL001.0Y1W001</v>
          </cell>
          <cell r="B307">
            <v>0</v>
          </cell>
          <cell r="C307">
            <v>0</v>
          </cell>
          <cell r="D307">
            <v>102.7</v>
          </cell>
          <cell r="E307">
            <v>0</v>
          </cell>
        </row>
        <row r="308">
          <cell r="A308" t="str">
            <v>RL001.0Y2W001</v>
          </cell>
          <cell r="B308">
            <v>0</v>
          </cell>
          <cell r="C308">
            <v>0</v>
          </cell>
          <cell r="D308">
            <v>199.38</v>
          </cell>
          <cell r="E308">
            <v>0</v>
          </cell>
        </row>
        <row r="309">
          <cell r="A309" t="str">
            <v>RL001.5Y1W001</v>
          </cell>
          <cell r="B309">
            <v>0</v>
          </cell>
          <cell r="C309">
            <v>0</v>
          </cell>
          <cell r="D309">
            <v>141.16</v>
          </cell>
          <cell r="E309">
            <v>0</v>
          </cell>
        </row>
        <row r="310">
          <cell r="A310" t="str">
            <v>RL001.5Y2W001</v>
          </cell>
          <cell r="B310">
            <v>0</v>
          </cell>
          <cell r="C310">
            <v>0</v>
          </cell>
          <cell r="D310">
            <v>271.73</v>
          </cell>
          <cell r="E310">
            <v>0</v>
          </cell>
        </row>
        <row r="311">
          <cell r="A311" t="str">
            <v>RL002.0Y1W001</v>
          </cell>
          <cell r="B311">
            <v>0</v>
          </cell>
          <cell r="C311">
            <v>0</v>
          </cell>
          <cell r="D311">
            <v>182.56</v>
          </cell>
          <cell r="E311">
            <v>0</v>
          </cell>
        </row>
        <row r="312">
          <cell r="A312" t="str">
            <v>RL002.0Y2W001</v>
          </cell>
          <cell r="B312">
            <v>0</v>
          </cell>
          <cell r="C312">
            <v>0</v>
          </cell>
          <cell r="D312">
            <v>351.87</v>
          </cell>
          <cell r="E312">
            <v>0</v>
          </cell>
        </row>
        <row r="313">
          <cell r="A313" t="str">
            <v>RL004.0Y1W001</v>
          </cell>
          <cell r="B313">
            <v>0</v>
          </cell>
          <cell r="C313">
            <v>0</v>
          </cell>
          <cell r="D313">
            <v>0</v>
          </cell>
          <cell r="E313">
            <v>236.95</v>
          </cell>
        </row>
        <row r="314">
          <cell r="A314" t="str">
            <v>RL006.0Y1W001</v>
          </cell>
          <cell r="B314">
            <v>0</v>
          </cell>
          <cell r="C314">
            <v>0</v>
          </cell>
          <cell r="D314">
            <v>0</v>
          </cell>
          <cell r="E314">
            <v>318.14999999999998</v>
          </cell>
        </row>
        <row r="315">
          <cell r="A315" t="str">
            <v>RL010.0G1W001WREC</v>
          </cell>
          <cell r="B315">
            <v>0</v>
          </cell>
          <cell r="C315">
            <v>0</v>
          </cell>
          <cell r="D315">
            <v>10.35</v>
          </cell>
          <cell r="E315">
            <v>0</v>
          </cell>
        </row>
        <row r="316">
          <cell r="A316" t="str">
            <v>RL020.0G1W001</v>
          </cell>
          <cell r="B316">
            <v>0</v>
          </cell>
          <cell r="C316">
            <v>0</v>
          </cell>
          <cell r="D316">
            <v>0</v>
          </cell>
          <cell r="E316">
            <v>0</v>
          </cell>
        </row>
        <row r="317">
          <cell r="A317" t="str">
            <v>RL020.0G1W001COMM</v>
          </cell>
          <cell r="B317">
            <v>0</v>
          </cell>
          <cell r="C317">
            <v>0</v>
          </cell>
          <cell r="D317">
            <v>16.79</v>
          </cell>
          <cell r="E317">
            <v>0</v>
          </cell>
        </row>
        <row r="318">
          <cell r="A318" t="str">
            <v>RL020.0G1W001NOREC</v>
          </cell>
          <cell r="B318">
            <v>0</v>
          </cell>
          <cell r="C318">
            <v>0</v>
          </cell>
          <cell r="D318">
            <v>0</v>
          </cell>
          <cell r="E318">
            <v>0</v>
          </cell>
        </row>
        <row r="319">
          <cell r="A319" t="str">
            <v>RL032.0G1M001NOREC</v>
          </cell>
          <cell r="B319">
            <v>0</v>
          </cell>
          <cell r="C319">
            <v>0</v>
          </cell>
          <cell r="D319">
            <v>0</v>
          </cell>
          <cell r="E319">
            <v>0</v>
          </cell>
        </row>
        <row r="320">
          <cell r="A320" t="str">
            <v>RL032.0G1M001WREC</v>
          </cell>
          <cell r="B320">
            <v>0</v>
          </cell>
          <cell r="C320">
            <v>0</v>
          </cell>
          <cell r="D320">
            <v>0</v>
          </cell>
          <cell r="E320">
            <v>0</v>
          </cell>
        </row>
        <row r="321">
          <cell r="A321" t="str">
            <v>RL032.0G1M001WRECSPCL</v>
          </cell>
          <cell r="B321">
            <v>0</v>
          </cell>
          <cell r="C321">
            <v>0</v>
          </cell>
          <cell r="D321">
            <v>0</v>
          </cell>
          <cell r="E321">
            <v>0</v>
          </cell>
        </row>
        <row r="322">
          <cell r="A322" t="str">
            <v>RL032.0G1W001MFNR</v>
          </cell>
          <cell r="B322">
            <v>0</v>
          </cell>
          <cell r="C322">
            <v>0</v>
          </cell>
          <cell r="D322">
            <v>0</v>
          </cell>
          <cell r="E322">
            <v>0</v>
          </cell>
        </row>
        <row r="323">
          <cell r="A323" t="str">
            <v>RL032.0G1W001NOREC</v>
          </cell>
          <cell r="B323">
            <v>0</v>
          </cell>
          <cell r="C323">
            <v>0</v>
          </cell>
          <cell r="D323">
            <v>0</v>
          </cell>
          <cell r="E323">
            <v>0</v>
          </cell>
        </row>
        <row r="324">
          <cell r="A324" t="str">
            <v>RL032.0G1W001NORECC</v>
          </cell>
          <cell r="B324">
            <v>0</v>
          </cell>
          <cell r="C324">
            <v>0</v>
          </cell>
          <cell r="D324">
            <v>0</v>
          </cell>
          <cell r="E324">
            <v>0</v>
          </cell>
        </row>
        <row r="325">
          <cell r="A325" t="str">
            <v>RL032.0G1W001WREC</v>
          </cell>
          <cell r="B325">
            <v>0</v>
          </cell>
          <cell r="C325">
            <v>0</v>
          </cell>
          <cell r="D325">
            <v>0</v>
          </cell>
          <cell r="E325">
            <v>0</v>
          </cell>
        </row>
        <row r="326">
          <cell r="A326" t="str">
            <v>RL032.0G1W001WRECC</v>
          </cell>
          <cell r="B326">
            <v>0</v>
          </cell>
          <cell r="C326">
            <v>0</v>
          </cell>
          <cell r="D326">
            <v>0</v>
          </cell>
          <cell r="E326">
            <v>0</v>
          </cell>
        </row>
        <row r="327">
          <cell r="A327" t="str">
            <v>RL032.0G1W001WRECSPCL</v>
          </cell>
          <cell r="B327">
            <v>0</v>
          </cell>
          <cell r="C327">
            <v>0</v>
          </cell>
          <cell r="D327">
            <v>0</v>
          </cell>
          <cell r="E327">
            <v>0</v>
          </cell>
        </row>
        <row r="328">
          <cell r="A328" t="str">
            <v>RL032.0G1W002NOREC</v>
          </cell>
          <cell r="B328">
            <v>0</v>
          </cell>
          <cell r="C328">
            <v>0</v>
          </cell>
          <cell r="D328">
            <v>0</v>
          </cell>
          <cell r="E328">
            <v>0</v>
          </cell>
        </row>
        <row r="329">
          <cell r="A329" t="str">
            <v>RL032.0G1W002NORECC</v>
          </cell>
          <cell r="B329">
            <v>0</v>
          </cell>
          <cell r="C329">
            <v>0</v>
          </cell>
          <cell r="D329">
            <v>0</v>
          </cell>
          <cell r="E329">
            <v>0</v>
          </cell>
        </row>
        <row r="330">
          <cell r="A330" t="str">
            <v>RL032.0G1W002WREC</v>
          </cell>
          <cell r="B330">
            <v>0</v>
          </cell>
          <cell r="C330">
            <v>0</v>
          </cell>
          <cell r="D330">
            <v>0</v>
          </cell>
          <cell r="E330">
            <v>0</v>
          </cell>
        </row>
        <row r="331">
          <cell r="A331" t="str">
            <v>RL032.0G1W002WRECC</v>
          </cell>
          <cell r="B331">
            <v>0</v>
          </cell>
          <cell r="C331">
            <v>0</v>
          </cell>
          <cell r="D331">
            <v>0</v>
          </cell>
          <cell r="E331">
            <v>0</v>
          </cell>
        </row>
        <row r="332">
          <cell r="A332" t="str">
            <v>RL032.0G1W003NOREC</v>
          </cell>
          <cell r="B332">
            <v>0</v>
          </cell>
          <cell r="C332">
            <v>0</v>
          </cell>
          <cell r="D332">
            <v>0</v>
          </cell>
          <cell r="E332">
            <v>0</v>
          </cell>
        </row>
        <row r="333">
          <cell r="A333" t="str">
            <v>RL032.0G1W003NORECC</v>
          </cell>
          <cell r="B333">
            <v>0</v>
          </cell>
          <cell r="C333">
            <v>0</v>
          </cell>
          <cell r="D333">
            <v>0</v>
          </cell>
          <cell r="E333">
            <v>0</v>
          </cell>
        </row>
        <row r="334">
          <cell r="A334" t="str">
            <v>RL032.0G1W003WREC</v>
          </cell>
          <cell r="B334">
            <v>0</v>
          </cell>
          <cell r="C334">
            <v>0</v>
          </cell>
          <cell r="D334">
            <v>0</v>
          </cell>
          <cell r="E334">
            <v>0</v>
          </cell>
        </row>
        <row r="335">
          <cell r="A335" t="str">
            <v>RL032.0G1W003WRECC</v>
          </cell>
          <cell r="B335">
            <v>0</v>
          </cell>
          <cell r="C335">
            <v>0</v>
          </cell>
          <cell r="D335">
            <v>0</v>
          </cell>
          <cell r="E335">
            <v>0</v>
          </cell>
        </row>
        <row r="336">
          <cell r="A336" t="str">
            <v>RL032.0G1W004NOREC</v>
          </cell>
          <cell r="B336">
            <v>0</v>
          </cell>
          <cell r="C336">
            <v>0</v>
          </cell>
          <cell r="D336">
            <v>0</v>
          </cell>
          <cell r="E336">
            <v>0</v>
          </cell>
        </row>
        <row r="337">
          <cell r="A337" t="str">
            <v>RL032.0G1W004NORECC</v>
          </cell>
          <cell r="B337">
            <v>0</v>
          </cell>
          <cell r="C337">
            <v>0</v>
          </cell>
          <cell r="D337">
            <v>0</v>
          </cell>
          <cell r="E337">
            <v>0</v>
          </cell>
        </row>
        <row r="338">
          <cell r="A338" t="str">
            <v>RL032.0G1W004WREC</v>
          </cell>
          <cell r="B338">
            <v>0</v>
          </cell>
          <cell r="C338">
            <v>0</v>
          </cell>
          <cell r="D338">
            <v>0</v>
          </cell>
          <cell r="E338">
            <v>0</v>
          </cell>
        </row>
        <row r="339">
          <cell r="A339" t="str">
            <v>RL032.0G1W004WRECC</v>
          </cell>
          <cell r="B339">
            <v>0</v>
          </cell>
          <cell r="C339">
            <v>0</v>
          </cell>
          <cell r="D339">
            <v>0</v>
          </cell>
          <cell r="E339">
            <v>0</v>
          </cell>
        </row>
        <row r="340">
          <cell r="A340" t="str">
            <v>RL032.0G1W005NOREC</v>
          </cell>
          <cell r="B340">
            <v>0</v>
          </cell>
          <cell r="C340">
            <v>0</v>
          </cell>
          <cell r="D340">
            <v>0</v>
          </cell>
          <cell r="E340">
            <v>0</v>
          </cell>
        </row>
        <row r="341">
          <cell r="A341" t="str">
            <v>RL032.0G1W005NORECC</v>
          </cell>
          <cell r="B341">
            <v>0</v>
          </cell>
          <cell r="C341">
            <v>0</v>
          </cell>
          <cell r="D341">
            <v>0</v>
          </cell>
          <cell r="E341">
            <v>0</v>
          </cell>
        </row>
        <row r="342">
          <cell r="A342" t="str">
            <v>RL032.0G1W005WREC</v>
          </cell>
          <cell r="B342">
            <v>0</v>
          </cell>
          <cell r="C342">
            <v>0</v>
          </cell>
          <cell r="D342">
            <v>0</v>
          </cell>
          <cell r="E342">
            <v>0</v>
          </cell>
        </row>
        <row r="343">
          <cell r="A343" t="str">
            <v>RL032.0G1W005WRECC</v>
          </cell>
          <cell r="B343">
            <v>0</v>
          </cell>
          <cell r="C343">
            <v>0</v>
          </cell>
          <cell r="D343">
            <v>0</v>
          </cell>
          <cell r="E343">
            <v>0</v>
          </cell>
        </row>
        <row r="344">
          <cell r="A344" t="str">
            <v>RL032.0G1W006NOREC</v>
          </cell>
          <cell r="B344">
            <v>0</v>
          </cell>
          <cell r="C344">
            <v>0</v>
          </cell>
          <cell r="D344">
            <v>0</v>
          </cell>
          <cell r="E344">
            <v>0</v>
          </cell>
        </row>
        <row r="345">
          <cell r="A345" t="str">
            <v>RL032.0G1W006WREC</v>
          </cell>
          <cell r="B345">
            <v>0</v>
          </cell>
          <cell r="C345">
            <v>0</v>
          </cell>
          <cell r="D345">
            <v>0</v>
          </cell>
          <cell r="E345">
            <v>0</v>
          </cell>
        </row>
        <row r="346">
          <cell r="A346" t="str">
            <v>RL032.0G1W006WRECC</v>
          </cell>
          <cell r="B346">
            <v>0</v>
          </cell>
          <cell r="C346">
            <v>0</v>
          </cell>
          <cell r="D346">
            <v>0</v>
          </cell>
          <cell r="E346">
            <v>0</v>
          </cell>
        </row>
        <row r="347">
          <cell r="A347" t="str">
            <v>ROLL1W-COMM</v>
          </cell>
          <cell r="B347">
            <v>0</v>
          </cell>
          <cell r="C347">
            <v>0</v>
          </cell>
          <cell r="D347">
            <v>0</v>
          </cell>
          <cell r="E347">
            <v>0</v>
          </cell>
        </row>
        <row r="348">
          <cell r="A348" t="str">
            <v>ROLL1W-MF</v>
          </cell>
          <cell r="B348">
            <v>0</v>
          </cell>
          <cell r="C348">
            <v>0</v>
          </cell>
          <cell r="D348">
            <v>0</v>
          </cell>
          <cell r="E348">
            <v>0</v>
          </cell>
        </row>
        <row r="349">
          <cell r="A349" t="str">
            <v>ROLL2W-COMM</v>
          </cell>
          <cell r="B349">
            <v>0</v>
          </cell>
          <cell r="C349">
            <v>0</v>
          </cell>
          <cell r="D349">
            <v>0</v>
          </cell>
          <cell r="E349">
            <v>0</v>
          </cell>
        </row>
        <row r="350">
          <cell r="A350" t="str">
            <v>ROLL2W-MF</v>
          </cell>
          <cell r="B350">
            <v>0</v>
          </cell>
          <cell r="C350">
            <v>0</v>
          </cell>
          <cell r="D350">
            <v>0</v>
          </cell>
          <cell r="E350">
            <v>0</v>
          </cell>
        </row>
        <row r="351">
          <cell r="A351" t="str">
            <v>ROLL3W-COMM</v>
          </cell>
          <cell r="B351">
            <v>0</v>
          </cell>
          <cell r="C351">
            <v>0</v>
          </cell>
          <cell r="D351">
            <v>0</v>
          </cell>
          <cell r="E351">
            <v>0</v>
          </cell>
        </row>
        <row r="352">
          <cell r="A352" t="str">
            <v>ROLL3W-MF</v>
          </cell>
          <cell r="B352">
            <v>0</v>
          </cell>
          <cell r="C352">
            <v>0</v>
          </cell>
          <cell r="D352">
            <v>0</v>
          </cell>
          <cell r="E352">
            <v>0</v>
          </cell>
        </row>
        <row r="353">
          <cell r="A353" t="str">
            <v>ROLL4W-COMM</v>
          </cell>
          <cell r="B353">
            <v>0</v>
          </cell>
          <cell r="C353">
            <v>0</v>
          </cell>
          <cell r="D353">
            <v>0</v>
          </cell>
          <cell r="E353">
            <v>0</v>
          </cell>
        </row>
        <row r="354">
          <cell r="A354" t="str">
            <v>ROLL4W-MF</v>
          </cell>
          <cell r="B354">
            <v>0</v>
          </cell>
          <cell r="C354">
            <v>0</v>
          </cell>
          <cell r="D354">
            <v>0</v>
          </cell>
          <cell r="E354">
            <v>0</v>
          </cell>
        </row>
        <row r="355">
          <cell r="A355" t="str">
            <v>ROLL5W-COMM</v>
          </cell>
          <cell r="B355">
            <v>0</v>
          </cell>
          <cell r="C355">
            <v>0</v>
          </cell>
          <cell r="D355">
            <v>0</v>
          </cell>
          <cell r="E355">
            <v>0</v>
          </cell>
        </row>
        <row r="356">
          <cell r="A356" t="str">
            <v>ROLL5W-MF</v>
          </cell>
          <cell r="B356">
            <v>0</v>
          </cell>
          <cell r="C356">
            <v>0</v>
          </cell>
          <cell r="D356">
            <v>0</v>
          </cell>
          <cell r="E356">
            <v>0</v>
          </cell>
        </row>
        <row r="357">
          <cell r="A357" t="str">
            <v>ROLL-COMM</v>
          </cell>
          <cell r="B357">
            <v>0</v>
          </cell>
          <cell r="C357">
            <v>17.79</v>
          </cell>
          <cell r="D357">
            <v>0</v>
          </cell>
          <cell r="E357">
            <v>0</v>
          </cell>
        </row>
        <row r="358">
          <cell r="A358" t="str">
            <v>RT000.0RNT00XCNTCOMM</v>
          </cell>
          <cell r="B358">
            <v>4.1500000000000004</v>
          </cell>
          <cell r="C358">
            <v>0</v>
          </cell>
          <cell r="D358">
            <v>0</v>
          </cell>
          <cell r="E358">
            <v>0</v>
          </cell>
        </row>
        <row r="359">
          <cell r="A359" t="str">
            <v>RTRNCAN-COMM</v>
          </cell>
          <cell r="B359">
            <v>0</v>
          </cell>
          <cell r="C359">
            <v>6.9</v>
          </cell>
          <cell r="D359">
            <v>0</v>
          </cell>
          <cell r="E359">
            <v>0</v>
          </cell>
        </row>
        <row r="360">
          <cell r="A360" t="str">
            <v>RTRNCART32-COMM</v>
          </cell>
          <cell r="B360">
            <v>0</v>
          </cell>
          <cell r="C360">
            <v>6.64</v>
          </cell>
          <cell r="D360">
            <v>0</v>
          </cell>
          <cell r="E360">
            <v>0</v>
          </cell>
        </row>
        <row r="361">
          <cell r="A361" t="str">
            <v>RTRNCART32-RES</v>
          </cell>
          <cell r="B361">
            <v>0</v>
          </cell>
          <cell r="C361">
            <v>6.64</v>
          </cell>
          <cell r="D361">
            <v>0</v>
          </cell>
          <cell r="E361">
            <v>0</v>
          </cell>
        </row>
        <row r="362">
          <cell r="A362" t="str">
            <v>RTRNCART45-RES</v>
          </cell>
          <cell r="B362">
            <v>0</v>
          </cell>
          <cell r="C362">
            <v>6.9</v>
          </cell>
          <cell r="D362">
            <v>0</v>
          </cell>
          <cell r="E362">
            <v>0</v>
          </cell>
        </row>
        <row r="363">
          <cell r="A363" t="str">
            <v>RTRNCART64REC-COMM</v>
          </cell>
          <cell r="B363">
            <v>8</v>
          </cell>
          <cell r="C363">
            <v>8</v>
          </cell>
          <cell r="D363">
            <v>8</v>
          </cell>
          <cell r="E363">
            <v>8</v>
          </cell>
        </row>
        <row r="364">
          <cell r="A364" t="str">
            <v>RTRNCART64REC-RES</v>
          </cell>
          <cell r="B364">
            <v>0</v>
          </cell>
          <cell r="C364">
            <v>7.74</v>
          </cell>
          <cell r="D364">
            <v>7.4</v>
          </cell>
          <cell r="E364">
            <v>0</v>
          </cell>
        </row>
        <row r="365">
          <cell r="A365" t="str">
            <v>RTRNCART64S-COMM</v>
          </cell>
          <cell r="B365">
            <v>0</v>
          </cell>
          <cell r="C365">
            <v>7.25</v>
          </cell>
          <cell r="D365">
            <v>6.66</v>
          </cell>
          <cell r="E365">
            <v>0</v>
          </cell>
        </row>
        <row r="366">
          <cell r="A366" t="str">
            <v>RTRNCART65-COMM</v>
          </cell>
          <cell r="B366">
            <v>0</v>
          </cell>
          <cell r="C366">
            <v>0</v>
          </cell>
          <cell r="D366">
            <v>0</v>
          </cell>
          <cell r="E366">
            <v>0</v>
          </cell>
        </row>
        <row r="367">
          <cell r="A367" t="str">
            <v>RTRNCART65-RES</v>
          </cell>
          <cell r="B367">
            <v>0</v>
          </cell>
          <cell r="C367">
            <v>0</v>
          </cell>
          <cell r="D367">
            <v>7.4</v>
          </cell>
          <cell r="E367">
            <v>0</v>
          </cell>
        </row>
        <row r="368">
          <cell r="A368" t="str">
            <v>RTRNCART95-COMM</v>
          </cell>
          <cell r="B368">
            <v>0</v>
          </cell>
          <cell r="C368">
            <v>0</v>
          </cell>
          <cell r="D368">
            <v>0</v>
          </cell>
          <cell r="E368">
            <v>0</v>
          </cell>
        </row>
        <row r="369">
          <cell r="A369" t="str">
            <v>RTRNCART95-RES</v>
          </cell>
          <cell r="B369">
            <v>0</v>
          </cell>
          <cell r="C369">
            <v>0</v>
          </cell>
          <cell r="D369">
            <v>9.5</v>
          </cell>
          <cell r="E369">
            <v>0</v>
          </cell>
        </row>
        <row r="370">
          <cell r="A370" t="str">
            <v>RTRNCART96REC-COMM</v>
          </cell>
          <cell r="B370">
            <v>8</v>
          </cell>
          <cell r="C370">
            <v>8</v>
          </cell>
          <cell r="D370">
            <v>8</v>
          </cell>
          <cell r="E370">
            <v>8</v>
          </cell>
        </row>
        <row r="371">
          <cell r="A371" t="str">
            <v>RTRNCART96REC-RES</v>
          </cell>
          <cell r="B371">
            <v>0</v>
          </cell>
          <cell r="C371">
            <v>10.33</v>
          </cell>
          <cell r="D371">
            <v>9.5</v>
          </cell>
          <cell r="E371">
            <v>0</v>
          </cell>
        </row>
        <row r="372">
          <cell r="A372" t="str">
            <v>RTRNCART96S-COMM</v>
          </cell>
          <cell r="B372">
            <v>0</v>
          </cell>
          <cell r="C372">
            <v>9.3000000000000007</v>
          </cell>
          <cell r="D372">
            <v>8.5500000000000007</v>
          </cell>
          <cell r="E372">
            <v>0</v>
          </cell>
        </row>
        <row r="373">
          <cell r="A373" t="str">
            <v>RTRNCARTREC-COMM</v>
          </cell>
          <cell r="B373">
            <v>0</v>
          </cell>
          <cell r="C373">
            <v>6.6</v>
          </cell>
          <cell r="D373">
            <v>0</v>
          </cell>
          <cell r="E373">
            <v>0</v>
          </cell>
        </row>
        <row r="374">
          <cell r="A374" t="str">
            <v>RTRNTRIP-COMM</v>
          </cell>
          <cell r="B374">
            <v>0</v>
          </cell>
          <cell r="C374">
            <v>18.28</v>
          </cell>
          <cell r="D374">
            <v>0</v>
          </cell>
          <cell r="E374">
            <v>0</v>
          </cell>
        </row>
        <row r="375">
          <cell r="A375" t="str">
            <v>RTRNTRIP-MF</v>
          </cell>
          <cell r="B375">
            <v>0</v>
          </cell>
          <cell r="C375">
            <v>0</v>
          </cell>
          <cell r="D375">
            <v>0</v>
          </cell>
          <cell r="E375">
            <v>0</v>
          </cell>
        </row>
        <row r="376">
          <cell r="A376" t="str">
            <v>RTRNTRIP-RES</v>
          </cell>
          <cell r="B376">
            <v>0</v>
          </cell>
          <cell r="C376">
            <v>0</v>
          </cell>
          <cell r="D376">
            <v>6.35</v>
          </cell>
          <cell r="E376">
            <v>0</v>
          </cell>
        </row>
        <row r="377">
          <cell r="A377" t="str">
            <v>RTRNTRIP-RO</v>
          </cell>
          <cell r="B377">
            <v>0</v>
          </cell>
          <cell r="C377">
            <v>64.86</v>
          </cell>
          <cell r="D377">
            <v>0</v>
          </cell>
          <cell r="E377">
            <v>60</v>
          </cell>
        </row>
        <row r="378">
          <cell r="A378" t="str">
            <v>S45G1W1</v>
          </cell>
          <cell r="B378">
            <v>0</v>
          </cell>
          <cell r="C378">
            <v>53.28</v>
          </cell>
          <cell r="D378">
            <v>0</v>
          </cell>
          <cell r="E378">
            <v>0</v>
          </cell>
        </row>
        <row r="379">
          <cell r="A379" t="str">
            <v>S45G1W2</v>
          </cell>
          <cell r="B379">
            <v>0</v>
          </cell>
          <cell r="C379">
            <v>86.72</v>
          </cell>
          <cell r="D379">
            <v>0</v>
          </cell>
          <cell r="E379">
            <v>0</v>
          </cell>
        </row>
        <row r="380">
          <cell r="A380" t="str">
            <v>S45G1W3</v>
          </cell>
          <cell r="B380">
            <v>0</v>
          </cell>
          <cell r="C380">
            <v>105.14</v>
          </cell>
          <cell r="D380">
            <v>0</v>
          </cell>
          <cell r="E380">
            <v>0</v>
          </cell>
        </row>
        <row r="381">
          <cell r="A381" t="str">
            <v>S45G1W4</v>
          </cell>
          <cell r="B381">
            <v>0</v>
          </cell>
          <cell r="C381">
            <v>123.58</v>
          </cell>
          <cell r="D381">
            <v>0</v>
          </cell>
          <cell r="E381">
            <v>0</v>
          </cell>
        </row>
        <row r="382">
          <cell r="A382" t="str">
            <v>S45GEO1</v>
          </cell>
          <cell r="B382">
            <v>0</v>
          </cell>
          <cell r="C382">
            <v>26.7</v>
          </cell>
          <cell r="D382">
            <v>0</v>
          </cell>
          <cell r="E382">
            <v>0</v>
          </cell>
        </row>
        <row r="383">
          <cell r="A383" t="str">
            <v>SL020.0G1W001</v>
          </cell>
          <cell r="B383">
            <v>0</v>
          </cell>
          <cell r="C383">
            <v>39.700000000000003</v>
          </cell>
          <cell r="D383">
            <v>0</v>
          </cell>
          <cell r="E383">
            <v>0</v>
          </cell>
        </row>
        <row r="384">
          <cell r="A384" t="str">
            <v>SL032.0G1W001WREC</v>
          </cell>
          <cell r="B384">
            <v>0</v>
          </cell>
          <cell r="C384">
            <v>0</v>
          </cell>
          <cell r="D384">
            <v>0</v>
          </cell>
          <cell r="E384">
            <v>0</v>
          </cell>
        </row>
        <row r="385">
          <cell r="A385" t="str">
            <v>SL035.0G1M001NOREC</v>
          </cell>
          <cell r="B385">
            <v>0</v>
          </cell>
          <cell r="C385">
            <v>0</v>
          </cell>
          <cell r="D385">
            <v>0</v>
          </cell>
          <cell r="E385">
            <v>0</v>
          </cell>
        </row>
        <row r="386">
          <cell r="A386" t="str">
            <v>SL035.0G1M001WREC</v>
          </cell>
          <cell r="B386">
            <v>0</v>
          </cell>
          <cell r="C386">
            <v>0</v>
          </cell>
          <cell r="D386">
            <v>10.35</v>
          </cell>
          <cell r="E386">
            <v>0</v>
          </cell>
        </row>
        <row r="387">
          <cell r="A387" t="str">
            <v>SL035.0G1M001WRECC</v>
          </cell>
          <cell r="B387">
            <v>0</v>
          </cell>
          <cell r="C387">
            <v>0</v>
          </cell>
          <cell r="D387">
            <v>10.35</v>
          </cell>
          <cell r="E387">
            <v>0</v>
          </cell>
        </row>
        <row r="388">
          <cell r="A388" t="str">
            <v>SL035.0G1W001NOREC</v>
          </cell>
          <cell r="B388">
            <v>0</v>
          </cell>
          <cell r="C388">
            <v>0</v>
          </cell>
          <cell r="D388">
            <v>0</v>
          </cell>
          <cell r="E388">
            <v>0</v>
          </cell>
        </row>
        <row r="389">
          <cell r="A389" t="str">
            <v>SL035.0G1W001WREC</v>
          </cell>
          <cell r="B389">
            <v>0</v>
          </cell>
          <cell r="C389">
            <v>0</v>
          </cell>
          <cell r="D389">
            <v>0</v>
          </cell>
          <cell r="E389">
            <v>0</v>
          </cell>
        </row>
        <row r="390">
          <cell r="A390" t="str">
            <v>SL035.0G1W002NOREC</v>
          </cell>
          <cell r="B390">
            <v>0</v>
          </cell>
          <cell r="C390">
            <v>0</v>
          </cell>
          <cell r="D390">
            <v>0</v>
          </cell>
          <cell r="E390">
            <v>0</v>
          </cell>
        </row>
        <row r="391">
          <cell r="A391" t="str">
            <v>SL035.0G1W002WREC</v>
          </cell>
          <cell r="B391">
            <v>0</v>
          </cell>
          <cell r="C391">
            <v>0</v>
          </cell>
          <cell r="D391">
            <v>0</v>
          </cell>
          <cell r="E391">
            <v>0</v>
          </cell>
        </row>
        <row r="392">
          <cell r="A392" t="str">
            <v>SL035.0G1W003NOREC</v>
          </cell>
          <cell r="B392">
            <v>0</v>
          </cell>
          <cell r="C392">
            <v>0</v>
          </cell>
          <cell r="D392">
            <v>0</v>
          </cell>
          <cell r="E392">
            <v>0</v>
          </cell>
        </row>
        <row r="393">
          <cell r="A393" t="str">
            <v>SL035.0G1W003WREC</v>
          </cell>
          <cell r="B393">
            <v>0</v>
          </cell>
          <cell r="C393">
            <v>0</v>
          </cell>
          <cell r="D393">
            <v>0</v>
          </cell>
          <cell r="E393">
            <v>0</v>
          </cell>
        </row>
        <row r="394">
          <cell r="A394" t="str">
            <v>SL035.0G1W004NOREC</v>
          </cell>
          <cell r="B394">
            <v>0</v>
          </cell>
          <cell r="C394">
            <v>0</v>
          </cell>
          <cell r="D394">
            <v>0</v>
          </cell>
          <cell r="E394">
            <v>0</v>
          </cell>
        </row>
        <row r="395">
          <cell r="A395" t="str">
            <v>SL035.0G1W004WREC</v>
          </cell>
          <cell r="B395">
            <v>0</v>
          </cell>
          <cell r="C395">
            <v>0</v>
          </cell>
          <cell r="D395">
            <v>0</v>
          </cell>
          <cell r="E395">
            <v>0</v>
          </cell>
        </row>
        <row r="396">
          <cell r="A396" t="str">
            <v>SL035.0G1W005NOREC</v>
          </cell>
          <cell r="B396">
            <v>0</v>
          </cell>
          <cell r="C396">
            <v>0</v>
          </cell>
          <cell r="D396">
            <v>0</v>
          </cell>
          <cell r="E396">
            <v>0</v>
          </cell>
        </row>
        <row r="397">
          <cell r="A397" t="str">
            <v>SL035.0G1W005WREC</v>
          </cell>
          <cell r="B397">
            <v>0</v>
          </cell>
          <cell r="C397">
            <v>0</v>
          </cell>
          <cell r="D397">
            <v>0</v>
          </cell>
          <cell r="E397">
            <v>0</v>
          </cell>
        </row>
        <row r="398">
          <cell r="A398" t="str">
            <v>SL035.0GEO001NOREC</v>
          </cell>
          <cell r="B398">
            <v>0</v>
          </cell>
          <cell r="C398">
            <v>0</v>
          </cell>
          <cell r="D398">
            <v>0</v>
          </cell>
          <cell r="E398">
            <v>0</v>
          </cell>
        </row>
        <row r="399">
          <cell r="A399" t="str">
            <v>SL035.0GEO001WREC</v>
          </cell>
          <cell r="B399">
            <v>0</v>
          </cell>
          <cell r="C399">
            <v>0</v>
          </cell>
          <cell r="D399">
            <v>0</v>
          </cell>
          <cell r="E399">
            <v>0</v>
          </cell>
        </row>
        <row r="400">
          <cell r="A400" t="str">
            <v>SL064.0G1M001BCMGLIN</v>
          </cell>
          <cell r="B400">
            <v>20</v>
          </cell>
          <cell r="C400">
            <v>22</v>
          </cell>
          <cell r="D400">
            <v>22</v>
          </cell>
          <cell r="E400">
            <v>22</v>
          </cell>
        </row>
        <row r="401">
          <cell r="A401" t="str">
            <v>SL064.0G1M001BCMGLOUT</v>
          </cell>
          <cell r="B401">
            <v>16</v>
          </cell>
          <cell r="C401">
            <v>18</v>
          </cell>
          <cell r="D401">
            <v>18</v>
          </cell>
          <cell r="E401">
            <v>18</v>
          </cell>
        </row>
        <row r="402">
          <cell r="A402" t="str">
            <v>SL064.0G1M001SCMGLIN</v>
          </cell>
          <cell r="B402">
            <v>20</v>
          </cell>
          <cell r="C402">
            <v>22</v>
          </cell>
          <cell r="D402">
            <v>22</v>
          </cell>
          <cell r="E402">
            <v>22</v>
          </cell>
        </row>
        <row r="403">
          <cell r="A403" t="str">
            <v>SL064.0G1M001SCMGLOUT</v>
          </cell>
          <cell r="B403">
            <v>15</v>
          </cell>
          <cell r="C403">
            <v>17</v>
          </cell>
          <cell r="D403">
            <v>17</v>
          </cell>
          <cell r="E403">
            <v>17</v>
          </cell>
        </row>
        <row r="404">
          <cell r="A404" t="str">
            <v>SL064.0G1W001BCMGLIN</v>
          </cell>
          <cell r="B404">
            <v>37</v>
          </cell>
          <cell r="C404">
            <v>39</v>
          </cell>
          <cell r="D404">
            <v>39</v>
          </cell>
          <cell r="E404">
            <v>39</v>
          </cell>
        </row>
        <row r="405">
          <cell r="A405" t="str">
            <v>SL064.0G1W001BCMGLOUT</v>
          </cell>
          <cell r="B405">
            <v>35</v>
          </cell>
          <cell r="C405">
            <v>37</v>
          </cell>
          <cell r="D405">
            <v>37</v>
          </cell>
          <cell r="E405">
            <v>37</v>
          </cell>
        </row>
        <row r="406">
          <cell r="A406" t="str">
            <v>SL064.0G1W001SCMGLIN</v>
          </cell>
          <cell r="B406">
            <v>35</v>
          </cell>
          <cell r="C406">
            <v>37</v>
          </cell>
          <cell r="D406">
            <v>37</v>
          </cell>
          <cell r="E406">
            <v>37</v>
          </cell>
        </row>
        <row r="407">
          <cell r="A407" t="str">
            <v>SL064.0G1W001SCMGLOUT</v>
          </cell>
          <cell r="B407">
            <v>30</v>
          </cell>
          <cell r="C407">
            <v>32</v>
          </cell>
          <cell r="D407">
            <v>32</v>
          </cell>
          <cell r="E407">
            <v>32</v>
          </cell>
        </row>
        <row r="408">
          <cell r="A408" t="str">
            <v>SL064.0GEO001BCMGLIN</v>
          </cell>
          <cell r="B408">
            <v>28</v>
          </cell>
          <cell r="C408">
            <v>30</v>
          </cell>
          <cell r="D408">
            <v>30</v>
          </cell>
          <cell r="E408">
            <v>30</v>
          </cell>
        </row>
        <row r="409">
          <cell r="A409" t="str">
            <v>SL064.0GEO001BCMGLOUT</v>
          </cell>
          <cell r="B409">
            <v>25</v>
          </cell>
          <cell r="C409">
            <v>27</v>
          </cell>
          <cell r="D409">
            <v>27</v>
          </cell>
          <cell r="E409">
            <v>27</v>
          </cell>
        </row>
        <row r="410">
          <cell r="A410" t="str">
            <v>SL064.0GEO001SCMGLIN</v>
          </cell>
          <cell r="B410">
            <v>25</v>
          </cell>
          <cell r="C410">
            <v>27</v>
          </cell>
          <cell r="D410">
            <v>27</v>
          </cell>
          <cell r="E410">
            <v>27</v>
          </cell>
        </row>
        <row r="411">
          <cell r="A411" t="str">
            <v>SL064.0GEO001SCMGLOUT</v>
          </cell>
          <cell r="B411">
            <v>22</v>
          </cell>
          <cell r="C411">
            <v>24</v>
          </cell>
          <cell r="D411">
            <v>24</v>
          </cell>
          <cell r="E411">
            <v>24</v>
          </cell>
        </row>
        <row r="412">
          <cell r="A412" t="str">
            <v>SL065.0G1M001NOREC</v>
          </cell>
          <cell r="B412">
            <v>0</v>
          </cell>
          <cell r="C412">
            <v>0</v>
          </cell>
          <cell r="D412">
            <v>16.79</v>
          </cell>
          <cell r="E412">
            <v>0</v>
          </cell>
        </row>
        <row r="413">
          <cell r="A413" t="str">
            <v>SL065.0G1M001NORECC</v>
          </cell>
          <cell r="B413">
            <v>0</v>
          </cell>
          <cell r="C413">
            <v>0</v>
          </cell>
          <cell r="D413">
            <v>16.79</v>
          </cell>
          <cell r="E413">
            <v>0</v>
          </cell>
        </row>
        <row r="414">
          <cell r="A414" t="str">
            <v>SL065.0G1M001SPCLNOREC</v>
          </cell>
          <cell r="B414">
            <v>0</v>
          </cell>
          <cell r="C414">
            <v>0</v>
          </cell>
          <cell r="D414">
            <v>0</v>
          </cell>
          <cell r="E414">
            <v>0</v>
          </cell>
        </row>
        <row r="415">
          <cell r="A415" t="str">
            <v>SL065.0G1M001WREC</v>
          </cell>
          <cell r="B415">
            <v>0</v>
          </cell>
          <cell r="C415">
            <v>0</v>
          </cell>
          <cell r="D415">
            <v>16.79</v>
          </cell>
          <cell r="E415">
            <v>0</v>
          </cell>
        </row>
        <row r="416">
          <cell r="A416" t="str">
            <v>SL065.0G1M001WRECC</v>
          </cell>
          <cell r="B416">
            <v>0</v>
          </cell>
          <cell r="C416">
            <v>0</v>
          </cell>
          <cell r="D416">
            <v>16.79</v>
          </cell>
          <cell r="E416">
            <v>0</v>
          </cell>
        </row>
        <row r="417">
          <cell r="A417" t="str">
            <v>SL065.0G1W001NOREC</v>
          </cell>
          <cell r="B417">
            <v>0</v>
          </cell>
          <cell r="C417">
            <v>0</v>
          </cell>
          <cell r="D417">
            <v>0</v>
          </cell>
          <cell r="E417">
            <v>0</v>
          </cell>
        </row>
        <row r="418">
          <cell r="A418" t="str">
            <v>SL065.0G1M001WRECSPCL</v>
          </cell>
          <cell r="B418">
            <v>0</v>
          </cell>
          <cell r="C418">
            <v>0</v>
          </cell>
          <cell r="D418">
            <v>0</v>
          </cell>
          <cell r="E418">
            <v>0</v>
          </cell>
        </row>
        <row r="419">
          <cell r="A419" t="str">
            <v>SL065.0G1W001NORECC</v>
          </cell>
          <cell r="B419">
            <v>0</v>
          </cell>
          <cell r="C419">
            <v>31.27</v>
          </cell>
          <cell r="D419">
            <v>30.65</v>
          </cell>
          <cell r="E419">
            <v>21.48</v>
          </cell>
        </row>
        <row r="420">
          <cell r="A420" t="str">
            <v>SL065.0G1W001WREC</v>
          </cell>
          <cell r="B420">
            <v>0</v>
          </cell>
          <cell r="C420">
            <v>69.680000000000007</v>
          </cell>
          <cell r="D420">
            <v>30.59</v>
          </cell>
          <cell r="E420">
            <v>21.48</v>
          </cell>
        </row>
        <row r="421">
          <cell r="A421" t="str">
            <v>SL065.0G1W001SPCLNOREC</v>
          </cell>
          <cell r="B421">
            <v>0</v>
          </cell>
          <cell r="C421">
            <v>0</v>
          </cell>
          <cell r="D421">
            <v>0</v>
          </cell>
          <cell r="E421">
            <v>0</v>
          </cell>
        </row>
        <row r="422">
          <cell r="A422" t="str">
            <v>SL065.0G1W001SPCLWREC</v>
          </cell>
          <cell r="B422">
            <v>0</v>
          </cell>
          <cell r="C422">
            <v>0</v>
          </cell>
          <cell r="D422">
            <v>0</v>
          </cell>
          <cell r="E422">
            <v>0</v>
          </cell>
        </row>
        <row r="423">
          <cell r="A423" t="str">
            <v>SL065.0G1W001WRECC</v>
          </cell>
          <cell r="B423">
            <v>0</v>
          </cell>
          <cell r="C423">
            <v>31.27</v>
          </cell>
          <cell r="D423">
            <v>30.65</v>
          </cell>
          <cell r="E423">
            <v>21.48</v>
          </cell>
        </row>
        <row r="424">
          <cell r="A424" t="str">
            <v>SL065.0G1W002COMM</v>
          </cell>
          <cell r="B424">
            <v>0</v>
          </cell>
          <cell r="C424">
            <v>61.42</v>
          </cell>
          <cell r="D424">
            <v>0</v>
          </cell>
          <cell r="E424">
            <v>0</v>
          </cell>
        </row>
        <row r="425">
          <cell r="A425" t="str">
            <v>SL065.0G1W002NOREC</v>
          </cell>
          <cell r="B425">
            <v>0</v>
          </cell>
          <cell r="C425">
            <v>0</v>
          </cell>
          <cell r="D425">
            <v>0</v>
          </cell>
          <cell r="E425">
            <v>0</v>
          </cell>
        </row>
        <row r="426">
          <cell r="A426" t="str">
            <v>SL065.0G1W002NORECC</v>
          </cell>
          <cell r="B426">
            <v>0</v>
          </cell>
          <cell r="C426">
            <v>0</v>
          </cell>
          <cell r="D426">
            <v>0</v>
          </cell>
          <cell r="E426">
            <v>0</v>
          </cell>
        </row>
        <row r="427">
          <cell r="A427" t="str">
            <v>SL065.0GEO001SPCLNOREC</v>
          </cell>
          <cell r="B427">
            <v>0</v>
          </cell>
          <cell r="C427">
            <v>0</v>
          </cell>
          <cell r="D427">
            <v>0</v>
          </cell>
          <cell r="E427">
            <v>0</v>
          </cell>
        </row>
        <row r="428">
          <cell r="A428" t="str">
            <v>SL065.0GEO001SPCLWREC</v>
          </cell>
          <cell r="B428">
            <v>0</v>
          </cell>
          <cell r="C428">
            <v>0</v>
          </cell>
          <cell r="D428">
            <v>0</v>
          </cell>
          <cell r="E428">
            <v>0</v>
          </cell>
        </row>
        <row r="429">
          <cell r="A429" t="str">
            <v>SL065.0G1W002WREC</v>
          </cell>
          <cell r="B429">
            <v>0</v>
          </cell>
          <cell r="C429">
            <v>0</v>
          </cell>
          <cell r="D429">
            <v>0</v>
          </cell>
          <cell r="E429">
            <v>0</v>
          </cell>
        </row>
        <row r="430">
          <cell r="A430" t="str">
            <v>SL065.0G1W002WRECC</v>
          </cell>
          <cell r="B430">
            <v>0</v>
          </cell>
          <cell r="C430">
            <v>0</v>
          </cell>
          <cell r="D430">
            <v>0</v>
          </cell>
          <cell r="E430">
            <v>0</v>
          </cell>
        </row>
        <row r="431">
          <cell r="A431" t="str">
            <v>SL065.0G1W003NOREC</v>
          </cell>
          <cell r="B431">
            <v>0</v>
          </cell>
          <cell r="C431">
            <v>0</v>
          </cell>
          <cell r="D431">
            <v>0</v>
          </cell>
          <cell r="E431">
            <v>0</v>
          </cell>
        </row>
        <row r="432">
          <cell r="A432" t="str">
            <v>SL065.0G1W003NORECC</v>
          </cell>
          <cell r="B432">
            <v>0</v>
          </cell>
          <cell r="C432">
            <v>0</v>
          </cell>
          <cell r="D432">
            <v>0</v>
          </cell>
          <cell r="E432">
            <v>0</v>
          </cell>
        </row>
        <row r="433">
          <cell r="A433" t="str">
            <v>SL065.0G1W003WREC</v>
          </cell>
          <cell r="B433">
            <v>0</v>
          </cell>
          <cell r="C433">
            <v>0</v>
          </cell>
          <cell r="D433">
            <v>0</v>
          </cell>
          <cell r="E433">
            <v>0</v>
          </cell>
        </row>
        <row r="434">
          <cell r="A434" t="str">
            <v>SL065.0G1W003WRECC</v>
          </cell>
          <cell r="B434">
            <v>0</v>
          </cell>
          <cell r="C434">
            <v>0</v>
          </cell>
          <cell r="D434">
            <v>0</v>
          </cell>
          <cell r="E434">
            <v>0</v>
          </cell>
        </row>
        <row r="435">
          <cell r="A435" t="str">
            <v>SL065.0G1W004NORECC</v>
          </cell>
          <cell r="B435">
            <v>0</v>
          </cell>
          <cell r="C435">
            <v>0</v>
          </cell>
          <cell r="D435">
            <v>0</v>
          </cell>
          <cell r="E435">
            <v>0</v>
          </cell>
        </row>
        <row r="436">
          <cell r="A436" t="str">
            <v>SL065.0G1W004WRECC</v>
          </cell>
          <cell r="B436">
            <v>0</v>
          </cell>
          <cell r="C436">
            <v>0</v>
          </cell>
          <cell r="D436">
            <v>0</v>
          </cell>
          <cell r="E436">
            <v>0</v>
          </cell>
        </row>
        <row r="437">
          <cell r="A437" t="str">
            <v>SL065.0G1W005NORECC</v>
          </cell>
          <cell r="B437">
            <v>0</v>
          </cell>
          <cell r="C437">
            <v>0</v>
          </cell>
          <cell r="D437">
            <v>0</v>
          </cell>
          <cell r="E437">
            <v>0</v>
          </cell>
        </row>
        <row r="438">
          <cell r="A438" t="str">
            <v>SL065.0G1W005WRECC</v>
          </cell>
          <cell r="B438">
            <v>0</v>
          </cell>
          <cell r="C438">
            <v>0</v>
          </cell>
          <cell r="D438">
            <v>0</v>
          </cell>
          <cell r="E438">
            <v>0</v>
          </cell>
        </row>
        <row r="439">
          <cell r="A439" t="str">
            <v>SL065.0GEO001</v>
          </cell>
          <cell r="B439">
            <v>0</v>
          </cell>
          <cell r="C439">
            <v>0</v>
          </cell>
          <cell r="D439">
            <v>21.13</v>
          </cell>
          <cell r="E439">
            <v>0</v>
          </cell>
        </row>
        <row r="440">
          <cell r="A440" t="str">
            <v>SL065.0GEO001NOREC</v>
          </cell>
          <cell r="B440">
            <v>0</v>
          </cell>
          <cell r="C440">
            <v>0</v>
          </cell>
          <cell r="D440">
            <v>0</v>
          </cell>
          <cell r="E440">
            <v>0</v>
          </cell>
        </row>
        <row r="441">
          <cell r="A441" t="str">
            <v>SL065.0GEO001NORECC</v>
          </cell>
          <cell r="B441">
            <v>0</v>
          </cell>
          <cell r="C441">
            <v>19.32</v>
          </cell>
          <cell r="D441">
            <v>0</v>
          </cell>
          <cell r="E441">
            <v>0</v>
          </cell>
        </row>
        <row r="442">
          <cell r="A442" t="str">
            <v>SL065.0GEO001WREC</v>
          </cell>
          <cell r="B442">
            <v>0</v>
          </cell>
          <cell r="C442">
            <v>0</v>
          </cell>
          <cell r="D442">
            <v>21.13</v>
          </cell>
          <cell r="E442">
            <v>0</v>
          </cell>
        </row>
        <row r="443">
          <cell r="A443" t="str">
            <v>SL065.0GEO001WRECC</v>
          </cell>
          <cell r="B443">
            <v>0</v>
          </cell>
          <cell r="C443">
            <v>19.32</v>
          </cell>
          <cell r="D443">
            <v>21.13</v>
          </cell>
          <cell r="E443">
            <v>0</v>
          </cell>
        </row>
        <row r="444">
          <cell r="A444" t="str">
            <v>SL095.0G1M0001WRECSPCL</v>
          </cell>
          <cell r="B444">
            <v>0</v>
          </cell>
          <cell r="C444">
            <v>0</v>
          </cell>
          <cell r="D444">
            <v>0</v>
          </cell>
          <cell r="E444">
            <v>0</v>
          </cell>
        </row>
        <row r="445">
          <cell r="A445" t="str">
            <v>SL065.0GEO002NOREC</v>
          </cell>
          <cell r="B445">
            <v>0</v>
          </cell>
          <cell r="C445">
            <v>0</v>
          </cell>
          <cell r="D445">
            <v>0</v>
          </cell>
          <cell r="E445">
            <v>0</v>
          </cell>
        </row>
        <row r="446">
          <cell r="A446" t="str">
            <v>SL065.0GEO002NORECC</v>
          </cell>
          <cell r="B446">
            <v>0</v>
          </cell>
          <cell r="C446">
            <v>0</v>
          </cell>
          <cell r="D446">
            <v>0</v>
          </cell>
          <cell r="E446">
            <v>0</v>
          </cell>
        </row>
        <row r="447">
          <cell r="A447" t="str">
            <v>SL065.0GEO002WREC</v>
          </cell>
          <cell r="B447">
            <v>0</v>
          </cell>
          <cell r="C447">
            <v>0</v>
          </cell>
          <cell r="D447">
            <v>0</v>
          </cell>
          <cell r="E447">
            <v>0</v>
          </cell>
        </row>
        <row r="448">
          <cell r="A448" t="str">
            <v>SL065.0GEO002WRECC</v>
          </cell>
          <cell r="B448">
            <v>0</v>
          </cell>
          <cell r="C448">
            <v>0</v>
          </cell>
          <cell r="D448">
            <v>0</v>
          </cell>
          <cell r="E448">
            <v>0</v>
          </cell>
        </row>
        <row r="449">
          <cell r="A449" t="str">
            <v>SL065.0GEO003NOREC</v>
          </cell>
          <cell r="B449">
            <v>0</v>
          </cell>
          <cell r="C449">
            <v>0</v>
          </cell>
          <cell r="D449">
            <v>0</v>
          </cell>
          <cell r="E449">
            <v>0</v>
          </cell>
        </row>
        <row r="450">
          <cell r="A450" t="str">
            <v>SL065.0GEO003NORECC</v>
          </cell>
          <cell r="B450">
            <v>0</v>
          </cell>
          <cell r="C450">
            <v>0</v>
          </cell>
          <cell r="D450">
            <v>0</v>
          </cell>
          <cell r="E450">
            <v>0</v>
          </cell>
        </row>
        <row r="451">
          <cell r="A451" t="str">
            <v>SL065.0GEO003WREC</v>
          </cell>
          <cell r="B451">
            <v>0</v>
          </cell>
          <cell r="C451">
            <v>0</v>
          </cell>
          <cell r="D451">
            <v>0</v>
          </cell>
          <cell r="E451">
            <v>0</v>
          </cell>
        </row>
        <row r="452">
          <cell r="A452" t="str">
            <v>SL065.0GEO003WRECC</v>
          </cell>
          <cell r="B452">
            <v>0</v>
          </cell>
          <cell r="C452">
            <v>0</v>
          </cell>
          <cell r="D452">
            <v>0</v>
          </cell>
          <cell r="E452">
            <v>0</v>
          </cell>
        </row>
        <row r="453">
          <cell r="A453" t="str">
            <v>SL065.0GEO004NORECC</v>
          </cell>
          <cell r="B453">
            <v>0</v>
          </cell>
          <cell r="C453">
            <v>0</v>
          </cell>
          <cell r="D453">
            <v>0</v>
          </cell>
          <cell r="E453">
            <v>0</v>
          </cell>
        </row>
        <row r="454">
          <cell r="A454" t="str">
            <v>SL065.0GEO004WRECC</v>
          </cell>
          <cell r="B454">
            <v>0</v>
          </cell>
          <cell r="C454">
            <v>0</v>
          </cell>
          <cell r="D454">
            <v>0</v>
          </cell>
          <cell r="E454">
            <v>0</v>
          </cell>
        </row>
        <row r="455">
          <cell r="A455" t="str">
            <v>SL065.0GEO005NORECC</v>
          </cell>
          <cell r="B455">
            <v>0</v>
          </cell>
          <cell r="C455">
            <v>0</v>
          </cell>
          <cell r="D455">
            <v>0</v>
          </cell>
          <cell r="E455">
            <v>0</v>
          </cell>
        </row>
        <row r="456">
          <cell r="A456" t="str">
            <v>SL065.0GEO005WRECC</v>
          </cell>
          <cell r="B456">
            <v>0</v>
          </cell>
          <cell r="C456">
            <v>0</v>
          </cell>
          <cell r="D456">
            <v>0</v>
          </cell>
          <cell r="E456">
            <v>0</v>
          </cell>
        </row>
        <row r="457">
          <cell r="A457" t="str">
            <v>SL095.0G1M001NOREC</v>
          </cell>
          <cell r="B457">
            <v>0</v>
          </cell>
          <cell r="C457">
            <v>0</v>
          </cell>
          <cell r="D457">
            <v>0</v>
          </cell>
          <cell r="E457">
            <v>0</v>
          </cell>
        </row>
        <row r="458">
          <cell r="A458" t="str">
            <v>SL095.0G1M001WREC</v>
          </cell>
          <cell r="B458">
            <v>0</v>
          </cell>
          <cell r="C458">
            <v>0</v>
          </cell>
          <cell r="D458">
            <v>0</v>
          </cell>
          <cell r="E458">
            <v>0</v>
          </cell>
        </row>
        <row r="459">
          <cell r="A459" t="str">
            <v>SL095.0G1W001NOREC</v>
          </cell>
          <cell r="B459">
            <v>0</v>
          </cell>
          <cell r="C459">
            <v>0</v>
          </cell>
          <cell r="D459">
            <v>0</v>
          </cell>
          <cell r="E459">
            <v>0</v>
          </cell>
        </row>
        <row r="460">
          <cell r="A460" t="str">
            <v>SL095.0G1W001NORECC</v>
          </cell>
          <cell r="B460">
            <v>0</v>
          </cell>
          <cell r="C460">
            <v>46.58</v>
          </cell>
          <cell r="D460">
            <v>41.19</v>
          </cell>
          <cell r="E460">
            <v>0</v>
          </cell>
        </row>
        <row r="461">
          <cell r="A461" t="str">
            <v>SL095.0G1W001SPCLWREC</v>
          </cell>
          <cell r="B461">
            <v>0</v>
          </cell>
          <cell r="C461">
            <v>0</v>
          </cell>
          <cell r="D461">
            <v>0</v>
          </cell>
          <cell r="E461">
            <v>0</v>
          </cell>
        </row>
        <row r="462">
          <cell r="A462" t="str">
            <v>SL095.0G1W001WREC</v>
          </cell>
          <cell r="B462">
            <v>0</v>
          </cell>
          <cell r="C462">
            <v>91</v>
          </cell>
          <cell r="D462">
            <v>41.06</v>
          </cell>
          <cell r="E462">
            <v>27.99</v>
          </cell>
        </row>
        <row r="463">
          <cell r="A463" t="str">
            <v>SL095.0G1W001WRECC</v>
          </cell>
          <cell r="B463">
            <v>0</v>
          </cell>
          <cell r="C463">
            <v>46.58</v>
          </cell>
          <cell r="D463">
            <v>41.19</v>
          </cell>
          <cell r="E463">
            <v>27.99</v>
          </cell>
        </row>
        <row r="464">
          <cell r="A464" t="str">
            <v>SL095.0G1W002NOREC</v>
          </cell>
          <cell r="B464">
            <v>0</v>
          </cell>
          <cell r="C464">
            <v>0</v>
          </cell>
          <cell r="D464">
            <v>0</v>
          </cell>
          <cell r="E464">
            <v>0</v>
          </cell>
        </row>
        <row r="465">
          <cell r="A465" t="str">
            <v>SL095.0G1W002NORECC</v>
          </cell>
          <cell r="B465">
            <v>0</v>
          </cell>
          <cell r="C465">
            <v>0</v>
          </cell>
          <cell r="D465">
            <v>0</v>
          </cell>
          <cell r="E465">
            <v>55.98</v>
          </cell>
        </row>
        <row r="466">
          <cell r="A466" t="str">
            <v>SL095.0G1W002WREC</v>
          </cell>
          <cell r="B466">
            <v>0</v>
          </cell>
          <cell r="C466">
            <v>0</v>
          </cell>
          <cell r="D466">
            <v>0</v>
          </cell>
          <cell r="E466">
            <v>0</v>
          </cell>
        </row>
        <row r="467">
          <cell r="A467" t="str">
            <v>SL095.0G1W002WRECC</v>
          </cell>
          <cell r="B467">
            <v>0</v>
          </cell>
          <cell r="C467">
            <v>0</v>
          </cell>
          <cell r="D467">
            <v>0</v>
          </cell>
          <cell r="E467">
            <v>0</v>
          </cell>
        </row>
        <row r="468">
          <cell r="A468" t="str">
            <v>SL095.0G1W003NOREC</v>
          </cell>
          <cell r="B468">
            <v>0</v>
          </cell>
          <cell r="C468">
            <v>0</v>
          </cell>
          <cell r="D468">
            <v>0</v>
          </cell>
          <cell r="E468">
            <v>0</v>
          </cell>
        </row>
        <row r="469">
          <cell r="A469" t="str">
            <v>SL095.0G1W003NORECC</v>
          </cell>
          <cell r="B469">
            <v>0</v>
          </cell>
          <cell r="C469">
            <v>0</v>
          </cell>
          <cell r="D469">
            <v>0</v>
          </cell>
          <cell r="E469">
            <v>0</v>
          </cell>
        </row>
        <row r="470">
          <cell r="A470" t="str">
            <v>SL095.0G1W003WREC</v>
          </cell>
          <cell r="B470">
            <v>0</v>
          </cell>
          <cell r="C470">
            <v>0</v>
          </cell>
          <cell r="D470">
            <v>0</v>
          </cell>
          <cell r="E470">
            <v>0</v>
          </cell>
        </row>
        <row r="471">
          <cell r="A471" t="str">
            <v>SL095.0G1W003WRECC</v>
          </cell>
          <cell r="B471">
            <v>0</v>
          </cell>
          <cell r="C471">
            <v>0</v>
          </cell>
          <cell r="D471">
            <v>0</v>
          </cell>
          <cell r="E471">
            <v>0</v>
          </cell>
        </row>
        <row r="472">
          <cell r="A472" t="str">
            <v>SL095.0G1W004NORECC</v>
          </cell>
          <cell r="B472">
            <v>0</v>
          </cell>
          <cell r="C472">
            <v>0</v>
          </cell>
          <cell r="D472">
            <v>0</v>
          </cell>
          <cell r="E472">
            <v>0</v>
          </cell>
        </row>
        <row r="473">
          <cell r="A473" t="str">
            <v>SL095.0G1W004WRECC</v>
          </cell>
          <cell r="B473">
            <v>0</v>
          </cell>
          <cell r="C473">
            <v>0</v>
          </cell>
          <cell r="D473">
            <v>0</v>
          </cell>
          <cell r="E473">
            <v>0</v>
          </cell>
        </row>
        <row r="474">
          <cell r="A474" t="str">
            <v>SL095.0G1W005NORECC</v>
          </cell>
          <cell r="B474">
            <v>0</v>
          </cell>
          <cell r="C474">
            <v>0</v>
          </cell>
          <cell r="D474">
            <v>0</v>
          </cell>
          <cell r="E474">
            <v>0</v>
          </cell>
        </row>
        <row r="475">
          <cell r="A475" t="str">
            <v>SL095.0G1W005WRECC</v>
          </cell>
          <cell r="B475">
            <v>0</v>
          </cell>
          <cell r="C475">
            <v>0</v>
          </cell>
          <cell r="D475">
            <v>0</v>
          </cell>
          <cell r="E475">
            <v>0</v>
          </cell>
        </row>
        <row r="476">
          <cell r="A476" t="str">
            <v>SL095.0GEO001</v>
          </cell>
          <cell r="B476">
            <v>0</v>
          </cell>
          <cell r="C476">
            <v>0</v>
          </cell>
          <cell r="D476">
            <v>25.28</v>
          </cell>
          <cell r="E476">
            <v>0</v>
          </cell>
        </row>
        <row r="477">
          <cell r="A477" t="str">
            <v>SL095.0GEO001NOREC</v>
          </cell>
          <cell r="B477">
            <v>0</v>
          </cell>
          <cell r="C477">
            <v>0</v>
          </cell>
          <cell r="D477">
            <v>0</v>
          </cell>
          <cell r="E477">
            <v>0</v>
          </cell>
        </row>
        <row r="478">
          <cell r="A478" t="str">
            <v>SL095.0GEO001NORECC</v>
          </cell>
          <cell r="B478">
            <v>0</v>
          </cell>
          <cell r="C478">
            <v>32.659999999999997</v>
          </cell>
          <cell r="D478">
            <v>0</v>
          </cell>
          <cell r="E478">
            <v>0</v>
          </cell>
        </row>
        <row r="479">
          <cell r="A479" t="str">
            <v>SL095.0GEO001SPCLWREC</v>
          </cell>
          <cell r="B479">
            <v>0</v>
          </cell>
          <cell r="C479">
            <v>0</v>
          </cell>
          <cell r="D479">
            <v>0</v>
          </cell>
          <cell r="E479">
            <v>0</v>
          </cell>
        </row>
        <row r="480">
          <cell r="A480" t="str">
            <v>SL095.0GEO001WREC</v>
          </cell>
          <cell r="B480">
            <v>0</v>
          </cell>
          <cell r="C480">
            <v>0</v>
          </cell>
          <cell r="D480">
            <v>25.28</v>
          </cell>
          <cell r="E480">
            <v>0</v>
          </cell>
        </row>
        <row r="481">
          <cell r="A481" t="str">
            <v>SL095.0GEO001WRECC</v>
          </cell>
          <cell r="B481">
            <v>0</v>
          </cell>
          <cell r="C481">
            <v>32.659999999999997</v>
          </cell>
          <cell r="D481">
            <v>25.28</v>
          </cell>
          <cell r="E481">
            <v>0</v>
          </cell>
        </row>
        <row r="482">
          <cell r="A482" t="str">
            <v>SL096.0G1M001BCMGLIN</v>
          </cell>
          <cell r="B482">
            <v>25</v>
          </cell>
          <cell r="C482">
            <v>27</v>
          </cell>
          <cell r="D482">
            <v>27</v>
          </cell>
          <cell r="E482">
            <v>27</v>
          </cell>
        </row>
        <row r="483">
          <cell r="A483" t="str">
            <v>SL096.0G1M001BCMGLOUT</v>
          </cell>
          <cell r="B483">
            <v>22</v>
          </cell>
          <cell r="C483">
            <v>24</v>
          </cell>
          <cell r="D483">
            <v>24</v>
          </cell>
          <cell r="E483">
            <v>24</v>
          </cell>
        </row>
        <row r="484">
          <cell r="A484" t="str">
            <v>SL096.0G1M001SCMGLIN</v>
          </cell>
          <cell r="B484">
            <v>22</v>
          </cell>
          <cell r="C484">
            <v>24</v>
          </cell>
          <cell r="D484">
            <v>24</v>
          </cell>
          <cell r="E484">
            <v>24</v>
          </cell>
        </row>
        <row r="485">
          <cell r="A485" t="str">
            <v>SL096.0G1M001SCMGLOUT</v>
          </cell>
          <cell r="B485">
            <v>18</v>
          </cell>
          <cell r="C485">
            <v>20</v>
          </cell>
          <cell r="D485">
            <v>20</v>
          </cell>
          <cell r="E485">
            <v>20</v>
          </cell>
        </row>
        <row r="486">
          <cell r="A486" t="str">
            <v>SL096.0G1W001BCMGLIN</v>
          </cell>
          <cell r="B486">
            <v>47</v>
          </cell>
          <cell r="C486">
            <v>51</v>
          </cell>
          <cell r="D486">
            <v>51</v>
          </cell>
          <cell r="E486">
            <v>51</v>
          </cell>
        </row>
        <row r="487">
          <cell r="A487" t="str">
            <v>SL096.0G1W001BCMGLOUT</v>
          </cell>
          <cell r="B487">
            <v>45</v>
          </cell>
          <cell r="C487">
            <v>49</v>
          </cell>
          <cell r="D487">
            <v>49</v>
          </cell>
          <cell r="E487">
            <v>49</v>
          </cell>
        </row>
        <row r="488">
          <cell r="A488" t="str">
            <v>SL096.0G1W001RECC</v>
          </cell>
          <cell r="B488">
            <v>21</v>
          </cell>
          <cell r="C488">
            <v>21</v>
          </cell>
          <cell r="D488">
            <v>21</v>
          </cell>
          <cell r="E488">
            <v>21</v>
          </cell>
        </row>
        <row r="489">
          <cell r="A489" t="str">
            <v>SL096.0G1W001SCMGLIN</v>
          </cell>
          <cell r="B489">
            <v>42</v>
          </cell>
          <cell r="C489">
            <v>46</v>
          </cell>
          <cell r="D489">
            <v>46</v>
          </cell>
          <cell r="E489">
            <v>46</v>
          </cell>
        </row>
        <row r="490">
          <cell r="A490" t="str">
            <v>SL096.0G1W001SCMGLOUT</v>
          </cell>
          <cell r="B490">
            <v>38</v>
          </cell>
          <cell r="C490">
            <v>42</v>
          </cell>
          <cell r="D490">
            <v>42</v>
          </cell>
          <cell r="E490">
            <v>42</v>
          </cell>
        </row>
        <row r="491">
          <cell r="A491" t="str">
            <v>SL096.0GEO001BCMGLIN</v>
          </cell>
          <cell r="B491">
            <v>34</v>
          </cell>
          <cell r="C491">
            <v>38</v>
          </cell>
          <cell r="D491">
            <v>38</v>
          </cell>
          <cell r="E491">
            <v>38</v>
          </cell>
        </row>
        <row r="492">
          <cell r="A492" t="str">
            <v>SL096.0GEO001BCMGLOUT</v>
          </cell>
          <cell r="B492">
            <v>32</v>
          </cell>
          <cell r="C492">
            <v>36</v>
          </cell>
          <cell r="D492">
            <v>36</v>
          </cell>
          <cell r="E492">
            <v>36</v>
          </cell>
        </row>
        <row r="493">
          <cell r="A493" t="str">
            <v>SL096.0GEO001SCMGLIN</v>
          </cell>
          <cell r="B493">
            <v>30</v>
          </cell>
          <cell r="C493">
            <v>34</v>
          </cell>
          <cell r="D493">
            <v>34</v>
          </cell>
          <cell r="E493">
            <v>34</v>
          </cell>
        </row>
        <row r="494">
          <cell r="A494" t="str">
            <v>SL096.0GEO001SCMGLOUT</v>
          </cell>
          <cell r="B494">
            <v>27</v>
          </cell>
          <cell r="C494">
            <v>31</v>
          </cell>
          <cell r="D494">
            <v>31</v>
          </cell>
          <cell r="E494">
            <v>31</v>
          </cell>
        </row>
        <row r="495">
          <cell r="A495" t="str">
            <v>SP-COMM</v>
          </cell>
          <cell r="B495">
            <v>0</v>
          </cell>
          <cell r="C495">
            <v>0</v>
          </cell>
          <cell r="D495">
            <v>0</v>
          </cell>
          <cell r="E495">
            <v>0</v>
          </cell>
        </row>
        <row r="496">
          <cell r="A496" t="str">
            <v>SP1.5-COMM</v>
          </cell>
          <cell r="B496">
            <v>0</v>
          </cell>
          <cell r="C496">
            <v>78.02</v>
          </cell>
          <cell r="D496">
            <v>32.6</v>
          </cell>
          <cell r="E496">
            <v>0</v>
          </cell>
        </row>
        <row r="497">
          <cell r="A497" t="str">
            <v>SP1.5-MF</v>
          </cell>
          <cell r="B497">
            <v>0</v>
          </cell>
          <cell r="C497">
            <v>0</v>
          </cell>
          <cell r="D497">
            <v>0</v>
          </cell>
          <cell r="E497">
            <v>0</v>
          </cell>
        </row>
        <row r="498">
          <cell r="A498" t="str">
            <v>SP1-COMM</v>
          </cell>
          <cell r="B498">
            <v>0</v>
          </cell>
          <cell r="C498">
            <v>70.510000000000005</v>
          </cell>
          <cell r="D498">
            <v>23.72</v>
          </cell>
          <cell r="E498">
            <v>0</v>
          </cell>
        </row>
        <row r="499">
          <cell r="A499" t="str">
            <v>SP1-MF</v>
          </cell>
          <cell r="B499">
            <v>0</v>
          </cell>
          <cell r="C499">
            <v>0</v>
          </cell>
          <cell r="D499">
            <v>0</v>
          </cell>
          <cell r="E499">
            <v>0</v>
          </cell>
        </row>
        <row r="500">
          <cell r="A500" t="str">
            <v>SP2BCMGL-COMM</v>
          </cell>
          <cell r="B500">
            <v>25</v>
          </cell>
          <cell r="C500">
            <v>25</v>
          </cell>
          <cell r="D500">
            <v>25</v>
          </cell>
          <cell r="E500">
            <v>25</v>
          </cell>
        </row>
        <row r="501">
          <cell r="A501" t="str">
            <v>SP2CMP-COMM</v>
          </cell>
          <cell r="B501">
            <v>0</v>
          </cell>
          <cell r="C501">
            <v>108.41</v>
          </cell>
          <cell r="D501">
            <v>0</v>
          </cell>
          <cell r="E501">
            <v>0</v>
          </cell>
        </row>
        <row r="502">
          <cell r="A502" t="str">
            <v>SP2-COMM</v>
          </cell>
          <cell r="B502">
            <v>0</v>
          </cell>
          <cell r="C502">
            <v>86.73</v>
          </cell>
          <cell r="D502">
            <v>42.16</v>
          </cell>
          <cell r="E502">
            <v>0</v>
          </cell>
        </row>
        <row r="503">
          <cell r="A503" t="str">
            <v>SP2-MF</v>
          </cell>
          <cell r="B503">
            <v>0</v>
          </cell>
          <cell r="C503">
            <v>0</v>
          </cell>
          <cell r="D503">
            <v>0</v>
          </cell>
          <cell r="E503">
            <v>0</v>
          </cell>
        </row>
        <row r="504">
          <cell r="A504" t="str">
            <v>SP2OCC-COMM</v>
          </cell>
          <cell r="B504">
            <v>55</v>
          </cell>
          <cell r="C504">
            <v>55</v>
          </cell>
          <cell r="D504">
            <v>55</v>
          </cell>
          <cell r="E504">
            <v>55</v>
          </cell>
        </row>
        <row r="505">
          <cell r="A505" t="str">
            <v>SP2SCMGL-COMM</v>
          </cell>
          <cell r="B505">
            <v>23</v>
          </cell>
          <cell r="C505">
            <v>23</v>
          </cell>
          <cell r="D505">
            <v>23</v>
          </cell>
          <cell r="E505">
            <v>23</v>
          </cell>
        </row>
        <row r="506">
          <cell r="A506" t="str">
            <v>SP2SOCC-COMM</v>
          </cell>
          <cell r="B506">
            <v>50</v>
          </cell>
          <cell r="C506">
            <v>50</v>
          </cell>
          <cell r="D506">
            <v>50</v>
          </cell>
          <cell r="E506">
            <v>50</v>
          </cell>
        </row>
        <row r="507">
          <cell r="A507" t="str">
            <v>SP32-RES</v>
          </cell>
          <cell r="B507">
            <v>0</v>
          </cell>
          <cell r="C507">
            <v>0</v>
          </cell>
          <cell r="D507">
            <v>0</v>
          </cell>
          <cell r="E507">
            <v>0</v>
          </cell>
        </row>
        <row r="508">
          <cell r="A508" t="str">
            <v>SP3CMP-COMM</v>
          </cell>
          <cell r="B508">
            <v>0</v>
          </cell>
          <cell r="C508">
            <v>151.83000000000001</v>
          </cell>
          <cell r="D508">
            <v>0</v>
          </cell>
          <cell r="E508">
            <v>0</v>
          </cell>
        </row>
        <row r="509">
          <cell r="A509" t="str">
            <v>SP3-COMM</v>
          </cell>
          <cell r="B509">
            <v>0</v>
          </cell>
          <cell r="C509">
            <v>99.46</v>
          </cell>
          <cell r="D509">
            <v>55</v>
          </cell>
          <cell r="E509">
            <v>0</v>
          </cell>
        </row>
        <row r="510">
          <cell r="A510" t="str">
            <v>SP3-MF</v>
          </cell>
          <cell r="B510">
            <v>0</v>
          </cell>
          <cell r="C510">
            <v>0</v>
          </cell>
          <cell r="D510">
            <v>0</v>
          </cell>
          <cell r="E510">
            <v>0</v>
          </cell>
        </row>
        <row r="511">
          <cell r="A511" t="str">
            <v>SP4CMP-COMM</v>
          </cell>
          <cell r="B511">
            <v>0</v>
          </cell>
          <cell r="C511">
            <v>200.27</v>
          </cell>
          <cell r="D511">
            <v>0</v>
          </cell>
          <cell r="E511">
            <v>0</v>
          </cell>
        </row>
        <row r="512">
          <cell r="A512" t="str">
            <v>SP4-COMM</v>
          </cell>
          <cell r="B512">
            <v>0</v>
          </cell>
          <cell r="C512">
            <v>114.28</v>
          </cell>
          <cell r="D512">
            <v>72.39</v>
          </cell>
          <cell r="E512">
            <v>0</v>
          </cell>
        </row>
        <row r="513">
          <cell r="A513" t="str">
            <v>SP4-MF</v>
          </cell>
          <cell r="B513">
            <v>0</v>
          </cell>
          <cell r="C513">
            <v>0</v>
          </cell>
          <cell r="D513">
            <v>0</v>
          </cell>
          <cell r="E513">
            <v>0</v>
          </cell>
        </row>
        <row r="514">
          <cell r="A514" t="str">
            <v>SP5CMP-COMM</v>
          </cell>
          <cell r="B514">
            <v>0</v>
          </cell>
          <cell r="C514">
            <v>0</v>
          </cell>
          <cell r="D514">
            <v>0</v>
          </cell>
          <cell r="E514">
            <v>0</v>
          </cell>
        </row>
        <row r="515">
          <cell r="A515" t="str">
            <v>SP5OCC-COMM</v>
          </cell>
          <cell r="B515">
            <v>55</v>
          </cell>
          <cell r="C515">
            <v>55</v>
          </cell>
          <cell r="D515">
            <v>55</v>
          </cell>
          <cell r="E515">
            <v>55</v>
          </cell>
        </row>
        <row r="516">
          <cell r="A516" t="str">
            <v>SP65-RES</v>
          </cell>
          <cell r="B516">
            <v>0</v>
          </cell>
          <cell r="C516">
            <v>0</v>
          </cell>
          <cell r="D516">
            <v>0</v>
          </cell>
          <cell r="E516">
            <v>0</v>
          </cell>
        </row>
        <row r="517">
          <cell r="A517" t="str">
            <v>SP6BCMGL-COMM</v>
          </cell>
          <cell r="B517">
            <v>55</v>
          </cell>
          <cell r="C517">
            <v>55</v>
          </cell>
          <cell r="D517">
            <v>55</v>
          </cell>
          <cell r="E517">
            <v>55</v>
          </cell>
        </row>
        <row r="518">
          <cell r="A518" t="str">
            <v>SP6CMP-COMM</v>
          </cell>
          <cell r="B518">
            <v>0</v>
          </cell>
          <cell r="C518">
            <v>0</v>
          </cell>
          <cell r="D518">
            <v>0</v>
          </cell>
          <cell r="E518">
            <v>0</v>
          </cell>
        </row>
        <row r="519">
          <cell r="A519" t="str">
            <v>SP6-COMM</v>
          </cell>
          <cell r="B519">
            <v>0</v>
          </cell>
          <cell r="C519">
            <v>134.86000000000001</v>
          </cell>
          <cell r="D519">
            <v>99.12</v>
          </cell>
          <cell r="E519">
            <v>0</v>
          </cell>
        </row>
        <row r="520">
          <cell r="A520" t="str">
            <v>SP6-MF</v>
          </cell>
          <cell r="B520">
            <v>0</v>
          </cell>
          <cell r="C520">
            <v>0</v>
          </cell>
          <cell r="D520">
            <v>0</v>
          </cell>
          <cell r="E520">
            <v>0</v>
          </cell>
        </row>
        <row r="521">
          <cell r="A521" t="str">
            <v>SP6SCMGL-COMM</v>
          </cell>
          <cell r="B521">
            <v>50</v>
          </cell>
          <cell r="C521">
            <v>50</v>
          </cell>
          <cell r="D521">
            <v>50</v>
          </cell>
          <cell r="E521">
            <v>50</v>
          </cell>
        </row>
        <row r="522">
          <cell r="A522" t="str">
            <v>SPADD-COMM</v>
          </cell>
          <cell r="B522">
            <v>0</v>
          </cell>
          <cell r="C522">
            <v>0</v>
          </cell>
          <cell r="D522">
            <v>0</v>
          </cell>
          <cell r="E522">
            <v>0</v>
          </cell>
        </row>
        <row r="523">
          <cell r="A523" t="str">
            <v>SP95-RES</v>
          </cell>
          <cell r="B523">
            <v>0</v>
          </cell>
          <cell r="C523">
            <v>0</v>
          </cell>
          <cell r="D523">
            <v>0</v>
          </cell>
          <cell r="E523">
            <v>0</v>
          </cell>
        </row>
        <row r="524">
          <cell r="A524" t="str">
            <v>SPCL32-COMM</v>
          </cell>
          <cell r="B524">
            <v>0</v>
          </cell>
          <cell r="C524">
            <v>0</v>
          </cell>
          <cell r="D524">
            <v>0</v>
          </cell>
          <cell r="E524">
            <v>0</v>
          </cell>
        </row>
        <row r="525">
          <cell r="A525" t="str">
            <v>SPCL32-RES</v>
          </cell>
          <cell r="B525">
            <v>0</v>
          </cell>
          <cell r="C525">
            <v>0</v>
          </cell>
          <cell r="D525">
            <v>0</v>
          </cell>
          <cell r="E525">
            <v>0</v>
          </cell>
        </row>
        <row r="526">
          <cell r="A526" t="str">
            <v>SPCL65-COMM</v>
          </cell>
          <cell r="B526">
            <v>0</v>
          </cell>
          <cell r="C526">
            <v>0</v>
          </cell>
          <cell r="D526">
            <v>0</v>
          </cell>
          <cell r="E526">
            <v>0</v>
          </cell>
        </row>
        <row r="527">
          <cell r="A527" t="str">
            <v>SPCL65-RES</v>
          </cell>
          <cell r="B527">
            <v>0</v>
          </cell>
          <cell r="C527">
            <v>0</v>
          </cell>
          <cell r="D527">
            <v>0</v>
          </cell>
          <cell r="E527">
            <v>0</v>
          </cell>
        </row>
        <row r="528">
          <cell r="A528" t="str">
            <v>SPCL95-COMM</v>
          </cell>
          <cell r="B528">
            <v>0</v>
          </cell>
          <cell r="C528">
            <v>0</v>
          </cell>
          <cell r="D528">
            <v>0</v>
          </cell>
          <cell r="E528">
            <v>0</v>
          </cell>
        </row>
        <row r="529">
          <cell r="A529" t="str">
            <v>SPCL95-RES</v>
          </cell>
          <cell r="B529">
            <v>0</v>
          </cell>
          <cell r="C529">
            <v>0</v>
          </cell>
          <cell r="D529">
            <v>0</v>
          </cell>
          <cell r="E529">
            <v>0</v>
          </cell>
        </row>
        <row r="530">
          <cell r="A530" t="str">
            <v>SPCLREC-COMM</v>
          </cell>
          <cell r="B530">
            <v>0</v>
          </cell>
          <cell r="C530">
            <v>0</v>
          </cell>
          <cell r="D530">
            <v>0</v>
          </cell>
          <cell r="E530">
            <v>0</v>
          </cell>
        </row>
        <row r="531">
          <cell r="A531" t="str">
            <v>SPCLREC-RES</v>
          </cell>
          <cell r="B531">
            <v>0</v>
          </cell>
          <cell r="C531">
            <v>0</v>
          </cell>
          <cell r="D531">
            <v>0</v>
          </cell>
          <cell r="E531">
            <v>0</v>
          </cell>
        </row>
        <row r="532">
          <cell r="A532" t="str">
            <v>SPGRAD1-RES</v>
          </cell>
          <cell r="B532">
            <v>0</v>
          </cell>
          <cell r="C532">
            <v>0</v>
          </cell>
          <cell r="D532">
            <v>0</v>
          </cell>
          <cell r="E532">
            <v>0</v>
          </cell>
        </row>
        <row r="533">
          <cell r="A533" t="str">
            <v>SPGRAD1-COMM</v>
          </cell>
          <cell r="B533">
            <v>0</v>
          </cell>
          <cell r="C533">
            <v>13.16</v>
          </cell>
          <cell r="D533">
            <v>0</v>
          </cell>
          <cell r="E533">
            <v>0</v>
          </cell>
        </row>
        <row r="534">
          <cell r="A534" t="str">
            <v>SPGRAD1REC-COMM</v>
          </cell>
          <cell r="B534">
            <v>15</v>
          </cell>
          <cell r="C534">
            <v>15</v>
          </cell>
          <cell r="D534">
            <v>15</v>
          </cell>
          <cell r="E534">
            <v>15</v>
          </cell>
        </row>
        <row r="535">
          <cell r="A535" t="str">
            <v>SPGRAD1S-COMM</v>
          </cell>
          <cell r="B535">
            <v>0</v>
          </cell>
          <cell r="C535">
            <v>11.78</v>
          </cell>
          <cell r="D535">
            <v>10.83</v>
          </cell>
          <cell r="E535">
            <v>0</v>
          </cell>
        </row>
        <row r="536">
          <cell r="A536" t="str">
            <v>SPGRAD2-RES</v>
          </cell>
          <cell r="B536">
            <v>0</v>
          </cell>
          <cell r="C536">
            <v>0</v>
          </cell>
          <cell r="D536">
            <v>0</v>
          </cell>
          <cell r="E536">
            <v>0</v>
          </cell>
        </row>
        <row r="537">
          <cell r="A537" t="str">
            <v>SPGRAD2-COMM</v>
          </cell>
          <cell r="B537">
            <v>0</v>
          </cell>
          <cell r="C537">
            <v>4.43</v>
          </cell>
          <cell r="D537">
            <v>0</v>
          </cell>
          <cell r="E537">
            <v>0</v>
          </cell>
        </row>
        <row r="538">
          <cell r="A538" t="str">
            <v>SPGRAD2REC-COMM</v>
          </cell>
          <cell r="B538">
            <v>5</v>
          </cell>
          <cell r="C538">
            <v>5</v>
          </cell>
          <cell r="D538">
            <v>5</v>
          </cell>
          <cell r="E538">
            <v>5</v>
          </cell>
        </row>
        <row r="539">
          <cell r="A539" t="str">
            <v>SPGRAD2S-COMM</v>
          </cell>
          <cell r="B539">
            <v>0</v>
          </cell>
          <cell r="C539">
            <v>0</v>
          </cell>
          <cell r="D539">
            <v>0</v>
          </cell>
          <cell r="E539">
            <v>0</v>
          </cell>
        </row>
        <row r="540">
          <cell r="A540" t="str">
            <v>SPREC-RES</v>
          </cell>
          <cell r="B540">
            <v>0</v>
          </cell>
          <cell r="C540">
            <v>0</v>
          </cell>
          <cell r="D540">
            <v>0</v>
          </cell>
          <cell r="E540">
            <v>0</v>
          </cell>
        </row>
        <row r="541">
          <cell r="A541" t="str">
            <v>SUNKENCANLVL1-COMM</v>
          </cell>
          <cell r="B541">
            <v>0</v>
          </cell>
          <cell r="C541">
            <v>0.75</v>
          </cell>
          <cell r="D541">
            <v>0</v>
          </cell>
          <cell r="E541">
            <v>0</v>
          </cell>
        </row>
        <row r="542">
          <cell r="A542" t="str">
            <v>SUNKENCAN-RES</v>
          </cell>
          <cell r="B542">
            <v>0</v>
          </cell>
          <cell r="C542">
            <v>0</v>
          </cell>
          <cell r="D542">
            <v>0</v>
          </cell>
          <cell r="E542">
            <v>0</v>
          </cell>
        </row>
        <row r="543">
          <cell r="A543" t="str">
            <v>SURCHGC</v>
          </cell>
          <cell r="B543">
            <v>0</v>
          </cell>
          <cell r="C543">
            <v>0</v>
          </cell>
          <cell r="D543">
            <v>0</v>
          </cell>
          <cell r="E543">
            <v>0</v>
          </cell>
        </row>
        <row r="544">
          <cell r="A544" t="str">
            <v>SURCHGR</v>
          </cell>
          <cell r="B544">
            <v>0</v>
          </cell>
          <cell r="C544">
            <v>0</v>
          </cell>
          <cell r="D544">
            <v>0</v>
          </cell>
          <cell r="E544">
            <v>0</v>
          </cell>
        </row>
        <row r="545">
          <cell r="A545" t="str">
            <v>TIME-COMM</v>
          </cell>
          <cell r="B545">
            <v>85</v>
          </cell>
          <cell r="C545">
            <v>114.58</v>
          </cell>
          <cell r="D545">
            <v>0</v>
          </cell>
          <cell r="E545">
            <v>0</v>
          </cell>
        </row>
        <row r="546">
          <cell r="A546" t="str">
            <v>TIME-RES</v>
          </cell>
          <cell r="B546">
            <v>0</v>
          </cell>
          <cell r="C546">
            <v>114.58</v>
          </cell>
          <cell r="D546">
            <v>0</v>
          </cell>
          <cell r="E546">
            <v>0</v>
          </cell>
        </row>
        <row r="547">
          <cell r="A547" t="str">
            <v>TIME-RO</v>
          </cell>
          <cell r="B547">
            <v>72</v>
          </cell>
          <cell r="C547">
            <v>0</v>
          </cell>
          <cell r="D547">
            <v>112.5</v>
          </cell>
          <cell r="E547">
            <v>112.5</v>
          </cell>
        </row>
        <row r="548">
          <cell r="A548" t="str">
            <v>TIRELG-COMM</v>
          </cell>
          <cell r="B548">
            <v>0</v>
          </cell>
          <cell r="C548">
            <v>0</v>
          </cell>
          <cell r="D548">
            <v>0</v>
          </cell>
          <cell r="E548">
            <v>0</v>
          </cell>
        </row>
        <row r="549">
          <cell r="A549" t="str">
            <v>TIRELG-RES</v>
          </cell>
          <cell r="B549">
            <v>0</v>
          </cell>
          <cell r="C549">
            <v>0</v>
          </cell>
          <cell r="D549">
            <v>0</v>
          </cell>
          <cell r="E549">
            <v>0</v>
          </cell>
        </row>
        <row r="550">
          <cell r="A550" t="str">
            <v>TIRE-RO</v>
          </cell>
          <cell r="B550">
            <v>0</v>
          </cell>
          <cell r="C550">
            <v>0</v>
          </cell>
          <cell r="D550">
            <v>0</v>
          </cell>
          <cell r="E550">
            <v>0</v>
          </cell>
        </row>
        <row r="551">
          <cell r="A551" t="str">
            <v>TIRESM-COMM</v>
          </cell>
          <cell r="B551">
            <v>0</v>
          </cell>
          <cell r="C551">
            <v>0</v>
          </cell>
          <cell r="D551">
            <v>0</v>
          </cell>
          <cell r="E551">
            <v>0</v>
          </cell>
        </row>
        <row r="552">
          <cell r="A552" t="str">
            <v>TIRESM-RES</v>
          </cell>
          <cell r="B552">
            <v>0</v>
          </cell>
          <cell r="C552">
            <v>0</v>
          </cell>
          <cell r="D552">
            <v>0</v>
          </cell>
          <cell r="E552">
            <v>0</v>
          </cell>
        </row>
        <row r="553">
          <cell r="A553" t="str">
            <v>UNRETURN-COMM</v>
          </cell>
          <cell r="B553">
            <v>0</v>
          </cell>
          <cell r="C553">
            <v>102.68</v>
          </cell>
          <cell r="D553">
            <v>0</v>
          </cell>
          <cell r="E553">
            <v>0</v>
          </cell>
        </row>
        <row r="554">
          <cell r="A554" t="str">
            <v>UNRETURN-RES</v>
          </cell>
          <cell r="B554">
            <v>0</v>
          </cell>
          <cell r="C554">
            <v>102.68</v>
          </cell>
          <cell r="D554">
            <v>95</v>
          </cell>
          <cell r="E554">
            <v>0</v>
          </cell>
        </row>
        <row r="555">
          <cell r="A555" t="str">
            <v>WI1-COMM</v>
          </cell>
          <cell r="B555">
            <v>0</v>
          </cell>
          <cell r="C555">
            <v>2.25</v>
          </cell>
          <cell r="D555">
            <v>2.2000000000000002</v>
          </cell>
          <cell r="E555">
            <v>0</v>
          </cell>
        </row>
        <row r="556">
          <cell r="A556" t="str">
            <v>WI1-RES</v>
          </cell>
          <cell r="B556">
            <v>0</v>
          </cell>
          <cell r="C556">
            <v>4.45</v>
          </cell>
          <cell r="D556">
            <v>2.2000000000000002</v>
          </cell>
          <cell r="E556">
            <v>0</v>
          </cell>
        </row>
        <row r="557">
          <cell r="A557" t="str">
            <v>WI2-COMM</v>
          </cell>
          <cell r="B557">
            <v>0</v>
          </cell>
          <cell r="C557">
            <v>3.7</v>
          </cell>
          <cell r="D557">
            <v>0</v>
          </cell>
          <cell r="E557">
            <v>0</v>
          </cell>
        </row>
        <row r="558">
          <cell r="A558" t="str">
            <v>WI2-RES</v>
          </cell>
          <cell r="B558">
            <v>0</v>
          </cell>
          <cell r="C558">
            <v>7.3</v>
          </cell>
          <cell r="D558">
            <v>1.34</v>
          </cell>
          <cell r="E558">
            <v>0</v>
          </cell>
        </row>
        <row r="559">
          <cell r="A559" t="str">
            <v>WI3-COMM</v>
          </cell>
          <cell r="B559">
            <v>0</v>
          </cell>
          <cell r="C559">
            <v>5.15</v>
          </cell>
          <cell r="D559">
            <v>0</v>
          </cell>
          <cell r="E559">
            <v>0</v>
          </cell>
        </row>
        <row r="560">
          <cell r="A560" t="str">
            <v>WI3-RES</v>
          </cell>
          <cell r="B560">
            <v>0</v>
          </cell>
          <cell r="C560">
            <v>10.17</v>
          </cell>
          <cell r="D560">
            <v>0</v>
          </cell>
          <cell r="E560">
            <v>0</v>
          </cell>
        </row>
        <row r="561">
          <cell r="A561" t="str">
            <v>WI4-COMM</v>
          </cell>
          <cell r="B561">
            <v>0</v>
          </cell>
          <cell r="C561">
            <v>6.59</v>
          </cell>
          <cell r="D561">
            <v>0</v>
          </cell>
          <cell r="E561">
            <v>0</v>
          </cell>
        </row>
        <row r="562">
          <cell r="A562" t="str">
            <v>WI4-RES</v>
          </cell>
          <cell r="B562">
            <v>0</v>
          </cell>
          <cell r="C562">
            <v>13.01</v>
          </cell>
          <cell r="D562">
            <v>0</v>
          </cell>
          <cell r="E562">
            <v>0</v>
          </cell>
        </row>
        <row r="563">
          <cell r="A563" t="str">
            <v>WI5-COMM</v>
          </cell>
          <cell r="B563">
            <v>0</v>
          </cell>
          <cell r="C563">
            <v>8.0500000000000007</v>
          </cell>
          <cell r="D563">
            <v>0</v>
          </cell>
          <cell r="E563">
            <v>0</v>
          </cell>
        </row>
        <row r="564">
          <cell r="A564" t="str">
            <v>WI5-RES</v>
          </cell>
          <cell r="B564">
            <v>0</v>
          </cell>
          <cell r="C564">
            <v>15.84</v>
          </cell>
          <cell r="D564">
            <v>0</v>
          </cell>
          <cell r="E564">
            <v>0</v>
          </cell>
        </row>
        <row r="565">
          <cell r="A565" t="str">
            <v>WI6-COMM</v>
          </cell>
          <cell r="B565">
            <v>0</v>
          </cell>
          <cell r="C565">
            <v>9.49</v>
          </cell>
          <cell r="D565">
            <v>0</v>
          </cell>
          <cell r="E565">
            <v>0</v>
          </cell>
        </row>
        <row r="566">
          <cell r="A566" t="str">
            <v>WI6-RES</v>
          </cell>
          <cell r="B566">
            <v>0</v>
          </cell>
          <cell r="C566">
            <v>18.73</v>
          </cell>
          <cell r="D566">
            <v>0</v>
          </cell>
          <cell r="E566">
            <v>0</v>
          </cell>
        </row>
        <row r="567">
          <cell r="A567" t="str">
            <v>WI7-COMM</v>
          </cell>
          <cell r="B567">
            <v>0</v>
          </cell>
          <cell r="C567">
            <v>10.94</v>
          </cell>
          <cell r="D567">
            <v>0</v>
          </cell>
          <cell r="E567">
            <v>0</v>
          </cell>
        </row>
        <row r="568">
          <cell r="A568" t="str">
            <v>WI7-RES</v>
          </cell>
          <cell r="B568">
            <v>0</v>
          </cell>
          <cell r="C568">
            <v>21.59</v>
          </cell>
          <cell r="D568">
            <v>0</v>
          </cell>
          <cell r="E568">
            <v>0</v>
          </cell>
        </row>
        <row r="569">
          <cell r="A569" t="str">
            <v>WI8-COMM</v>
          </cell>
          <cell r="B569">
            <v>0</v>
          </cell>
          <cell r="C569">
            <v>12.39</v>
          </cell>
          <cell r="D569">
            <v>0</v>
          </cell>
          <cell r="E569">
            <v>0</v>
          </cell>
        </row>
        <row r="570">
          <cell r="A570" t="str">
            <v>WI8-RES</v>
          </cell>
          <cell r="B570">
            <v>0</v>
          </cell>
          <cell r="C570">
            <v>24.42</v>
          </cell>
          <cell r="D570">
            <v>0</v>
          </cell>
          <cell r="E570">
            <v>0</v>
          </cell>
        </row>
        <row r="571">
          <cell r="A571" t="str">
            <v>WI9-COMM</v>
          </cell>
          <cell r="B571">
            <v>0</v>
          </cell>
          <cell r="C571">
            <v>0</v>
          </cell>
          <cell r="D571">
            <v>0</v>
          </cell>
          <cell r="E571">
            <v>0</v>
          </cell>
        </row>
        <row r="572">
          <cell r="A572" t="str">
            <v>WI9-RES</v>
          </cell>
          <cell r="B572">
            <v>0</v>
          </cell>
          <cell r="C572">
            <v>27.25</v>
          </cell>
          <cell r="D572">
            <v>0</v>
          </cell>
          <cell r="E572">
            <v>0</v>
          </cell>
        </row>
        <row r="575">
          <cell r="B575">
            <v>9102.869999999999</v>
          </cell>
          <cell r="C575">
            <v>37079.449999999975</v>
          </cell>
          <cell r="D575">
            <v>18861.810000000001</v>
          </cell>
          <cell r="E575">
            <v>15259.719999999996</v>
          </cell>
        </row>
        <row r="576">
          <cell r="B576">
            <v>9102.869999999999</v>
          </cell>
          <cell r="C576">
            <v>37079.449999999975</v>
          </cell>
          <cell r="D576">
            <v>18861.810000000001</v>
          </cell>
          <cell r="E576">
            <v>15259.719999999996</v>
          </cell>
        </row>
        <row r="577">
          <cell r="B577">
            <v>0</v>
          </cell>
          <cell r="C577">
            <v>0</v>
          </cell>
          <cell r="D577">
            <v>0</v>
          </cell>
          <cell r="E577">
            <v>0</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ttyCash-10110"/>
      <sheetName val="10200"/>
      <sheetName val="10210"/>
      <sheetName val="10250_RECON"/>
      <sheetName val="10250_MVPSS"/>
      <sheetName val="10250_Recy Chkg"/>
      <sheetName val="10250_Reimb Accts"/>
      <sheetName val="10250_Rollfwd"/>
      <sheetName val="10410_Rollfwd"/>
      <sheetName val="10410_Recon"/>
      <sheetName val="10410_Trade"/>
      <sheetName val="10410_Lodi"/>
      <sheetName val="10410_Sac Co"/>
      <sheetName val="10410_Brokered"/>
      <sheetName val="10420_Rollfwd"/>
      <sheetName val="10420 RECON"/>
      <sheetName val="Rollfwd_10550"/>
      <sheetName val="Recon_10550"/>
      <sheetName val="Recon_10555"/>
      <sheetName val="Recon_10610"/>
      <sheetName val="A170XX-October"/>
      <sheetName val="Recon_10760"/>
      <sheetName val="Rollfwd_10820"/>
      <sheetName val="PPXXC_10830"/>
      <sheetName val="Schedule_10830"/>
      <sheetName val="Recon_10830"/>
      <sheetName val="Rollfwd_10850"/>
      <sheetName val="Recon_10850"/>
      <sheetName val="ReconSumm_10890"/>
      <sheetName val="ASSETS 11XXX"/>
      <sheetName val="ACC DEP 12XXX"/>
      <sheetName val="GOODWILL_15120"/>
      <sheetName val="Rollfwd_15450"/>
      <sheetName val="15450_92 bond"/>
      <sheetName val="15450_94 Bond "/>
      <sheetName val="Recon_15450"/>
      <sheetName val="Rollfwd_15320_15500"/>
      <sheetName val="16100_Rollfwd"/>
      <sheetName val="A180543"/>
      <sheetName val="A20110"/>
      <sheetName val="Rollfwd_20120"/>
      <sheetName val="Recon_20120"/>
      <sheetName val="Recon_20130"/>
      <sheetName val="Recon_20133"/>
      <sheetName val="Recon_20135"/>
      <sheetName val="Recon_20137"/>
      <sheetName val="A20140"/>
      <sheetName val="SALES TAX RETURN_20140"/>
      <sheetName val="Rollfwd_20170"/>
      <sheetName val="Recon_20170"/>
      <sheetName val="Recon_20175"/>
      <sheetName val="Recon_20177"/>
      <sheetName val="Detail_20320"/>
      <sheetName val="Rollfwd_20325"/>
      <sheetName val="Recon_20325"/>
      <sheetName val="A20330"/>
      <sheetName val="RECON 20335"/>
      <sheetName val="RECON_20340"/>
      <sheetName val="DETAILED 20360"/>
      <sheetName val="recon 20365"/>
      <sheetName val="recon 20375"/>
      <sheetName val="A21100 &amp; A21250"/>
      <sheetName val="21250_92 Bond"/>
      <sheetName val="21250_94 Bond"/>
      <sheetName val="21250_R. Vaccarezza"/>
      <sheetName val="21250_BOND DIS AMORT"/>
      <sheetName val="A21390"/>
      <sheetName val="Recon 22104"/>
      <sheetName val="Recon 22105"/>
      <sheetName val="Recon 22109"/>
      <sheetName val="Recon 22205 "/>
      <sheetName val="Recon 22206"/>
      <sheetName val="Recon_30XXXX"/>
      <sheetName val="Recon 150543 Revised"/>
      <sheetName val="170001 DL 121999"/>
      <sheetName val="Rollfwd_170001"/>
      <sheetName val="A170001"/>
      <sheetName val="Rollfwd_170050"/>
      <sheetName val="A170050"/>
      <sheetName val="Rollfwd_171170"/>
      <sheetName val="A171170"/>
      <sheetName val="Rollfwd_171500"/>
      <sheetName val="A171500"/>
      <sheetName val="A171504"/>
      <sheetName val="A171531"/>
      <sheetName val="A172216"/>
      <sheetName val="A172220"/>
      <sheetName val="A172355"/>
      <sheetName val="Dec_99 DL_RAW"/>
      <sheetName val="Dec_99 DL_"/>
      <sheetName val="DEC_98 DL RAW"/>
      <sheetName val="DEC_98 DL "/>
      <sheetName val="Sheet4"/>
      <sheetName val="Sheet4 (2)"/>
      <sheetName val="XXXXXX"/>
      <sheetName val="BU NAMES"/>
      <sheetName val="PS BS ACCOU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sheetName val="2183 IS"/>
      <sheetName val="2184 IS"/>
      <sheetName val="2185 IS"/>
      <sheetName val="Consolidated IS"/>
      <sheetName val="Ratios Thurston"/>
      <sheetName val="2183 Pro forma"/>
      <sheetName val="2183 Ratios"/>
      <sheetName val="Restating Expl"/>
      <sheetName val="Pro forma Expl"/>
      <sheetName val="Pacific Regulated - Price Out"/>
      <sheetName val="Total Matrix"/>
      <sheetName val="Packer_RO Matrix"/>
      <sheetName val="COS Packer_RO"/>
      <sheetName val="Res YW Matix"/>
      <sheetName val="Res Recy Matrix"/>
      <sheetName val="MF Recy Matrix"/>
      <sheetName val="COS RR YW MFR"/>
      <sheetName val="Total Pac,Rural"/>
      <sheetName val="Rural"/>
      <sheetName val="LG-Pacific Pckr Rts"/>
      <sheetName val="LG-RO"/>
      <sheetName val="Res Recycl"/>
      <sheetName val="MF Recycl"/>
      <sheetName val="YW"/>
      <sheetName val="Depr Summary 2183"/>
      <sheetName val="Trucks 2183"/>
      <sheetName val="Containers 2183"/>
      <sheetName val="OTHER EQUIP 2183"/>
      <sheetName val="LeMay Global"/>
      <sheetName val="Fuel"/>
      <sheetName val="DF Schedule"/>
      <sheetName val="2183 Payroll"/>
      <sheetName val="2184 Payroll"/>
      <sheetName val="2185 Payroll"/>
      <sheetName val="Cust Cnt"/>
      <sheetName val="Unit Cnt"/>
      <sheetName val="70148 Summary"/>
      <sheetName val="Time Study"/>
      <sheetName val="Corp OH"/>
    </sheetNames>
    <sheetDataSet>
      <sheetData sheetId="0"/>
      <sheetData sheetId="1"/>
      <sheetData sheetId="2"/>
      <sheetData sheetId="3"/>
      <sheetData sheetId="4"/>
      <sheetData sheetId="5"/>
      <sheetData sheetId="6"/>
      <sheetData sheetId="7"/>
      <sheetData sheetId="8"/>
      <sheetData sheetId="9"/>
      <sheetData sheetId="10">
        <row r="49">
          <cell r="M49">
            <v>8000432.4617248299</v>
          </cell>
        </row>
        <row r="50">
          <cell r="F50">
            <v>8158680.0299999993</v>
          </cell>
        </row>
        <row r="58">
          <cell r="M58">
            <v>2625393.5068796892</v>
          </cell>
        </row>
        <row r="59">
          <cell r="F59">
            <v>2119461.4499999997</v>
          </cell>
        </row>
        <row r="69">
          <cell r="M69">
            <v>1361744.4391882615</v>
          </cell>
        </row>
        <row r="70">
          <cell r="F70">
            <v>1347163.92</v>
          </cell>
        </row>
        <row r="213">
          <cell r="M213">
            <v>4757117.5866496488</v>
          </cell>
        </row>
        <row r="214">
          <cell r="F214">
            <v>4859462.2200000007</v>
          </cell>
        </row>
        <row r="221">
          <cell r="M221">
            <v>395543.82663328515</v>
          </cell>
        </row>
        <row r="222">
          <cell r="F222">
            <v>332798.89999999997</v>
          </cell>
        </row>
        <row r="281">
          <cell r="M281">
            <v>1187221.5155152699</v>
          </cell>
        </row>
        <row r="282">
          <cell r="F282">
            <v>744277.47999999975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f Rate Sheet"/>
      <sheetName val="Class A IS"/>
      <sheetName val="2149 BS"/>
      <sheetName val="9-30-11 BS"/>
      <sheetName val="2149 IS"/>
      <sheetName val="Consolidated IS"/>
      <sheetName val="Ratios"/>
      <sheetName val="Restating Adj"/>
      <sheetName val="Restating Expl"/>
      <sheetName val="Pro forma Adj"/>
      <sheetName val="Pro-forma"/>
      <sheetName val="LG-Combined"/>
      <sheetName val="LG-Pckr,RO"/>
      <sheetName val="LG-Recycl"/>
      <sheetName val="Price Out"/>
      <sheetName val="Rate Sheet"/>
      <sheetName val="Pckr, RO, Matrix"/>
      <sheetName val="COS Packer,RO "/>
      <sheetName val="Recycl Matrix"/>
      <sheetName val="COS Recycle"/>
      <sheetName val="Disposal Calc"/>
      <sheetName val="Disposal Schedule"/>
      <sheetName val="Fuel"/>
      <sheetName val="PR Summary"/>
      <sheetName val="Depr Summary"/>
      <sheetName val="Depreciation"/>
      <sheetName val="Cust Count"/>
      <sheetName val="Rt Study Summary"/>
      <sheetName val="Recycl Tons, Commodity Value"/>
      <sheetName val="Tribal Cnts"/>
      <sheetName val="Corp OH"/>
      <sheetName val="Corp Debt Equity"/>
      <sheetName val="Balance Sheet"/>
      <sheetName val="P&amp;L"/>
      <sheetName val="70195 JE-WRRA Dues"/>
      <sheetName val="56095 JE"/>
      <sheetName val="Non-Reg Price Out"/>
      <sheetName val="30% Commodity Justification"/>
      <sheetName val="TRC Processing Justfication"/>
      <sheetName val="Orig Price Out"/>
      <sheetName val="Rate Sheet Dec 2012"/>
      <sheetName val="Orig COS Packer,RO "/>
      <sheetName val="LG-Pckr w DF"/>
      <sheetName val="LG-Pckr w-out DF"/>
      <sheetName val="LG-RO"/>
    </sheetNames>
    <sheetDataSet>
      <sheetData sheetId="0">
        <row r="107">
          <cell r="L107">
            <v>1755086.2007667283</v>
          </cell>
        </row>
        <row r="214">
          <cell r="L214">
            <v>861493.18580596044</v>
          </cell>
        </row>
        <row r="278">
          <cell r="L278">
            <v>840474.49671344017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3">
          <cell r="L23">
            <v>2329.3388396454475</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G Garbage"/>
      <sheetName val=" LG recycle"/>
      <sheetName val="LG Yardwaste"/>
      <sheetName val="LG MF Recycle"/>
      <sheetName val="Proforma"/>
      <sheetName val="matrix"/>
      <sheetName val="COS"/>
      <sheetName val="Price Out-Reg EASTSIDE-Resi"/>
      <sheetName val="Price Out-Comm MSW"/>
      <sheetName val="Price Out-Drop Box"/>
      <sheetName val="Price Out-MF Recycle 20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BS_Close"/>
      <sheetName val="PL_ActTranx"/>
      <sheetName val="JE_Review"/>
      <sheetName val="PL_CloseByDay"/>
      <sheetName val="PL_IS200"/>
      <sheetName val="PL_IS210"/>
      <sheetName val="PL_ActByDistrict"/>
      <sheetName val="PL_ProjReview"/>
    </sheetNames>
    <sheetDataSet>
      <sheetData sheetId="0"/>
      <sheetData sheetId="1" refreshError="1">
        <row r="2">
          <cell r="X2" t="str">
            <v>P&amp;L Close Report</v>
          </cell>
          <cell r="Z2" t="str">
            <v>Consolidated</v>
          </cell>
        </row>
        <row r="3">
          <cell r="Z3" t="str">
            <v>Region</v>
          </cell>
        </row>
        <row r="4">
          <cell r="Z4" t="str">
            <v>District</v>
          </cell>
        </row>
        <row r="5">
          <cell r="Z5" t="str">
            <v>Multiple Districts</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X97"/>
  <sheetViews>
    <sheetView showGridLines="0" tabSelected="1" zoomScale="85" zoomScaleNormal="85" workbookViewId="0">
      <selection activeCell="S17" sqref="S17:S18"/>
    </sheetView>
  </sheetViews>
  <sheetFormatPr defaultRowHeight="15"/>
  <cols>
    <col min="1" max="1" width="31.28515625" style="3" customWidth="1"/>
    <col min="2" max="2" width="8.140625" style="23" customWidth="1"/>
    <col min="3" max="3" width="19" style="3" bestFit="1" customWidth="1"/>
    <col min="4" max="4" width="16" style="3" bestFit="1" customWidth="1"/>
    <col min="5" max="5" width="10.5703125" style="3" bestFit="1" customWidth="1"/>
    <col min="6" max="6" width="7" style="3" bestFit="1" customWidth="1"/>
    <col min="7" max="7" width="11.42578125" style="3" bestFit="1" customWidth="1"/>
    <col min="8" max="8" width="10" style="3" bestFit="1" customWidth="1"/>
    <col min="9" max="9" width="8" style="3" bestFit="1" customWidth="1"/>
    <col min="10" max="10" width="15.85546875" style="3" bestFit="1" customWidth="1"/>
    <col min="11" max="11" width="14.5703125" style="3" customWidth="1"/>
    <col min="12" max="16384" width="9.140625" style="3"/>
  </cols>
  <sheetData>
    <row r="1" spans="1:10" s="23" customFormat="1">
      <c r="A1" s="25" t="s">
        <v>101</v>
      </c>
    </row>
    <row r="2" spans="1:10" s="23" customFormat="1">
      <c r="A2" s="533"/>
      <c r="J2" s="140" t="s">
        <v>154</v>
      </c>
    </row>
    <row r="3" spans="1:10" s="23" customFormat="1"/>
    <row r="4" spans="1:10" s="23" customFormat="1"/>
    <row r="5" spans="1:10">
      <c r="A5" s="507" t="s">
        <v>14</v>
      </c>
      <c r="B5" s="507"/>
      <c r="C5" s="507"/>
      <c r="D5" s="507"/>
      <c r="E5" s="507"/>
      <c r="F5" s="507"/>
      <c r="G5" s="507"/>
      <c r="H5" s="507"/>
      <c r="I5" s="507"/>
    </row>
    <row r="6" spans="1:10" ht="30">
      <c r="A6" s="3" t="s">
        <v>46</v>
      </c>
      <c r="C6" s="10" t="s">
        <v>33</v>
      </c>
      <c r="D6" s="10" t="s">
        <v>34</v>
      </c>
      <c r="E6" s="10" t="s">
        <v>35</v>
      </c>
      <c r="F6" s="11" t="s">
        <v>37</v>
      </c>
      <c r="G6" s="11" t="s">
        <v>38</v>
      </c>
      <c r="H6" s="11" t="s">
        <v>39</v>
      </c>
      <c r="I6" s="10" t="s">
        <v>42</v>
      </c>
      <c r="J6" s="277" t="s">
        <v>601</v>
      </c>
    </row>
    <row r="7" spans="1:10">
      <c r="A7" s="3" t="s">
        <v>43</v>
      </c>
      <c r="C7" s="1">
        <f>52*5/12</f>
        <v>21.666666666666668</v>
      </c>
      <c r="D7" s="12">
        <f>$C$7*2</f>
        <v>43.333333333333336</v>
      </c>
      <c r="E7" s="12">
        <f>$C$7*3</f>
        <v>65</v>
      </c>
      <c r="F7" s="12">
        <f>$C$7*4</f>
        <v>86.666666666666671</v>
      </c>
      <c r="G7" s="12">
        <f>$C$7*5</f>
        <v>108.33333333333334</v>
      </c>
      <c r="H7" s="12">
        <f>$C$7*6</f>
        <v>130</v>
      </c>
      <c r="I7" s="12">
        <f>$C$7*7</f>
        <v>151.66666666666669</v>
      </c>
      <c r="J7" s="271">
        <f>C7-1</f>
        <v>20.666666666666668</v>
      </c>
    </row>
    <row r="8" spans="1:10">
      <c r="A8" s="3" t="s">
        <v>78</v>
      </c>
      <c r="C8" s="1">
        <f>52*4/12</f>
        <v>17.333333333333332</v>
      </c>
      <c r="D8" s="12">
        <f>$C$8*2</f>
        <v>34.666666666666664</v>
      </c>
      <c r="E8" s="12">
        <f>$C$8*3</f>
        <v>52</v>
      </c>
      <c r="F8" s="12">
        <f>$C$8*4</f>
        <v>69.333333333333329</v>
      </c>
      <c r="G8" s="12">
        <f>$C$8*5</f>
        <v>86.666666666666657</v>
      </c>
      <c r="H8" s="12">
        <f>$C$8*6</f>
        <v>104</v>
      </c>
      <c r="I8" s="12">
        <f>$C$8*7</f>
        <v>121.33333333333333</v>
      </c>
      <c r="J8" s="271">
        <f>C8-1</f>
        <v>16.333333333333332</v>
      </c>
    </row>
    <row r="9" spans="1:10">
      <c r="A9" s="3" t="s">
        <v>44</v>
      </c>
      <c r="C9" s="1">
        <f>52*3/12</f>
        <v>13</v>
      </c>
      <c r="D9" s="12">
        <f>$C$9*2</f>
        <v>26</v>
      </c>
      <c r="E9" s="12">
        <f>$C$9*3</f>
        <v>39</v>
      </c>
      <c r="F9" s="12">
        <f>$C$9*4</f>
        <v>52</v>
      </c>
      <c r="G9" s="12">
        <f>$C$9*5</f>
        <v>65</v>
      </c>
      <c r="H9" s="12">
        <f>$C$9*6</f>
        <v>78</v>
      </c>
      <c r="I9" s="12">
        <f>$C$9*7</f>
        <v>91</v>
      </c>
      <c r="J9" s="271">
        <f>C9-1</f>
        <v>12</v>
      </c>
    </row>
    <row r="10" spans="1:10">
      <c r="A10" s="3" t="s">
        <v>45</v>
      </c>
      <c r="C10" s="1">
        <f>52*2/12</f>
        <v>8.6666666666666661</v>
      </c>
      <c r="D10" s="13">
        <f>$C$10*2</f>
        <v>17.333333333333332</v>
      </c>
      <c r="E10" s="13">
        <f>$C$10*3</f>
        <v>26</v>
      </c>
      <c r="F10" s="13">
        <f>$C$10*4</f>
        <v>34.666666666666664</v>
      </c>
      <c r="G10" s="13">
        <f>$C$10*5</f>
        <v>43.333333333333329</v>
      </c>
      <c r="H10" s="13">
        <f>$C$10*6</f>
        <v>52</v>
      </c>
      <c r="I10" s="13">
        <f>$C$10*7</f>
        <v>60.666666666666664</v>
      </c>
      <c r="J10" s="271">
        <f>C10-1</f>
        <v>7.6666666666666661</v>
      </c>
    </row>
    <row r="11" spans="1:10">
      <c r="A11" s="3" t="s">
        <v>17</v>
      </c>
      <c r="C11" s="1">
        <f>52/12</f>
        <v>4.333333333333333</v>
      </c>
      <c r="D11" s="13">
        <f>$C$11*2</f>
        <v>8.6666666666666661</v>
      </c>
      <c r="E11" s="13">
        <f>$C$11*3</f>
        <v>13</v>
      </c>
      <c r="F11" s="13">
        <f>$C$11*4</f>
        <v>17.333333333333332</v>
      </c>
      <c r="G11" s="13">
        <f>$C$11*5</f>
        <v>21.666666666666664</v>
      </c>
      <c r="H11" s="13">
        <f>$C$11*6</f>
        <v>26</v>
      </c>
      <c r="I11" s="13">
        <f>$C$11*7</f>
        <v>30.333333333333332</v>
      </c>
      <c r="J11" s="271">
        <f>C11-1</f>
        <v>3.333333333333333</v>
      </c>
    </row>
    <row r="12" spans="1:10">
      <c r="A12" s="3" t="s">
        <v>19</v>
      </c>
      <c r="C12" s="1">
        <f>26/12</f>
        <v>2.1666666666666665</v>
      </c>
      <c r="D12" s="13">
        <f>$C$12*2</f>
        <v>4.333333333333333</v>
      </c>
      <c r="E12" s="13">
        <f>$C$12*3</f>
        <v>6.5</v>
      </c>
      <c r="F12" s="13">
        <f>$C$12*4</f>
        <v>8.6666666666666661</v>
      </c>
      <c r="G12" s="13">
        <f>$C$12*5</f>
        <v>10.833333333333332</v>
      </c>
      <c r="H12" s="13">
        <f>$C$12*6</f>
        <v>13</v>
      </c>
      <c r="I12" s="13">
        <f>$C$12*7</f>
        <v>15.166666666666666</v>
      </c>
    </row>
    <row r="13" spans="1:10">
      <c r="A13" s="3" t="s">
        <v>18</v>
      </c>
      <c r="C13" s="1">
        <f>12/12</f>
        <v>1</v>
      </c>
      <c r="D13" s="13">
        <f>$C$13*2</f>
        <v>2</v>
      </c>
      <c r="E13" s="13">
        <f>$C$13*3</f>
        <v>3</v>
      </c>
      <c r="F13" s="13">
        <f>$C$13*4</f>
        <v>4</v>
      </c>
      <c r="G13" s="13">
        <f>$C$13*5</f>
        <v>5</v>
      </c>
      <c r="H13" s="13">
        <f>$C$13*6</f>
        <v>6</v>
      </c>
      <c r="I13" s="13">
        <f>$C$13*7</f>
        <v>7</v>
      </c>
    </row>
    <row r="14" spans="1:10">
      <c r="A14" s="23" t="s">
        <v>82</v>
      </c>
      <c r="C14" s="1">
        <v>1</v>
      </c>
      <c r="D14" s="13"/>
      <c r="E14" s="13"/>
      <c r="F14" s="13"/>
      <c r="G14" s="13"/>
      <c r="H14" s="13"/>
      <c r="I14" s="13"/>
    </row>
    <row r="15" spans="1:10">
      <c r="A15" s="507" t="s">
        <v>8</v>
      </c>
      <c r="B15" s="507"/>
      <c r="C15" s="507"/>
      <c r="D15" s="27"/>
      <c r="E15" s="13"/>
      <c r="F15" s="13"/>
      <c r="G15" s="13"/>
      <c r="H15" s="13"/>
      <c r="I15" s="13"/>
    </row>
    <row r="16" spans="1:10">
      <c r="A16" s="25" t="s">
        <v>41</v>
      </c>
      <c r="B16" s="25"/>
      <c r="C16" s="29" t="s">
        <v>70</v>
      </c>
      <c r="D16" s="27"/>
      <c r="E16" s="13"/>
      <c r="F16" s="13"/>
      <c r="G16" s="13"/>
      <c r="H16" s="13"/>
      <c r="I16" s="13"/>
    </row>
    <row r="17" spans="1:9">
      <c r="A17" s="28" t="s">
        <v>71</v>
      </c>
      <c r="B17" s="42"/>
      <c r="C17" s="26">
        <v>20</v>
      </c>
      <c r="D17" s="27"/>
      <c r="E17" s="13"/>
      <c r="F17" s="13"/>
      <c r="G17" s="13"/>
      <c r="H17" s="13"/>
      <c r="I17" s="13"/>
    </row>
    <row r="18" spans="1:9">
      <c r="A18" s="28" t="s">
        <v>47</v>
      </c>
      <c r="B18" s="42"/>
      <c r="C18" s="26">
        <v>34</v>
      </c>
      <c r="D18" s="27"/>
      <c r="E18" s="13"/>
      <c r="F18" s="13"/>
      <c r="G18" s="13"/>
      <c r="H18" s="13"/>
      <c r="I18" s="13"/>
    </row>
    <row r="19" spans="1:9">
      <c r="A19" s="28" t="s">
        <v>48</v>
      </c>
      <c r="B19" s="42"/>
      <c r="C19" s="26">
        <v>51</v>
      </c>
      <c r="D19" s="27"/>
      <c r="E19" s="13"/>
      <c r="F19" s="13"/>
      <c r="G19" s="13"/>
      <c r="H19" s="13"/>
      <c r="I19" s="13"/>
    </row>
    <row r="20" spans="1:9">
      <c r="A20" s="28" t="s">
        <v>49</v>
      </c>
      <c r="B20" s="42"/>
      <c r="C20" s="26">
        <v>77</v>
      </c>
      <c r="D20" s="27"/>
      <c r="E20" s="13"/>
      <c r="F20" s="13"/>
      <c r="G20" s="3" t="s">
        <v>15</v>
      </c>
      <c r="H20" s="7">
        <v>2000</v>
      </c>
      <c r="I20" s="13"/>
    </row>
    <row r="21" spans="1:9">
      <c r="A21" s="28" t="s">
        <v>50</v>
      </c>
      <c r="B21" s="42"/>
      <c r="C21" s="26">
        <v>97</v>
      </c>
      <c r="D21" s="27"/>
      <c r="E21" s="13"/>
      <c r="F21" s="13"/>
      <c r="G21" s="3" t="s">
        <v>16</v>
      </c>
      <c r="H21" s="15" t="s">
        <v>36</v>
      </c>
      <c r="I21" s="13"/>
    </row>
    <row r="22" spans="1:9">
      <c r="A22" s="28" t="s">
        <v>51</v>
      </c>
      <c r="B22" s="42"/>
      <c r="C22" s="26">
        <v>117</v>
      </c>
      <c r="D22" s="27"/>
      <c r="E22" s="13"/>
      <c r="F22" s="13"/>
      <c r="I22" s="13"/>
    </row>
    <row r="23" spans="1:9">
      <c r="A23" s="28" t="s">
        <v>52</v>
      </c>
      <c r="B23" s="42"/>
      <c r="C23" s="26">
        <v>137</v>
      </c>
      <c r="D23" s="27"/>
      <c r="E23" s="13"/>
      <c r="F23" s="13"/>
      <c r="G23" s="68" t="s">
        <v>73</v>
      </c>
      <c r="H23" s="79">
        <v>12</v>
      </c>
      <c r="I23" s="13"/>
    </row>
    <row r="24" spans="1:9" s="23" customFormat="1">
      <c r="A24" s="42" t="s">
        <v>97</v>
      </c>
      <c r="B24" s="42"/>
      <c r="C24" s="35">
        <v>40</v>
      </c>
      <c r="D24" s="41" t="s">
        <v>72</v>
      </c>
      <c r="E24" s="27"/>
      <c r="F24" s="27"/>
      <c r="G24" s="8"/>
      <c r="H24" s="9"/>
      <c r="I24" s="27"/>
    </row>
    <row r="25" spans="1:9">
      <c r="A25" s="28" t="s">
        <v>53</v>
      </c>
      <c r="B25" s="42"/>
      <c r="C25" s="26">
        <v>47</v>
      </c>
      <c r="D25" s="27"/>
      <c r="E25" s="13"/>
      <c r="F25" s="13"/>
      <c r="G25" s="13"/>
      <c r="H25" s="13"/>
      <c r="I25" s="13"/>
    </row>
    <row r="26" spans="1:9">
      <c r="A26" s="28" t="s">
        <v>54</v>
      </c>
      <c r="B26" s="42"/>
      <c r="C26" s="26">
        <v>68</v>
      </c>
      <c r="D26" s="27"/>
      <c r="E26" s="13"/>
      <c r="F26" s="13"/>
      <c r="G26" s="13"/>
      <c r="H26" s="13"/>
      <c r="I26" s="13"/>
    </row>
    <row r="27" spans="1:9">
      <c r="A27" s="28" t="s">
        <v>55</v>
      </c>
      <c r="B27" s="42"/>
      <c r="C27" s="26">
        <v>34</v>
      </c>
      <c r="D27" s="27"/>
      <c r="E27" s="13"/>
      <c r="F27" s="13"/>
      <c r="G27" s="13"/>
      <c r="H27" s="13"/>
      <c r="I27" s="13"/>
    </row>
    <row r="28" spans="1:9">
      <c r="A28" s="28" t="s">
        <v>26</v>
      </c>
      <c r="B28" s="42"/>
      <c r="C28" s="26">
        <v>34</v>
      </c>
      <c r="D28" s="27"/>
      <c r="E28" s="13"/>
      <c r="F28" s="13"/>
      <c r="G28" s="13"/>
      <c r="H28" s="13"/>
      <c r="I28" s="13"/>
    </row>
    <row r="29" spans="1:9">
      <c r="A29" s="25" t="s">
        <v>56</v>
      </c>
      <c r="B29" s="25"/>
      <c r="C29" s="26"/>
      <c r="D29" s="27"/>
      <c r="E29" s="13"/>
      <c r="F29" s="13"/>
      <c r="G29" s="13"/>
      <c r="H29" s="13"/>
      <c r="I29" s="13"/>
    </row>
    <row r="30" spans="1:9">
      <c r="A30" s="28" t="s">
        <v>57</v>
      </c>
      <c r="B30" s="42"/>
      <c r="C30" s="26">
        <v>29</v>
      </c>
      <c r="D30" s="27"/>
      <c r="E30" s="13"/>
      <c r="F30" s="13"/>
      <c r="G30" s="13"/>
      <c r="H30" s="13"/>
      <c r="I30" s="13"/>
    </row>
    <row r="31" spans="1:9" s="23" customFormat="1">
      <c r="A31" s="42" t="s">
        <v>69</v>
      </c>
      <c r="B31" s="42"/>
      <c r="C31" s="35">
        <v>125</v>
      </c>
      <c r="D31" s="41"/>
      <c r="E31" s="41"/>
      <c r="F31" s="41"/>
      <c r="G31" s="41"/>
      <c r="H31" s="41"/>
      <c r="I31" s="41"/>
    </row>
    <row r="32" spans="1:9">
      <c r="A32" s="28" t="s">
        <v>58</v>
      </c>
      <c r="B32" s="42"/>
      <c r="C32" s="26">
        <v>175</v>
      </c>
      <c r="D32" s="27"/>
      <c r="E32" s="13"/>
      <c r="F32" s="13"/>
      <c r="G32" s="13"/>
      <c r="H32" s="13"/>
      <c r="I32" s="13"/>
    </row>
    <row r="33" spans="1:9" s="113" customFormat="1">
      <c r="A33" s="111" t="s">
        <v>59</v>
      </c>
      <c r="B33" s="111"/>
      <c r="C33" s="108">
        <v>250</v>
      </c>
      <c r="D33" s="100"/>
      <c r="E33" s="100"/>
      <c r="F33" s="100"/>
      <c r="G33" s="100"/>
      <c r="H33" s="100"/>
      <c r="I33" s="100"/>
    </row>
    <row r="34" spans="1:9" s="113" customFormat="1">
      <c r="A34" s="111" t="s">
        <v>60</v>
      </c>
      <c r="B34" s="111"/>
      <c r="C34" s="108">
        <v>324</v>
      </c>
      <c r="D34" s="100"/>
      <c r="E34" s="100"/>
      <c r="F34" s="100"/>
      <c r="G34" s="100"/>
      <c r="H34" s="100"/>
      <c r="I34" s="100"/>
    </row>
    <row r="35" spans="1:9" s="113" customFormat="1">
      <c r="A35" s="111" t="s">
        <v>61</v>
      </c>
      <c r="B35" s="111"/>
      <c r="C35" s="108">
        <v>473</v>
      </c>
      <c r="D35" s="100"/>
      <c r="E35" s="100"/>
      <c r="F35" s="100"/>
      <c r="G35" s="100"/>
      <c r="H35" s="100"/>
      <c r="I35" s="100"/>
    </row>
    <row r="36" spans="1:9" s="113" customFormat="1">
      <c r="A36" s="111" t="s">
        <v>62</v>
      </c>
      <c r="B36" s="111"/>
      <c r="C36" s="108">
        <v>613</v>
      </c>
      <c r="D36" s="100"/>
      <c r="E36" s="100"/>
      <c r="F36" s="100"/>
      <c r="G36" s="100"/>
      <c r="H36" s="100"/>
      <c r="I36" s="100"/>
    </row>
    <row r="37" spans="1:9" s="113" customFormat="1">
      <c r="A37" s="111" t="s">
        <v>63</v>
      </c>
      <c r="B37" s="111"/>
      <c r="C37" s="108">
        <v>840</v>
      </c>
      <c r="D37" s="100"/>
      <c r="E37" s="100"/>
      <c r="F37" s="100"/>
      <c r="G37" s="100"/>
      <c r="H37" s="100"/>
      <c r="I37" s="100"/>
    </row>
    <row r="38" spans="1:9" s="113" customFormat="1">
      <c r="A38" s="111" t="s">
        <v>64</v>
      </c>
      <c r="B38" s="111"/>
      <c r="C38" s="108">
        <v>980</v>
      </c>
      <c r="D38" s="109"/>
      <c r="E38" s="100"/>
      <c r="F38" s="100"/>
      <c r="G38" s="100"/>
      <c r="H38" s="100"/>
      <c r="I38" s="100"/>
    </row>
    <row r="39" spans="1:9" s="23" customFormat="1">
      <c r="A39" s="76" t="s">
        <v>93</v>
      </c>
      <c r="B39" s="76">
        <v>2.25</v>
      </c>
      <c r="C39" s="35"/>
      <c r="D39" s="75"/>
      <c r="E39" s="41"/>
      <c r="F39" s="41"/>
      <c r="G39" s="41"/>
      <c r="H39" s="41"/>
      <c r="I39" s="41"/>
    </row>
    <row r="40" spans="1:9" s="23" customFormat="1">
      <c r="A40" s="28" t="s">
        <v>66</v>
      </c>
      <c r="B40" s="42"/>
      <c r="C40" s="26">
        <f>C34*$B$39</f>
        <v>729</v>
      </c>
      <c r="D40" s="27" t="s">
        <v>72</v>
      </c>
      <c r="E40" s="24"/>
      <c r="F40" s="24"/>
      <c r="G40" s="24"/>
      <c r="H40" s="24"/>
      <c r="I40" s="24"/>
    </row>
    <row r="41" spans="1:9" s="23" customFormat="1">
      <c r="A41" s="28" t="s">
        <v>67</v>
      </c>
      <c r="B41" s="42"/>
      <c r="C41" s="35">
        <f>C36*$B$39</f>
        <v>1379.25</v>
      </c>
      <c r="D41" s="41" t="s">
        <v>72</v>
      </c>
      <c r="E41" s="24"/>
      <c r="F41" s="24"/>
      <c r="G41" s="24"/>
      <c r="H41" s="24"/>
      <c r="I41" s="24"/>
    </row>
    <row r="42" spans="1:9" s="23" customFormat="1">
      <c r="A42" s="28" t="s">
        <v>68</v>
      </c>
      <c r="B42" s="42"/>
      <c r="C42" s="35">
        <f>C37*$B$39</f>
        <v>1890</v>
      </c>
      <c r="D42" s="41" t="s">
        <v>72</v>
      </c>
      <c r="E42" s="24"/>
      <c r="F42" s="24"/>
      <c r="G42" s="24"/>
      <c r="H42" s="24"/>
      <c r="I42" s="24"/>
    </row>
    <row r="43" spans="1:9" s="23" customFormat="1">
      <c r="A43" s="76" t="s">
        <v>92</v>
      </c>
      <c r="B43" s="76">
        <v>3</v>
      </c>
      <c r="C43" s="35"/>
      <c r="D43" s="41"/>
      <c r="E43" s="41"/>
      <c r="F43" s="41"/>
      <c r="G43" s="41"/>
      <c r="H43" s="41"/>
      <c r="I43" s="41"/>
    </row>
    <row r="44" spans="1:9" s="23" customFormat="1">
      <c r="A44" s="42" t="s">
        <v>66</v>
      </c>
      <c r="B44" s="42"/>
      <c r="C44" s="78">
        <f>C34*$B$43</f>
        <v>972</v>
      </c>
      <c r="D44" s="41" t="s">
        <v>72</v>
      </c>
      <c r="E44" s="41"/>
      <c r="F44" s="41"/>
      <c r="G44" s="41"/>
      <c r="H44" s="41"/>
      <c r="I44" s="41"/>
    </row>
    <row r="45" spans="1:9" s="23" customFormat="1">
      <c r="A45" s="42" t="s">
        <v>65</v>
      </c>
      <c r="B45" s="42"/>
      <c r="C45" s="78">
        <f>C35*$B$43</f>
        <v>1419</v>
      </c>
      <c r="D45" s="41" t="s">
        <v>72</v>
      </c>
      <c r="E45" s="41"/>
      <c r="F45" s="41"/>
      <c r="G45" s="41"/>
      <c r="H45" s="41"/>
      <c r="I45" s="41"/>
    </row>
    <row r="46" spans="1:9" s="23" customFormat="1">
      <c r="A46" s="42" t="s">
        <v>67</v>
      </c>
      <c r="B46" s="42"/>
      <c r="C46" s="78">
        <f>C36*$B$43</f>
        <v>1839</v>
      </c>
      <c r="D46" s="41" t="s">
        <v>72</v>
      </c>
      <c r="E46" s="41"/>
      <c r="F46" s="41"/>
      <c r="G46" s="41"/>
      <c r="H46" s="41"/>
      <c r="I46" s="41"/>
    </row>
    <row r="47" spans="1:9" s="23" customFormat="1">
      <c r="A47" s="42" t="s">
        <v>68</v>
      </c>
      <c r="B47" s="42"/>
      <c r="C47" s="78">
        <f>C37*$B$43</f>
        <v>2520</v>
      </c>
      <c r="D47" s="41" t="s">
        <v>72</v>
      </c>
      <c r="E47" s="41"/>
      <c r="F47" s="41"/>
      <c r="G47" s="41"/>
      <c r="H47" s="41"/>
      <c r="I47" s="41"/>
    </row>
    <row r="48" spans="1:9" s="23" customFormat="1">
      <c r="A48" s="76" t="s">
        <v>94</v>
      </c>
      <c r="B48" s="76">
        <v>4</v>
      </c>
      <c r="C48" s="35"/>
      <c r="D48" s="41"/>
      <c r="E48" s="41"/>
      <c r="F48" s="41"/>
      <c r="G48" s="41"/>
      <c r="H48" s="41"/>
      <c r="I48" s="41"/>
    </row>
    <row r="49" spans="1:10" s="23" customFormat="1">
      <c r="A49" s="42" t="s">
        <v>65</v>
      </c>
      <c r="B49" s="42"/>
      <c r="C49" s="78">
        <f>C35*$B$48</f>
        <v>1892</v>
      </c>
      <c r="D49" s="41" t="s">
        <v>72</v>
      </c>
      <c r="E49" s="41"/>
      <c r="F49" s="41"/>
      <c r="G49" s="41"/>
      <c r="H49" s="41"/>
      <c r="I49" s="41"/>
    </row>
    <row r="50" spans="1:10" s="23" customFormat="1">
      <c r="A50" s="42" t="s">
        <v>67</v>
      </c>
      <c r="B50" s="42"/>
      <c r="C50" s="78">
        <f>C36*$B$48</f>
        <v>2452</v>
      </c>
      <c r="D50" s="41" t="s">
        <v>72</v>
      </c>
      <c r="E50" s="41"/>
      <c r="F50" s="41"/>
      <c r="G50" s="41"/>
      <c r="H50" s="41"/>
      <c r="I50" s="41"/>
    </row>
    <row r="51" spans="1:10" s="23" customFormat="1">
      <c r="A51" s="42" t="s">
        <v>68</v>
      </c>
      <c r="B51" s="42"/>
      <c r="C51" s="78">
        <f>C37*$B$48</f>
        <v>3360</v>
      </c>
      <c r="D51" s="41" t="s">
        <v>72</v>
      </c>
      <c r="E51" s="41"/>
      <c r="F51" s="41"/>
      <c r="G51" s="41"/>
      <c r="H51" s="41"/>
      <c r="I51" s="41"/>
    </row>
    <row r="52" spans="1:10" s="23" customFormat="1">
      <c r="A52" s="76" t="s">
        <v>95</v>
      </c>
      <c r="B52" s="76">
        <v>5</v>
      </c>
      <c r="C52" s="35"/>
      <c r="D52" s="41"/>
      <c r="E52" s="41"/>
      <c r="F52" s="41"/>
      <c r="G52" s="41"/>
      <c r="H52" s="41"/>
      <c r="I52" s="41"/>
    </row>
    <row r="53" spans="1:10" s="23" customFormat="1">
      <c r="A53" s="42" t="s">
        <v>67</v>
      </c>
      <c r="B53" s="42"/>
      <c r="C53" s="78">
        <f>C36*$B$52</f>
        <v>3065</v>
      </c>
      <c r="D53" s="41" t="s">
        <v>72</v>
      </c>
      <c r="E53" s="41"/>
      <c r="F53" s="41"/>
      <c r="G53" s="41"/>
      <c r="H53" s="41"/>
      <c r="I53" s="41"/>
    </row>
    <row r="54" spans="1:10" s="23" customFormat="1">
      <c r="A54" s="42" t="s">
        <v>68</v>
      </c>
      <c r="B54" s="42"/>
      <c r="C54" s="78">
        <f>C37*$B$52</f>
        <v>4200</v>
      </c>
      <c r="D54" s="41" t="s">
        <v>72</v>
      </c>
      <c r="E54" s="41"/>
      <c r="F54" s="41"/>
      <c r="G54" s="41"/>
      <c r="H54" s="41"/>
      <c r="I54" s="41"/>
    </row>
    <row r="55" spans="1:10">
      <c r="C55" s="509" t="s">
        <v>99</v>
      </c>
      <c r="D55" s="509"/>
    </row>
    <row r="56" spans="1:10">
      <c r="C56" s="3" t="s">
        <v>100</v>
      </c>
    </row>
    <row r="58" spans="1:10">
      <c r="A58" s="22" t="s">
        <v>91</v>
      </c>
      <c r="B58" s="45"/>
      <c r="C58" s="20" t="s">
        <v>3</v>
      </c>
      <c r="D58" s="20" t="s">
        <v>4</v>
      </c>
      <c r="G58" s="508" t="s">
        <v>21</v>
      </c>
      <c r="H58" s="508"/>
    </row>
    <row r="59" spans="1:10">
      <c r="A59" s="16" t="s">
        <v>5</v>
      </c>
      <c r="B59" s="74"/>
      <c r="C59" s="97">
        <v>168.51</v>
      </c>
      <c r="D59" s="71">
        <f>C59/2000</f>
        <v>8.4254999999999997E-2</v>
      </c>
      <c r="G59" s="3" t="s">
        <v>22</v>
      </c>
      <c r="H59" s="4">
        <f>0.0175</f>
        <v>1.7500000000000002E-2</v>
      </c>
    </row>
    <row r="60" spans="1:10">
      <c r="A60" s="16" t="s">
        <v>6</v>
      </c>
      <c r="B60" s="74"/>
      <c r="C60" s="275">
        <v>166.45</v>
      </c>
      <c r="D60" s="72">
        <f>C60/2000</f>
        <v>8.3224999999999993E-2</v>
      </c>
      <c r="G60" s="3" t="s">
        <v>23</v>
      </c>
      <c r="H60" s="5">
        <f>0.0051</f>
        <v>5.1000000000000004E-3</v>
      </c>
    </row>
    <row r="61" spans="1:10">
      <c r="A61" s="14" t="s">
        <v>7</v>
      </c>
      <c r="B61" s="42"/>
      <c r="C61" s="70">
        <f>C60-C59</f>
        <v>-2.0600000000000023</v>
      </c>
      <c r="D61" s="73">
        <f>D60-D59</f>
        <v>-1.0300000000000031E-3</v>
      </c>
      <c r="E61" s="69">
        <f>C61/C59</f>
        <v>-1.2224793780784537E-2</v>
      </c>
      <c r="G61" s="3" t="s">
        <v>40</v>
      </c>
      <c r="H61" s="6"/>
    </row>
    <row r="62" spans="1:10">
      <c r="D62" s="67">
        <f>D61/$H$64</f>
        <v>-1.053816247186416E-3</v>
      </c>
      <c r="G62" s="3" t="s">
        <v>13</v>
      </c>
      <c r="H62" s="17">
        <f>SUM(H59:H61)</f>
        <v>2.2600000000000002E-2</v>
      </c>
      <c r="J62" s="66"/>
    </row>
    <row r="63" spans="1:10">
      <c r="C63" s="21" t="s">
        <v>612</v>
      </c>
    </row>
    <row r="64" spans="1:10">
      <c r="A64" s="3" t="s">
        <v>2</v>
      </c>
      <c r="C64" s="18">
        <f>C61</f>
        <v>-2.0600000000000023</v>
      </c>
      <c r="D64" s="67"/>
      <c r="G64" s="3" t="s">
        <v>24</v>
      </c>
      <c r="H64" s="19">
        <f>1-H62</f>
        <v>0.97740000000000005</v>
      </c>
    </row>
    <row r="65" spans="1:24">
      <c r="A65" s="3" t="s">
        <v>20</v>
      </c>
      <c r="C65" s="18">
        <f>C64/$H$64</f>
        <v>-2.1076324943728282</v>
      </c>
      <c r="D65" s="67"/>
    </row>
    <row r="66" spans="1:24">
      <c r="A66" s="3" t="s">
        <v>655</v>
      </c>
      <c r="C66" s="138">
        <f>+'Disposal Schedule'!G129</f>
        <v>81906.419999999984</v>
      </c>
      <c r="D66" s="18"/>
      <c r="E66" s="56"/>
    </row>
    <row r="67" spans="1:24">
      <c r="A67" s="2" t="s">
        <v>25</v>
      </c>
      <c r="B67" s="25"/>
      <c r="C67" s="86">
        <f>C65*C66</f>
        <v>-172628.63228974846</v>
      </c>
      <c r="E67" s="56"/>
    </row>
    <row r="68" spans="1:24">
      <c r="E68" s="51"/>
    </row>
    <row r="69" spans="1:24" s="23" customFormat="1">
      <c r="E69" s="102"/>
    </row>
    <row r="70" spans="1:24" s="23" customFormat="1">
      <c r="A70" s="45" t="s">
        <v>614</v>
      </c>
      <c r="B70" s="45"/>
      <c r="C70" s="104" t="s">
        <v>3</v>
      </c>
      <c r="D70" s="104" t="s">
        <v>4</v>
      </c>
      <c r="E70" s="102"/>
      <c r="P70" s="188"/>
      <c r="Q70" s="188"/>
      <c r="R70" s="188"/>
      <c r="S70" s="188"/>
      <c r="T70" s="188"/>
      <c r="U70" s="188"/>
      <c r="V70" s="188"/>
      <c r="W70" s="188"/>
      <c r="X70" s="188"/>
    </row>
    <row r="71" spans="1:24" s="23" customFormat="1">
      <c r="A71" s="272" t="s">
        <v>5</v>
      </c>
      <c r="B71" s="272"/>
      <c r="C71" s="97">
        <v>115.47</v>
      </c>
      <c r="D71" s="71">
        <f>C71/2000</f>
        <v>5.7735000000000002E-2</v>
      </c>
      <c r="E71" s="102"/>
      <c r="P71" s="188"/>
      <c r="Q71" s="188"/>
      <c r="R71" s="188"/>
      <c r="S71" s="188"/>
      <c r="T71" s="188"/>
      <c r="U71" s="188"/>
      <c r="V71" s="188"/>
      <c r="W71" s="188"/>
      <c r="X71" s="188"/>
    </row>
    <row r="72" spans="1:24" s="23" customFormat="1">
      <c r="A72" s="272" t="s">
        <v>6</v>
      </c>
      <c r="B72" s="272"/>
      <c r="C72" s="275">
        <v>118.23</v>
      </c>
      <c r="D72" s="72">
        <f>C72/2000</f>
        <v>5.9115000000000001E-2</v>
      </c>
      <c r="E72" s="102"/>
      <c r="P72" s="188"/>
      <c r="Q72" s="188"/>
      <c r="R72" s="188"/>
      <c r="S72" s="188"/>
      <c r="T72" s="188"/>
      <c r="U72" s="188"/>
      <c r="V72" s="188"/>
      <c r="W72" s="188"/>
      <c r="X72" s="188"/>
    </row>
    <row r="73" spans="1:24" s="23" customFormat="1">
      <c r="A73" s="42" t="s">
        <v>7</v>
      </c>
      <c r="B73" s="42"/>
      <c r="C73" s="70">
        <f>C72-C71</f>
        <v>2.7600000000000051</v>
      </c>
      <c r="D73" s="73">
        <f>D72-D71</f>
        <v>1.3799999999999993E-3</v>
      </c>
      <c r="E73" s="182">
        <f>C73/C71</f>
        <v>2.3902312288906255E-2</v>
      </c>
      <c r="P73" s="188"/>
      <c r="Q73" s="188"/>
      <c r="R73" s="188"/>
      <c r="S73" s="188"/>
      <c r="T73" s="188"/>
      <c r="U73" s="188"/>
      <c r="V73" s="188"/>
      <c r="W73" s="188"/>
      <c r="X73" s="188"/>
    </row>
    <row r="74" spans="1:24" s="23" customFormat="1">
      <c r="D74" s="67">
        <f>D73/$H$64</f>
        <v>1.4119091467157759E-3</v>
      </c>
      <c r="E74" s="102"/>
      <c r="P74" s="188"/>
      <c r="Q74" s="188"/>
      <c r="R74" s="188"/>
      <c r="S74" s="188"/>
      <c r="T74" s="188"/>
      <c r="U74" s="188"/>
      <c r="V74" s="188"/>
      <c r="W74" s="188"/>
      <c r="X74" s="188"/>
    </row>
    <row r="75" spans="1:24" s="23" customFormat="1">
      <c r="C75" s="21" t="s">
        <v>612</v>
      </c>
      <c r="E75" s="102"/>
      <c r="P75" s="188"/>
      <c r="Q75" s="188"/>
      <c r="R75" s="188"/>
      <c r="S75" s="188"/>
      <c r="T75" s="188"/>
      <c r="U75" s="188"/>
      <c r="V75" s="188"/>
      <c r="W75" s="188"/>
      <c r="X75" s="188"/>
    </row>
    <row r="76" spans="1:24" s="23" customFormat="1">
      <c r="A76" s="23" t="s">
        <v>2</v>
      </c>
      <c r="C76" s="18">
        <f>C73</f>
        <v>2.7600000000000051</v>
      </c>
      <c r="D76" s="67"/>
      <c r="E76" s="102"/>
      <c r="P76" s="188"/>
      <c r="Q76" s="188"/>
      <c r="R76" s="188"/>
      <c r="S76" s="188"/>
      <c r="T76" s="188"/>
      <c r="U76" s="188"/>
      <c r="V76" s="188"/>
      <c r="W76" s="188"/>
      <c r="X76" s="188"/>
    </row>
    <row r="77" spans="1:24" s="23" customFormat="1">
      <c r="A77" s="23" t="s">
        <v>20</v>
      </c>
      <c r="C77" s="18">
        <f>C76/$H$64</f>
        <v>2.8238182934315583</v>
      </c>
      <c r="D77" s="67"/>
      <c r="E77" s="102"/>
      <c r="P77" s="188"/>
      <c r="Q77" s="188"/>
      <c r="R77" s="188"/>
      <c r="S77" s="188"/>
      <c r="T77" s="188"/>
      <c r="U77" s="188"/>
      <c r="V77" s="188"/>
      <c r="W77" s="188"/>
      <c r="X77" s="188"/>
    </row>
    <row r="78" spans="1:24" s="23" customFormat="1">
      <c r="A78" s="23" t="s">
        <v>655</v>
      </c>
      <c r="C78" s="138">
        <f>+'Disposal Schedule'!G131</f>
        <v>5255.31</v>
      </c>
      <c r="D78" s="18"/>
      <c r="E78" s="102"/>
      <c r="P78" s="188"/>
      <c r="Q78" s="188"/>
      <c r="R78" s="188"/>
      <c r="S78" s="188"/>
      <c r="T78" s="188"/>
      <c r="U78" s="188"/>
      <c r="V78" s="188"/>
      <c r="W78" s="188"/>
      <c r="X78" s="188"/>
    </row>
    <row r="79" spans="1:24" s="23" customFormat="1">
      <c r="A79" s="25" t="s">
        <v>25</v>
      </c>
      <c r="B79" s="25"/>
      <c r="C79" s="86">
        <f>C77*C78</f>
        <v>14840.040515653804</v>
      </c>
      <c r="E79" s="102"/>
      <c r="P79" s="188"/>
      <c r="Q79" s="188"/>
      <c r="R79" s="188"/>
      <c r="S79" s="188"/>
      <c r="T79" s="188"/>
      <c r="U79" s="188"/>
      <c r="V79" s="188"/>
      <c r="W79" s="188"/>
      <c r="X79" s="188"/>
    </row>
    <row r="80" spans="1:24" s="23" customFormat="1">
      <c r="E80" s="102"/>
      <c r="P80" s="188"/>
      <c r="Q80" s="188"/>
      <c r="R80" s="188"/>
      <c r="S80" s="188"/>
      <c r="T80" s="188"/>
      <c r="U80" s="188"/>
      <c r="V80" s="188"/>
      <c r="W80" s="188"/>
      <c r="X80" s="188"/>
    </row>
    <row r="81" spans="1:24" s="23" customFormat="1">
      <c r="E81" s="102"/>
      <c r="P81" s="188"/>
      <c r="Q81" s="188"/>
      <c r="R81" s="188"/>
      <c r="S81" s="188"/>
      <c r="T81" s="188"/>
      <c r="U81" s="188"/>
      <c r="V81" s="188"/>
      <c r="W81" s="188"/>
      <c r="X81" s="188"/>
    </row>
    <row r="82" spans="1:24">
      <c r="P82" s="188"/>
      <c r="Q82" s="188"/>
      <c r="R82" s="188"/>
      <c r="S82" s="188"/>
      <c r="T82" s="188"/>
      <c r="U82" s="188"/>
      <c r="V82" s="188"/>
      <c r="W82" s="188"/>
      <c r="X82" s="188"/>
    </row>
    <row r="83" spans="1:24" ht="15.75" thickBot="1">
      <c r="P83" s="188"/>
      <c r="Q83" s="188"/>
      <c r="R83" s="188"/>
      <c r="S83" s="188"/>
      <c r="T83" s="188"/>
      <c r="U83" s="188"/>
      <c r="V83" s="188"/>
      <c r="W83" s="188"/>
      <c r="X83" s="188"/>
    </row>
    <row r="84" spans="1:24">
      <c r="A84" s="59" t="s">
        <v>76</v>
      </c>
      <c r="B84" s="77"/>
      <c r="C84" s="80" t="s">
        <v>74</v>
      </c>
      <c r="E84" s="18"/>
      <c r="P84" s="188"/>
      <c r="Q84" s="188"/>
      <c r="R84" s="188"/>
      <c r="S84" s="188"/>
      <c r="T84" s="188"/>
      <c r="U84" s="188"/>
      <c r="V84" s="188"/>
      <c r="W84" s="188"/>
      <c r="X84" s="188"/>
    </row>
    <row r="85" spans="1:24">
      <c r="A85" s="60" t="s">
        <v>75</v>
      </c>
      <c r="B85" s="51"/>
      <c r="C85" s="137">
        <f>'DF Calculation'!K84-'DF Calculation'!I84</f>
        <v>-158212.97190828249</v>
      </c>
      <c r="P85" s="188"/>
      <c r="Q85" s="188"/>
      <c r="R85" s="188"/>
      <c r="S85" s="188"/>
      <c r="T85" s="188"/>
      <c r="U85" s="188"/>
      <c r="V85" s="188"/>
      <c r="W85" s="188"/>
      <c r="X85" s="188"/>
    </row>
    <row r="86" spans="1:24">
      <c r="A86" s="60" t="s">
        <v>10</v>
      </c>
      <c r="B86" s="51"/>
      <c r="C86" s="137">
        <f>C67+C79-C85</f>
        <v>424.38013418781338</v>
      </c>
      <c r="D86" s="139" t="s">
        <v>155</v>
      </c>
      <c r="P86" s="188"/>
      <c r="Q86" s="188"/>
      <c r="R86" s="188"/>
      <c r="S86" s="188"/>
      <c r="T86" s="188"/>
      <c r="U86" s="188"/>
      <c r="V86" s="188"/>
      <c r="W86" s="188"/>
      <c r="X86" s="188"/>
    </row>
    <row r="87" spans="1:24" ht="15.75" thickBot="1">
      <c r="A87" s="87"/>
      <c r="B87" s="90"/>
      <c r="C87" s="91"/>
      <c r="P87" s="188"/>
      <c r="Q87" s="188"/>
      <c r="R87" s="188"/>
      <c r="S87" s="188"/>
      <c r="T87" s="188"/>
      <c r="U87" s="188"/>
      <c r="V87" s="188"/>
      <c r="W87" s="188"/>
      <c r="X87" s="188"/>
    </row>
    <row r="88" spans="1:24">
      <c r="A88" s="53"/>
      <c r="B88" s="88"/>
      <c r="C88" s="89"/>
      <c r="P88" s="188"/>
      <c r="Q88" s="188"/>
      <c r="R88" s="188"/>
      <c r="S88" s="188"/>
      <c r="T88" s="188"/>
      <c r="U88" s="188"/>
      <c r="V88" s="188"/>
      <c r="W88" s="188"/>
      <c r="X88" s="188"/>
    </row>
    <row r="89" spans="1:24">
      <c r="P89" s="188"/>
      <c r="Q89" s="188"/>
      <c r="R89" s="188"/>
      <c r="S89" s="188"/>
      <c r="T89" s="188"/>
      <c r="U89" s="188"/>
      <c r="V89" s="188"/>
      <c r="W89" s="188"/>
      <c r="X89" s="188"/>
    </row>
    <row r="90" spans="1:24">
      <c r="P90" s="188"/>
      <c r="Q90" s="188"/>
      <c r="R90" s="188"/>
      <c r="S90" s="188"/>
      <c r="T90" s="188"/>
      <c r="U90" s="188"/>
      <c r="V90" s="188"/>
      <c r="W90" s="188"/>
      <c r="X90" s="188"/>
    </row>
    <row r="91" spans="1:24">
      <c r="P91" s="188"/>
      <c r="Q91" s="188"/>
      <c r="R91" s="188"/>
      <c r="S91" s="188"/>
      <c r="T91" s="188"/>
      <c r="U91" s="188"/>
      <c r="V91" s="188"/>
      <c r="W91" s="188"/>
      <c r="X91" s="188"/>
    </row>
    <row r="92" spans="1:24">
      <c r="P92" s="188"/>
      <c r="Q92" s="188"/>
      <c r="R92" s="188"/>
      <c r="S92" s="188"/>
      <c r="T92" s="188"/>
      <c r="U92" s="188"/>
      <c r="V92" s="188"/>
      <c r="W92" s="188"/>
      <c r="X92" s="188"/>
    </row>
    <row r="93" spans="1:24">
      <c r="P93" s="188"/>
      <c r="Q93" s="188"/>
      <c r="R93" s="188"/>
      <c r="S93" s="188"/>
      <c r="T93" s="188"/>
      <c r="U93" s="188"/>
      <c r="V93" s="188"/>
      <c r="W93" s="188"/>
      <c r="X93" s="188"/>
    </row>
    <row r="94" spans="1:24">
      <c r="P94" s="188"/>
      <c r="Q94" s="188"/>
      <c r="R94" s="188"/>
      <c r="S94" s="188"/>
      <c r="T94" s="188"/>
      <c r="U94" s="188"/>
      <c r="V94" s="188"/>
      <c r="W94" s="188"/>
      <c r="X94" s="188"/>
    </row>
    <row r="95" spans="1:24">
      <c r="P95" s="188"/>
      <c r="Q95" s="188"/>
      <c r="R95" s="188"/>
      <c r="S95" s="188"/>
      <c r="T95" s="188"/>
      <c r="U95" s="188"/>
      <c r="V95" s="188"/>
      <c r="W95" s="188"/>
      <c r="X95" s="188"/>
    </row>
    <row r="96" spans="1:24">
      <c r="P96" s="188"/>
      <c r="Q96" s="188"/>
      <c r="R96" s="188"/>
      <c r="S96" s="188"/>
      <c r="T96" s="188"/>
      <c r="U96" s="188"/>
      <c r="V96" s="188"/>
      <c r="W96" s="188"/>
      <c r="X96" s="188"/>
    </row>
    <row r="97" spans="16:24">
      <c r="P97" s="188"/>
      <c r="Q97" s="188"/>
      <c r="R97" s="188"/>
      <c r="S97" s="188"/>
      <c r="T97" s="188"/>
      <c r="U97" s="188"/>
      <c r="V97" s="188"/>
      <c r="W97" s="188"/>
      <c r="X97" s="188"/>
    </row>
  </sheetData>
  <mergeCells count="4">
    <mergeCell ref="A5:I5"/>
    <mergeCell ref="G58:H58"/>
    <mergeCell ref="A15:C15"/>
    <mergeCell ref="C55:D55"/>
  </mergeCells>
  <conditionalFormatting sqref="C86">
    <cfRule type="cellIs" dxfId="2" priority="1" operator="lessThan">
      <formula>-10</formula>
    </cfRule>
    <cfRule type="cellIs" dxfId="1" priority="2" operator="greaterThan">
      <formula>10</formula>
    </cfRule>
  </conditionalFormatting>
  <pageMargins left="0.7" right="0.7" top="0.75" bottom="0.75" header="0.3" footer="0.3"/>
  <pageSetup scale="28" orientation="portrait" r:id="rId1"/>
  <headerFooter>
    <oddFooter>&amp;L&amp;F - &amp;A&amp;R&amp;P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X98"/>
  <sheetViews>
    <sheetView showGridLines="0" zoomScale="85" zoomScaleNormal="85" zoomScaleSheetLayoutView="90" zoomScalePageLayoutView="85" workbookViewId="0">
      <pane xSplit="4" ySplit="6" topLeftCell="E16" activePane="bottomRight" state="frozen"/>
      <selection activeCell="S17" sqref="S17:S18"/>
      <selection pane="topRight" activeCell="S17" sqref="S17:S18"/>
      <selection pane="bottomLeft" activeCell="S17" sqref="S17:S18"/>
      <selection pane="bottomRight" activeCell="S17" sqref="S17:S18"/>
    </sheetView>
  </sheetViews>
  <sheetFormatPr defaultColWidth="8.85546875" defaultRowHeight="15" outlineLevelCol="1"/>
  <cols>
    <col min="1" max="1" width="5.85546875" style="95" customWidth="1"/>
    <col min="2" max="2" width="5.42578125" style="55" customWidth="1"/>
    <col min="3" max="3" width="39.85546875" style="55" customWidth="1" outlineLevel="1"/>
    <col min="4" max="4" width="35" style="102" bestFit="1" customWidth="1"/>
    <col min="5" max="5" width="12.7109375" style="52" customWidth="1"/>
    <col min="6" max="6" width="12.7109375" style="102" customWidth="1"/>
    <col min="7" max="7" width="15.5703125" style="102" customWidth="1"/>
    <col min="8" max="8" width="12.7109375" style="50" customWidth="1"/>
    <col min="9" max="9" width="13.5703125" style="102" customWidth="1"/>
    <col min="10" max="10" width="12.7109375" style="102" customWidth="1"/>
    <col min="11" max="11" width="15.28515625" style="102" customWidth="1"/>
    <col min="12" max="13" width="12.7109375" style="102" customWidth="1"/>
    <col min="14" max="15" width="12.7109375" style="154" customWidth="1"/>
    <col min="16" max="17" width="12.7109375" style="102" customWidth="1"/>
    <col min="18" max="18" width="12.7109375" style="63" customWidth="1"/>
    <col min="19" max="19" width="10.85546875" style="102" customWidth="1"/>
    <col min="20" max="20" width="15" style="157" bestFit="1" customWidth="1"/>
    <col min="21" max="21" width="35" style="154" bestFit="1" customWidth="1"/>
    <col min="22" max="16384" width="8.85546875" style="154"/>
  </cols>
  <sheetData>
    <row r="1" spans="1:24">
      <c r="A1" s="88" t="s">
        <v>102</v>
      </c>
      <c r="B1" s="207"/>
      <c r="C1" s="207"/>
      <c r="D1" s="208" t="s">
        <v>90</v>
      </c>
      <c r="G1" s="110"/>
      <c r="N1" s="116"/>
    </row>
    <row r="2" spans="1:24">
      <c r="A2" s="535"/>
      <c r="B2" s="207"/>
      <c r="C2" s="207"/>
      <c r="D2" s="163" t="s">
        <v>313</v>
      </c>
      <c r="G2" s="110"/>
      <c r="H2" s="183"/>
      <c r="K2" s="37"/>
      <c r="L2" s="37"/>
      <c r="N2" s="116"/>
    </row>
    <row r="3" spans="1:24">
      <c r="B3" s="207"/>
      <c r="C3" s="207"/>
      <c r="D3" s="164" t="s">
        <v>96</v>
      </c>
      <c r="G3" s="110"/>
      <c r="K3" s="37"/>
      <c r="L3" s="37"/>
      <c r="M3" s="31"/>
      <c r="N3" s="116"/>
    </row>
    <row r="4" spans="1:24">
      <c r="A4" s="88" t="s">
        <v>847</v>
      </c>
      <c r="B4" s="207"/>
      <c r="C4" s="207"/>
      <c r="D4" s="140" t="s">
        <v>154</v>
      </c>
      <c r="H4" s="183"/>
      <c r="M4" s="182"/>
      <c r="N4" s="116"/>
    </row>
    <row r="5" spans="1:24">
      <c r="D5" s="179" t="s">
        <v>158</v>
      </c>
      <c r="E5" s="99"/>
      <c r="F5" s="98"/>
      <c r="G5" s="99"/>
      <c r="H5" s="98"/>
      <c r="I5" s="99"/>
      <c r="J5" s="98"/>
      <c r="M5" s="98"/>
      <c r="N5" s="149"/>
      <c r="O5" s="149"/>
    </row>
    <row r="6" spans="1:24" s="181" customFormat="1" ht="60">
      <c r="A6" s="161"/>
      <c r="B6" s="118" t="s">
        <v>12</v>
      </c>
      <c r="C6" s="118" t="s">
        <v>106</v>
      </c>
      <c r="D6" s="118" t="s">
        <v>130</v>
      </c>
      <c r="E6" s="118" t="s">
        <v>131</v>
      </c>
      <c r="F6" s="118" t="s">
        <v>8</v>
      </c>
      <c r="G6" s="118" t="s">
        <v>28</v>
      </c>
      <c r="H6" s="119" t="s">
        <v>29</v>
      </c>
      <c r="I6" s="118" t="s">
        <v>7</v>
      </c>
      <c r="J6" s="118" t="s">
        <v>0</v>
      </c>
      <c r="K6" s="167" t="s">
        <v>839</v>
      </c>
      <c r="L6" s="496" t="s">
        <v>840</v>
      </c>
      <c r="M6" s="118" t="s">
        <v>31</v>
      </c>
      <c r="N6" s="166" t="s">
        <v>841</v>
      </c>
      <c r="O6" s="499" t="s">
        <v>842</v>
      </c>
      <c r="P6" s="118" t="s">
        <v>30</v>
      </c>
      <c r="Q6" s="118" t="s">
        <v>98</v>
      </c>
      <c r="R6" s="120" t="s">
        <v>32</v>
      </c>
      <c r="S6" s="178" t="s">
        <v>149</v>
      </c>
      <c r="T6" s="180"/>
    </row>
    <row r="7" spans="1:24" ht="15" customHeight="1">
      <c r="A7" s="513" t="s">
        <v>150</v>
      </c>
      <c r="B7" s="152">
        <v>16</v>
      </c>
      <c r="C7" s="122" t="s">
        <v>347</v>
      </c>
      <c r="D7" s="266" t="str">
        <f>VLOOKUP(C7,Mapping!$E$2:$I$80,5,FALSE)</f>
        <v>32 Gal Unit Over-Sized</v>
      </c>
      <c r="E7" s="156">
        <f>SUMIFS(Mapping!N:N,Mapping!A:A,"Residential",Mapping!E:E,'DF Calculation'!C7)</f>
        <v>0</v>
      </c>
      <c r="F7" s="156">
        <f>VLOOKUP(C7,Mapping!E:M,7,FALSE)</f>
        <v>34</v>
      </c>
      <c r="G7" s="156">
        <f>E7*F7</f>
        <v>0</v>
      </c>
      <c r="H7" s="151">
        <f t="shared" ref="H7:H30" si="0">$D$83*G7</f>
        <v>0</v>
      </c>
      <c r="I7" s="156">
        <f>(References!$D$61*H7)</f>
        <v>0</v>
      </c>
      <c r="J7" s="156">
        <f>I7/References!$H$64</f>
        <v>0</v>
      </c>
      <c r="K7" s="274">
        <v>7.78</v>
      </c>
      <c r="L7" s="274">
        <v>7.75</v>
      </c>
      <c r="M7" s="155">
        <f>IFERROR((J7/E7),0)</f>
        <v>0</v>
      </c>
      <c r="N7" s="165">
        <f>M7+K7</f>
        <v>7.78</v>
      </c>
      <c r="O7" s="165">
        <f>+L7+M7</f>
        <v>7.75</v>
      </c>
      <c r="P7" s="117">
        <f>E7*K7</f>
        <v>0</v>
      </c>
      <c r="Q7" s="117">
        <f>E7*N7</f>
        <v>0</v>
      </c>
      <c r="R7" s="117">
        <f t="shared" ref="R7:R30" si="1">Q7-P7</f>
        <v>0</v>
      </c>
      <c r="S7" s="159">
        <f>(((F7*$D$83)*(References!$D$61/References!$H$64)))-M7</f>
        <v>-3.0561648585949036E-2</v>
      </c>
      <c r="T7" s="363"/>
      <c r="U7" s="159"/>
    </row>
    <row r="8" spans="1:24">
      <c r="A8" s="513"/>
      <c r="B8" s="152">
        <v>16</v>
      </c>
      <c r="C8" s="122" t="s">
        <v>349</v>
      </c>
      <c r="D8" s="266" t="str">
        <f>VLOOKUP(C8,Mapping!$E$2:$I$80,5,FALSE)</f>
        <v>32 Gal Unit Over-Weight</v>
      </c>
      <c r="E8" s="156">
        <f>SUMIFS(Mapping!N:N,Mapping!A:A,"Residential",Mapping!E:E,'DF Calculation'!C8)</f>
        <v>0</v>
      </c>
      <c r="F8" s="156">
        <f>VLOOKUP(C8,Mapping!E:M,7,FALSE)</f>
        <v>34</v>
      </c>
      <c r="G8" s="156">
        <f>E8*F8</f>
        <v>0</v>
      </c>
      <c r="H8" s="151">
        <f t="shared" si="0"/>
        <v>0</v>
      </c>
      <c r="I8" s="156">
        <f>(References!$D$61*H8)</f>
        <v>0</v>
      </c>
      <c r="J8" s="156">
        <f>I8/References!$H$64</f>
        <v>0</v>
      </c>
      <c r="K8" s="274">
        <v>7.78</v>
      </c>
      <c r="L8" s="274">
        <v>7.75</v>
      </c>
      <c r="M8" s="155">
        <f>IFERROR((J8/E8),0)</f>
        <v>0</v>
      </c>
      <c r="N8" s="165">
        <f>M8+K8</f>
        <v>7.78</v>
      </c>
      <c r="O8" s="165">
        <f t="shared" ref="O8:O71" si="2">+L8+M8</f>
        <v>7.75</v>
      </c>
      <c r="P8" s="117">
        <f>E8*K8</f>
        <v>0</v>
      </c>
      <c r="Q8" s="117">
        <f>E8*N8</f>
        <v>0</v>
      </c>
      <c r="R8" s="117">
        <f t="shared" si="1"/>
        <v>0</v>
      </c>
      <c r="S8" s="159">
        <f>(((F8*$D$83)*(References!$D$61/References!$H$64)))-M8</f>
        <v>-3.0561648585949036E-2</v>
      </c>
      <c r="T8" s="363"/>
      <c r="U8" s="159"/>
    </row>
    <row r="9" spans="1:24" s="442" customFormat="1">
      <c r="A9" s="513"/>
      <c r="B9" s="152">
        <v>21</v>
      </c>
      <c r="C9" s="122" t="s">
        <v>175</v>
      </c>
      <c r="D9" s="266" t="str">
        <f>VLOOKUP(C9,Mapping!$E$2:$I$80,5,FALSE)</f>
        <v>35 Gallon Cart MG-R</v>
      </c>
      <c r="E9" s="156">
        <f>SUMIFS(Mapping!N:N,Mapping!A:A,"Residential",Mapping!E:E,'DF Calculation'!C9)</f>
        <v>1243.9940373183999</v>
      </c>
      <c r="F9" s="156">
        <f>VLOOKUP(C9,Mapping!E:M,7,FALSE)</f>
        <v>34</v>
      </c>
      <c r="G9" s="156">
        <f t="shared" ref="G9:G27" si="3">E9*F9</f>
        <v>42295.797268825598</v>
      </c>
      <c r="H9" s="151">
        <f t="shared" si="0"/>
        <v>36076.98089021357</v>
      </c>
      <c r="I9" s="156">
        <f>(References!$D$61*H9)</f>
        <v>-37.159290316920092</v>
      </c>
      <c r="J9" s="156">
        <f>I9/References!$H$64</f>
        <v>-38.018508611540916</v>
      </c>
      <c r="K9" s="274">
        <v>9.4</v>
      </c>
      <c r="L9" s="274">
        <v>9.3699999999999992</v>
      </c>
      <c r="M9" s="155">
        <f>IFERROR((J9/E9),0)</f>
        <v>-3.0561648585949043E-2</v>
      </c>
      <c r="N9" s="165">
        <f t="shared" ref="N9:N20" si="4">M9+K9</f>
        <v>9.3694383514140505</v>
      </c>
      <c r="O9" s="165">
        <f t="shared" si="2"/>
        <v>9.3394383514140493</v>
      </c>
      <c r="P9" s="117">
        <f>(E9)*'DF Calculation'!K9</f>
        <v>11693.54395079296</v>
      </c>
      <c r="Q9" s="117">
        <f>E9*N9</f>
        <v>11655.525442181417</v>
      </c>
      <c r="R9" s="117">
        <f t="shared" si="1"/>
        <v>-38.018508611543439</v>
      </c>
      <c r="S9" s="159">
        <f>(((F9*$D$83)*(References!$D$61/References!$H$64))-M9)</f>
        <v>6.9388939039072284E-18</v>
      </c>
      <c r="T9" s="483"/>
      <c r="U9" s="441"/>
    </row>
    <row r="10" spans="1:24">
      <c r="A10" s="513"/>
      <c r="B10" s="152">
        <v>21</v>
      </c>
      <c r="C10" s="122" t="s">
        <v>177</v>
      </c>
      <c r="D10" s="266" t="str">
        <f>VLOOKUP(C10,Mapping!$E$2:$I$80,5,FALSE)</f>
        <v>35 Gallon Cart EOW-R</v>
      </c>
      <c r="E10" s="156">
        <f>SUMIFS(Mapping!N:N,Mapping!A:A,"Residential",Mapping!E:E,'DF Calculation'!C10)</f>
        <v>10958.197284572099</v>
      </c>
      <c r="F10" s="156">
        <f>VLOOKUP(C10,Mapping!E:M,7,FALSE)</f>
        <v>34</v>
      </c>
      <c r="G10" s="156">
        <f t="shared" si="3"/>
        <v>372578.70767545135</v>
      </c>
      <c r="H10" s="151">
        <f t="shared" si="0"/>
        <v>317797.88501149463</v>
      </c>
      <c r="I10" s="156">
        <f>(References!$D$61*H10)</f>
        <v>-327.33182156184046</v>
      </c>
      <c r="J10" s="156">
        <f>I10/References!$H$64</f>
        <v>-334.90057454659348</v>
      </c>
      <c r="K10" s="274">
        <v>12.88</v>
      </c>
      <c r="L10" s="274">
        <v>12.83</v>
      </c>
      <c r="M10" s="155">
        <f>IFERROR((J10/E10),0)*References!$C$12</f>
        <v>-6.6216905269556245E-2</v>
      </c>
      <c r="N10" s="165">
        <f t="shared" si="4"/>
        <v>12.813783094730445</v>
      </c>
      <c r="O10" s="165">
        <f t="shared" si="2"/>
        <v>12.763783094730444</v>
      </c>
      <c r="P10" s="117">
        <f>(E10/References!$C$12)*'DF Calculation'!K10</f>
        <v>65142.268165517846</v>
      </c>
      <c r="Q10" s="117">
        <f>(E10/References!$C$12)*'DF Calculation'!N10</f>
        <v>64807.367590971255</v>
      </c>
      <c r="R10" s="117">
        <f t="shared" si="1"/>
        <v>-334.90057454659109</v>
      </c>
      <c r="S10" s="159">
        <f>(((F10*$D$83)*(References!$D$61/References!$H$64))*References!$C$12-M10)</f>
        <v>0</v>
      </c>
      <c r="T10" s="487" t="s">
        <v>804</v>
      </c>
      <c r="U10" s="159"/>
    </row>
    <row r="11" spans="1:24">
      <c r="A11" s="513"/>
      <c r="B11" s="152">
        <v>21</v>
      </c>
      <c r="C11" s="122" t="s">
        <v>731</v>
      </c>
      <c r="D11" s="266" t="str">
        <f>VLOOKUP(C11,Mapping!$E$2:$I$80,5,FALSE)</f>
        <v>35 Gallon Cart EOW-NR</v>
      </c>
      <c r="E11" s="156">
        <f>SUMIFS(Mapping!N:N,Mapping!A:A,"Residential",Mapping!E:E,'DF Calculation'!C11)</f>
        <v>181.14849442942844</v>
      </c>
      <c r="F11" s="156">
        <f>VLOOKUP(C11,Mapping!E:M,7,FALSE)</f>
        <v>34</v>
      </c>
      <c r="G11" s="156">
        <f t="shared" si="3"/>
        <v>6159.0488106005669</v>
      </c>
      <c r="H11" s="151">
        <f t="shared" si="0"/>
        <v>5253.4743541931812</v>
      </c>
      <c r="I11" s="156">
        <f>(References!$D$61*H11)</f>
        <v>-5.4110785848189931</v>
      </c>
      <c r="J11" s="156">
        <f>I11/References!$H$64</f>
        <v>-5.5361966286259392</v>
      </c>
      <c r="K11" s="274">
        <v>13.88</v>
      </c>
      <c r="L11" s="274">
        <v>13.83</v>
      </c>
      <c r="M11" s="155">
        <f>IFERROR((J11/E11),0)*References!$C$12</f>
        <v>-6.6216905269556245E-2</v>
      </c>
      <c r="N11" s="165">
        <f t="shared" si="4"/>
        <v>13.813783094730445</v>
      </c>
      <c r="O11" s="165">
        <f t="shared" si="2"/>
        <v>13.763783094730444</v>
      </c>
      <c r="P11" s="117">
        <f>(E11/References!$C$12)*'DF Calculation'!K11</f>
        <v>1160.4651243140618</v>
      </c>
      <c r="Q11" s="117">
        <f>(E11/References!$C$12)*'DF Calculation'!N11</f>
        <v>1154.9289276854358</v>
      </c>
      <c r="R11" s="117">
        <f t="shared" si="1"/>
        <v>-5.5361966286259303</v>
      </c>
      <c r="S11" s="159">
        <f>(((F11*$D$83)*(References!$D$61/References!$H$64))*References!$C$12)-M11</f>
        <v>0</v>
      </c>
      <c r="T11" s="487" t="s">
        <v>804</v>
      </c>
      <c r="U11" s="159"/>
    </row>
    <row r="12" spans="1:24">
      <c r="A12" s="513"/>
      <c r="B12" s="152">
        <v>21</v>
      </c>
      <c r="C12" s="122" t="s">
        <v>179</v>
      </c>
      <c r="D12" s="266" t="str">
        <f>VLOOKUP(C12,Mapping!$E$2:$I$80,5,FALSE)</f>
        <v>35 Gallon Cart WG-R</v>
      </c>
      <c r="E12" s="156">
        <f>SUMIFS(Mapping!N:N,Mapping!A:A,"Residential",Mapping!E:E,'DF Calculation'!C12)</f>
        <v>154662.58762747628</v>
      </c>
      <c r="F12" s="156">
        <f>VLOOKUP(C12,Mapping!E:M,7,FALSE)</f>
        <v>34</v>
      </c>
      <c r="G12" s="156">
        <f>E12*F12</f>
        <v>5258527.9793341933</v>
      </c>
      <c r="H12" s="151">
        <f t="shared" si="0"/>
        <v>4485358.4911832707</v>
      </c>
      <c r="I12" s="156">
        <f>(References!$D$61*H12)</f>
        <v>-4619.9192459187825</v>
      </c>
      <c r="J12" s="156">
        <f>I12/References!$H$64</f>
        <v>-4726.74365246448</v>
      </c>
      <c r="K12" s="274">
        <v>19.41</v>
      </c>
      <c r="L12" s="274">
        <v>19.34</v>
      </c>
      <c r="M12" s="155">
        <f>IFERROR((J12/E12),0)*References!$C$11</f>
        <v>-0.13243381053911249</v>
      </c>
      <c r="N12" s="165">
        <f>M12+K12</f>
        <v>19.277566189460888</v>
      </c>
      <c r="O12" s="165">
        <f t="shared" si="2"/>
        <v>19.207566189460888</v>
      </c>
      <c r="P12" s="117">
        <f>(E12/References!$C$11)*'DF Calculation'!K12</f>
        <v>692769.42134984187</v>
      </c>
      <c r="Q12" s="117">
        <f>(E12/References!$C$11)*'DF Calculation'!N12</f>
        <v>688042.6776973774</v>
      </c>
      <c r="R12" s="117">
        <f t="shared" si="1"/>
        <v>-4726.7436524644727</v>
      </c>
      <c r="S12" s="159">
        <f>(((F12*$D$83)*(References!$D$61/References!$H$64))*References!$C$11)-M12</f>
        <v>0</v>
      </c>
      <c r="T12" s="487" t="s">
        <v>803</v>
      </c>
      <c r="U12" s="159"/>
    </row>
    <row r="13" spans="1:24">
      <c r="A13" s="513"/>
      <c r="B13" s="152">
        <v>21</v>
      </c>
      <c r="C13" s="122" t="s">
        <v>733</v>
      </c>
      <c r="D13" s="266" t="str">
        <f>VLOOKUP(C13,Mapping!$E$2:$I$80,5,FALSE)</f>
        <v>35 Gallon Cart WG-NR</v>
      </c>
      <c r="E13" s="156">
        <f>SUMIFS(Mapping!N:N,Mapping!A:A,"Residential",Mapping!E:E,'DF Calculation'!C13)</f>
        <v>6262.1215962861897</v>
      </c>
      <c r="F13" s="156">
        <f>VLOOKUP(C13,Mapping!E:M,7,FALSE)</f>
        <v>34</v>
      </c>
      <c r="G13" s="156">
        <f t="shared" si="3"/>
        <v>212912.13427373045</v>
      </c>
      <c r="H13" s="151">
        <f t="shared" si="0"/>
        <v>181607.33442775081</v>
      </c>
      <c r="I13" s="156">
        <f>(References!$D$61*H13)</f>
        <v>-187.05555446058392</v>
      </c>
      <c r="J13" s="156">
        <f>I13/References!$H$64</f>
        <v>-191.38075962818078</v>
      </c>
      <c r="K13" s="274">
        <v>20.420000000000002</v>
      </c>
      <c r="L13" s="274">
        <v>20.34</v>
      </c>
      <c r="M13" s="155">
        <f>IFERROR((J13/E13),0)*References!$C$11</f>
        <v>-0.13243381053911249</v>
      </c>
      <c r="N13" s="165">
        <f t="shared" si="4"/>
        <v>20.28756618946089</v>
      </c>
      <c r="O13" s="165">
        <f t="shared" si="2"/>
        <v>20.207566189460888</v>
      </c>
      <c r="P13" s="117">
        <f>(E13/References!$C$11)*'DF Calculation'!K13</f>
        <v>29509.043768345542</v>
      </c>
      <c r="Q13" s="117">
        <f>(E13/References!$C$11)*'DF Calculation'!N13</f>
        <v>29317.663008717362</v>
      </c>
      <c r="R13" s="117">
        <f t="shared" si="1"/>
        <v>-191.38075962818039</v>
      </c>
      <c r="S13" s="159">
        <f>(((F13*$D$83)*(References!$D$61/References!$H$64))*References!$C$11)-M13</f>
        <v>0</v>
      </c>
      <c r="T13" s="487" t="s">
        <v>803</v>
      </c>
      <c r="U13" s="159"/>
    </row>
    <row r="14" spans="1:24">
      <c r="A14" s="513"/>
      <c r="B14" s="152">
        <v>21</v>
      </c>
      <c r="C14" s="122" t="s">
        <v>183</v>
      </c>
      <c r="D14" s="266" t="str">
        <f>VLOOKUP(C14,Mapping!$E$2:$I$80,5,FALSE)</f>
        <v>65 Gallon Cart MG-NR</v>
      </c>
      <c r="E14" s="156">
        <f>SUMIFS(Mapping!N:N,Mapping!A:A,"Residential",Mapping!E:E,'DF Calculation'!C14)</f>
        <v>225.01056323410248</v>
      </c>
      <c r="F14" s="156">
        <f>VLOOKUP(C14,Mapping!E:M,7,FALSE)</f>
        <v>47</v>
      </c>
      <c r="G14" s="156">
        <f t="shared" si="3"/>
        <v>10575.496472002817</v>
      </c>
      <c r="H14" s="151">
        <f t="shared" si="0"/>
        <v>9020.5648967912311</v>
      </c>
      <c r="I14" s="156">
        <f>(References!$D$61*H14)</f>
        <v>-9.2911818436949964</v>
      </c>
      <c r="J14" s="156">
        <f>I14/References!$H$64</f>
        <v>-9.5060178470380556</v>
      </c>
      <c r="K14" s="274">
        <v>11.48</v>
      </c>
      <c r="L14" s="274">
        <v>11.44</v>
      </c>
      <c r="M14" s="155">
        <f>IFERROR((J14/E14),0)</f>
        <v>-4.2246984809988376E-2</v>
      </c>
      <c r="N14" s="165">
        <f t="shared" si="4"/>
        <v>11.437753015190012</v>
      </c>
      <c r="O14" s="165">
        <f t="shared" si="2"/>
        <v>11.397753015190011</v>
      </c>
      <c r="P14" s="117">
        <f>(E14)*'DF Calculation'!K14</f>
        <v>2583.1212659274966</v>
      </c>
      <c r="Q14" s="117">
        <f>E14*N14</f>
        <v>2573.6152480804585</v>
      </c>
      <c r="R14" s="117">
        <f t="shared" si="1"/>
        <v>-9.5060178470380379</v>
      </c>
      <c r="S14" s="159">
        <f>(((F14*$D$83)*(References!$D$61/References!$H$64)))-M14</f>
        <v>0</v>
      </c>
      <c r="T14" s="363"/>
      <c r="U14" s="159"/>
      <c r="W14" s="159"/>
      <c r="X14" s="159"/>
    </row>
    <row r="15" spans="1:24">
      <c r="A15" s="513"/>
      <c r="B15" s="152">
        <v>21</v>
      </c>
      <c r="C15" s="122" t="s">
        <v>185</v>
      </c>
      <c r="D15" s="266" t="str">
        <f>VLOOKUP(C15,Mapping!$E$2:$I$80,5,FALSE)</f>
        <v>65 Gallon Cart MG-R</v>
      </c>
      <c r="E15" s="156">
        <f>SUMIFS(Mapping!N:N,Mapping!A:A,"Residential",Mapping!E:E,'DF Calculation'!C15)</f>
        <v>21161.401068244755</v>
      </c>
      <c r="F15" s="156">
        <f>VLOOKUP(C15,Mapping!E:M,7,FALSE)</f>
        <v>47</v>
      </c>
      <c r="G15" s="156">
        <f>E15*F15</f>
        <v>994585.85020750354</v>
      </c>
      <c r="H15" s="151">
        <f t="shared" si="0"/>
        <v>848350.35697647766</v>
      </c>
      <c r="I15" s="156">
        <f>(References!$D$61*H15)</f>
        <v>-873.80086768577462</v>
      </c>
      <c r="J15" s="156">
        <f>I15/References!$H$64</f>
        <v>-894.00538948820804</v>
      </c>
      <c r="K15" s="274">
        <v>9.4700000000000006</v>
      </c>
      <c r="L15" s="274">
        <v>9.43</v>
      </c>
      <c r="M15" s="155">
        <f>IFERROR((J15/E15),0)</f>
        <v>-4.2246984809988376E-2</v>
      </c>
      <c r="N15" s="165">
        <f>M15+K15</f>
        <v>9.427753015190012</v>
      </c>
      <c r="O15" s="165">
        <f t="shared" si="2"/>
        <v>9.387753015190011</v>
      </c>
      <c r="P15" s="117">
        <f>(E15)*'DF Calculation'!K15</f>
        <v>200398.46811627786</v>
      </c>
      <c r="Q15" s="117">
        <f>E15*N15</f>
        <v>199504.46272678964</v>
      </c>
      <c r="R15" s="117">
        <f t="shared" si="1"/>
        <v>-894.00538948821486</v>
      </c>
      <c r="S15" s="159">
        <f>(((F15*$D$83)*(References!$D$61/References!$H$64)))-M15</f>
        <v>0</v>
      </c>
      <c r="T15" s="363"/>
      <c r="U15" s="159"/>
      <c r="W15" s="159"/>
      <c r="X15" s="159"/>
    </row>
    <row r="16" spans="1:24">
      <c r="A16" s="513"/>
      <c r="B16" s="152">
        <v>21</v>
      </c>
      <c r="C16" s="122" t="s">
        <v>187</v>
      </c>
      <c r="D16" s="266" t="str">
        <f>VLOOKUP(C16,Mapping!$E$2:$I$80,5,FALSE)</f>
        <v>65 Gallon Cart WG-NR</v>
      </c>
      <c r="E16" s="156">
        <f>SUMIFS(Mapping!N:N,Mapping!A:A,"Residential",Mapping!E:E,'DF Calculation'!C16)</f>
        <v>15848.256911242777</v>
      </c>
      <c r="F16" s="156">
        <f>VLOOKUP(C16,Mapping!E:M,7,FALSE)</f>
        <v>47</v>
      </c>
      <c r="G16" s="156">
        <f t="shared" si="3"/>
        <v>744868.07482841052</v>
      </c>
      <c r="H16" s="151">
        <f t="shared" si="0"/>
        <v>635348.97168427089</v>
      </c>
      <c r="I16" s="156">
        <f>(References!$D$61*H16)</f>
        <v>-654.40944083480099</v>
      </c>
      <c r="J16" s="156">
        <f>I16/References!$H$64</f>
        <v>-669.5410689940669</v>
      </c>
      <c r="K16" s="274">
        <v>28.88</v>
      </c>
      <c r="L16" s="274">
        <v>28.77</v>
      </c>
      <c r="M16" s="155">
        <f>IFERROR((J16/E16),0)*References!$C$11</f>
        <v>-0.18307026750994962</v>
      </c>
      <c r="N16" s="165">
        <f t="shared" si="4"/>
        <v>28.696929732490048</v>
      </c>
      <c r="O16" s="165">
        <f t="shared" si="2"/>
        <v>28.586929732490049</v>
      </c>
      <c r="P16" s="117">
        <f>(E16/References!$C$11)*'DF Calculation'!K16</f>
        <v>105622.53683000572</v>
      </c>
      <c r="Q16" s="117">
        <f>(E16/References!$C$11)*'DF Calculation'!N16</f>
        <v>104952.99576101165</v>
      </c>
      <c r="R16" s="117">
        <f t="shared" si="1"/>
        <v>-669.54106899406179</v>
      </c>
      <c r="S16" s="159">
        <f>(((F16*$D$83)*(References!$D$61/References!$H$64))*References!$C$11)-M16</f>
        <v>0</v>
      </c>
      <c r="T16" s="487" t="s">
        <v>803</v>
      </c>
      <c r="U16" s="159"/>
    </row>
    <row r="17" spans="1:21">
      <c r="A17" s="513"/>
      <c r="B17" s="152">
        <v>21</v>
      </c>
      <c r="C17" s="122" t="s">
        <v>189</v>
      </c>
      <c r="D17" s="266" t="str">
        <f>VLOOKUP(C17,Mapping!$E$2:$I$80,5,FALSE)</f>
        <v>65 Gallon Cart WG-R</v>
      </c>
      <c r="E17" s="156">
        <f>SUMIFS(Mapping!N:N,Mapping!A:A,"Residential",Mapping!E:E,'DF Calculation'!C17)</f>
        <v>1426548.7455464762</v>
      </c>
      <c r="F17" s="156">
        <f>VLOOKUP(C17,Mapping!E:M,7,FALSE)</f>
        <v>47</v>
      </c>
      <c r="G17" s="156">
        <f t="shared" si="3"/>
        <v>67047791.04068438</v>
      </c>
      <c r="H17" s="151">
        <f t="shared" si="0"/>
        <v>57189650.799859874</v>
      </c>
      <c r="I17" s="156">
        <f>(References!$D$61*H17)</f>
        <v>-58905.340323855853</v>
      </c>
      <c r="J17" s="156">
        <f>I17/References!$H$64</f>
        <v>-60267.383183809958</v>
      </c>
      <c r="K17" s="274">
        <v>26.87</v>
      </c>
      <c r="L17" s="274">
        <v>26.77</v>
      </c>
      <c r="M17" s="155">
        <f>IFERROR((J17/E17),0)*References!$C$11</f>
        <v>-0.18307026750994962</v>
      </c>
      <c r="N17" s="165">
        <f t="shared" si="4"/>
        <v>26.68692973249005</v>
      </c>
      <c r="O17" s="165">
        <f t="shared" si="2"/>
        <v>26.586929732490049</v>
      </c>
      <c r="P17" s="117">
        <f>(E17/References!$C$11)*'DF Calculation'!K17</f>
        <v>8845699.5675770361</v>
      </c>
      <c r="Q17" s="117">
        <f>(E17/References!$C$11)*'DF Calculation'!N17</f>
        <v>8785432.1843932252</v>
      </c>
      <c r="R17" s="117">
        <f t="shared" si="1"/>
        <v>-60267.38318381086</v>
      </c>
      <c r="S17" s="159">
        <f>(((F17*$D$83)*(References!$D$61/References!$H$64))*References!$C$11)-M17</f>
        <v>0</v>
      </c>
      <c r="T17" s="487" t="s">
        <v>803</v>
      </c>
      <c r="U17" s="159"/>
    </row>
    <row r="18" spans="1:21">
      <c r="A18" s="513"/>
      <c r="B18" s="152">
        <v>21</v>
      </c>
      <c r="C18" s="122" t="s">
        <v>191</v>
      </c>
      <c r="D18" s="266" t="str">
        <f>VLOOKUP(C18,Mapping!$E$2:$I$80,5,FALSE)</f>
        <v>65 Gallon Cart EOWG-NR</v>
      </c>
      <c r="E18" s="156">
        <f>SUMIFS(Mapping!N:N,Mapping!A:A,"Residential",Mapping!E:E,'DF Calculation'!C18)</f>
        <v>3580.2625358664454</v>
      </c>
      <c r="F18" s="156">
        <f>VLOOKUP(C18,Mapping!E:M,7,FALSE)</f>
        <v>47</v>
      </c>
      <c r="G18" s="156">
        <f t="shared" si="3"/>
        <v>168272.33918572293</v>
      </c>
      <c r="H18" s="151">
        <f t="shared" si="0"/>
        <v>143530.99733692349</v>
      </c>
      <c r="I18" s="156">
        <f>(References!$D$61*H18)</f>
        <v>-147.83692725703165</v>
      </c>
      <c r="J18" s="156">
        <f>I18/References!$H$64</f>
        <v>-151.25529696852018</v>
      </c>
      <c r="K18" s="274">
        <v>18.72</v>
      </c>
      <c r="L18" s="274">
        <v>18.649999999999999</v>
      </c>
      <c r="M18" s="155">
        <f>IFERROR((J18/E18),0)*References!$C$12</f>
        <v>-9.153513375497481E-2</v>
      </c>
      <c r="N18" s="165">
        <f t="shared" si="4"/>
        <v>18.628464866245025</v>
      </c>
      <c r="O18" s="165">
        <f t="shared" si="2"/>
        <v>18.558464866245025</v>
      </c>
      <c r="P18" s="117">
        <f>(E18/References!$C$12)*'DF Calculation'!K18</f>
        <v>30933.468309886088</v>
      </c>
      <c r="Q18" s="117">
        <f>(E18/References!$C$12)*'DF Calculation'!N18</f>
        <v>30782.213012917571</v>
      </c>
      <c r="R18" s="117">
        <f t="shared" si="1"/>
        <v>-151.25529696851663</v>
      </c>
      <c r="S18" s="159">
        <f>(((F18*$D$83)*(References!$D$61/References!$H$64))*References!$C$12)-M18</f>
        <v>0</v>
      </c>
      <c r="T18" s="487" t="s">
        <v>804</v>
      </c>
      <c r="U18" s="159"/>
    </row>
    <row r="19" spans="1:21">
      <c r="A19" s="513"/>
      <c r="B19" s="152">
        <v>21</v>
      </c>
      <c r="C19" s="122" t="s">
        <v>193</v>
      </c>
      <c r="D19" s="266" t="str">
        <f>VLOOKUP(C19,Mapping!$E$2:$I$80,5,FALSE)</f>
        <v>65 Gallon Cart EOW-R</v>
      </c>
      <c r="E19" s="156">
        <f>SUMIFS(Mapping!N:N,Mapping!A:A,"Residential",Mapping!E:E,'DF Calculation'!C19)</f>
        <v>291160.09123659873</v>
      </c>
      <c r="F19" s="156">
        <f>VLOOKUP(C19,Mapping!E:M,7,FALSE)</f>
        <v>47</v>
      </c>
      <c r="G19" s="156">
        <f t="shared" si="3"/>
        <v>13684524.288120141</v>
      </c>
      <c r="H19" s="151">
        <f t="shared" si="0"/>
        <v>11672467.552658146</v>
      </c>
      <c r="I19" s="156">
        <f>(References!$D$61*H19)</f>
        <v>-12022.641579237927</v>
      </c>
      <c r="J19" s="156">
        <f>I19/References!$H$64</f>
        <v>-12300.635951747417</v>
      </c>
      <c r="K19" s="274">
        <v>16.7</v>
      </c>
      <c r="L19" s="274">
        <v>16.64</v>
      </c>
      <c r="M19" s="155">
        <f>IFERROR((J19/E19),0)*References!$C$12</f>
        <v>-9.1535133754974823E-2</v>
      </c>
      <c r="N19" s="165">
        <f t="shared" si="4"/>
        <v>16.608464866245026</v>
      </c>
      <c r="O19" s="165">
        <f t="shared" si="2"/>
        <v>16.548464866245027</v>
      </c>
      <c r="P19" s="117">
        <f>(E19/References!$C$12)*'DF Calculation'!K19</f>
        <v>2244172.3955313228</v>
      </c>
      <c r="Q19" s="117">
        <f>(E19/References!$C$12)*'DF Calculation'!N19</f>
        <v>2231871.7595795756</v>
      </c>
      <c r="R19" s="117">
        <f t="shared" si="1"/>
        <v>-12300.635951747186</v>
      </c>
      <c r="S19" s="159">
        <f>(((F19*$D$83)*(References!$D$61/References!$H$64))*References!$C$12)-M19</f>
        <v>0</v>
      </c>
      <c r="T19" s="487" t="s">
        <v>804</v>
      </c>
      <c r="U19" s="159"/>
    </row>
    <row r="20" spans="1:21">
      <c r="A20" s="513"/>
      <c r="B20" s="152">
        <v>21</v>
      </c>
      <c r="C20" s="122" t="s">
        <v>195</v>
      </c>
      <c r="D20" s="266" t="str">
        <f>VLOOKUP(C20,Mapping!$E$2:$I$80,5,FALSE)</f>
        <v>95 Gallon Cart MG-NR</v>
      </c>
      <c r="E20" s="156">
        <f>SUMIFS(Mapping!N:N,Mapping!A:A,"Residential",Mapping!E:E,'DF Calculation'!C20)</f>
        <v>33.9937324187527</v>
      </c>
      <c r="F20" s="156">
        <f>VLOOKUP(C20,Mapping!E:M,7,FALSE)</f>
        <v>68</v>
      </c>
      <c r="G20" s="156">
        <f t="shared" si="3"/>
        <v>2311.5738044751834</v>
      </c>
      <c r="H20" s="151">
        <f t="shared" si="0"/>
        <v>1971.6995388531434</v>
      </c>
      <c r="I20" s="156">
        <f>(References!$D$61*H20)</f>
        <v>-2.0308505250187441</v>
      </c>
      <c r="J20" s="156">
        <f>I20/References!$H$64</f>
        <v>-2.0778090086134071</v>
      </c>
      <c r="K20" s="274">
        <v>16.02</v>
      </c>
      <c r="L20" s="274">
        <v>15.96</v>
      </c>
      <c r="M20" s="155">
        <f>IFERROR((J20/E20),0)</f>
        <v>-6.1123297171898086E-2</v>
      </c>
      <c r="N20" s="165">
        <f t="shared" si="4"/>
        <v>15.958876702828102</v>
      </c>
      <c r="O20" s="165">
        <f t="shared" si="2"/>
        <v>15.898876702828103</v>
      </c>
      <c r="P20" s="117">
        <f>(E20)*'DF Calculation'!K20</f>
        <v>544.57959334841826</v>
      </c>
      <c r="Q20" s="117">
        <f>E20*N20</f>
        <v>542.50178433980489</v>
      </c>
      <c r="R20" s="117">
        <f t="shared" si="1"/>
        <v>-2.0778090086133716</v>
      </c>
      <c r="S20" s="159">
        <f>(((F20*$D$83)*(References!$D$61/References!$H$64)))-M20</f>
        <v>0</v>
      </c>
      <c r="T20" s="363"/>
      <c r="U20" s="159"/>
    </row>
    <row r="21" spans="1:21">
      <c r="A21" s="513"/>
      <c r="B21" s="152">
        <v>21</v>
      </c>
      <c r="C21" s="122" t="s">
        <v>197</v>
      </c>
      <c r="D21" s="266" t="str">
        <f>VLOOKUP(C21,Mapping!$E$2:$I$80,5,FALSE)</f>
        <v>95 Gallon Cart MG-R</v>
      </c>
      <c r="E21" s="156">
        <f>SUMIFS(Mapping!N:N,Mapping!A:A,"Residential",Mapping!E:E,'DF Calculation'!C21)</f>
        <v>2387.3454343980156</v>
      </c>
      <c r="F21" s="156">
        <f>VLOOKUP(C21,Mapping!E:M,7,FALSE)</f>
        <v>68</v>
      </c>
      <c r="G21" s="156">
        <f t="shared" si="3"/>
        <v>162339.48953906505</v>
      </c>
      <c r="H21" s="43">
        <f t="shared" si="0"/>
        <v>138470.46373433914</v>
      </c>
      <c r="I21" s="103">
        <f>(References!$D$61*H21)</f>
        <v>-142.62457764636974</v>
      </c>
      <c r="J21" s="103">
        <f>I21/References!$H$64</f>
        <v>-145.922424438684</v>
      </c>
      <c r="K21" s="274">
        <v>13</v>
      </c>
      <c r="L21" s="274">
        <v>12.95</v>
      </c>
      <c r="M21" s="155">
        <f>IFERROR((J21/E21),0)</f>
        <v>-6.1123297171898072E-2</v>
      </c>
      <c r="N21" s="165">
        <f t="shared" ref="N21:N30" si="5">M21+K21</f>
        <v>12.938876702828102</v>
      </c>
      <c r="O21" s="165">
        <f t="shared" si="2"/>
        <v>12.888876702828101</v>
      </c>
      <c r="P21" s="117">
        <f>(E21)*'DF Calculation'!K21</f>
        <v>31035.490647174203</v>
      </c>
      <c r="Q21" s="117">
        <f>E21*N21</f>
        <v>30889.568222735521</v>
      </c>
      <c r="R21" s="117">
        <f t="shared" si="1"/>
        <v>-145.92242443868236</v>
      </c>
      <c r="S21" s="159">
        <f>(((F21*$D$83)*(References!$D$61/References!$H$64)))-M21</f>
        <v>0</v>
      </c>
      <c r="T21" s="363"/>
      <c r="U21" s="159"/>
    </row>
    <row r="22" spans="1:21">
      <c r="A22" s="513"/>
      <c r="B22" s="152">
        <v>21</v>
      </c>
      <c r="C22" s="122" t="s">
        <v>199</v>
      </c>
      <c r="D22" s="266" t="str">
        <f>VLOOKUP(C22,Mapping!$E$2:$I$80,5,FALSE)</f>
        <v>95 Gallon Cart WG-NR</v>
      </c>
      <c r="E22" s="156">
        <f>SUMIFS(Mapping!N:N,Mapping!A:A,"Residential",Mapping!E:E,'DF Calculation'!C22)</f>
        <v>4364.9164225406203</v>
      </c>
      <c r="F22" s="156">
        <f>VLOOKUP(C22,Mapping!E:M,7,FALSE)</f>
        <v>68</v>
      </c>
      <c r="G22" s="156">
        <f t="shared" si="3"/>
        <v>296814.31673276215</v>
      </c>
      <c r="H22" s="43">
        <f t="shared" si="0"/>
        <v>253173.24945195401</v>
      </c>
      <c r="I22" s="103">
        <f>(References!$D$61*H22)</f>
        <v>-260.7684469355134</v>
      </c>
      <c r="J22" s="103">
        <f>I22/References!$H$64</f>
        <v>-266.7980836254485</v>
      </c>
      <c r="K22" s="274">
        <v>38.659999999999997</v>
      </c>
      <c r="L22" s="274">
        <v>38.520000000000003</v>
      </c>
      <c r="M22" s="155">
        <f>IFERROR((J22/E22),0)*References!$C$11</f>
        <v>-0.26486762107822492</v>
      </c>
      <c r="N22" s="165">
        <f t="shared" si="5"/>
        <v>38.395132378921772</v>
      </c>
      <c r="O22" s="165">
        <f t="shared" si="2"/>
        <v>38.255132378921779</v>
      </c>
      <c r="P22" s="117">
        <f>(E22/References!$C$11)*'DF Calculation'!K22</f>
        <v>38941.769745097008</v>
      </c>
      <c r="Q22" s="117">
        <f>(E22/References!$C$11)*'DF Calculation'!N22</f>
        <v>38674.971661471565</v>
      </c>
      <c r="R22" s="117">
        <f t="shared" si="1"/>
        <v>-266.79808362544281</v>
      </c>
      <c r="S22" s="159">
        <f>(((F22*$D$83)*(References!$D$61/References!$H$64))*References!$C$11)-M22</f>
        <v>0</v>
      </c>
      <c r="T22" s="487" t="s">
        <v>803</v>
      </c>
      <c r="U22" s="159"/>
    </row>
    <row r="23" spans="1:21">
      <c r="A23" s="513"/>
      <c r="B23" s="152">
        <v>21</v>
      </c>
      <c r="C23" s="122" t="s">
        <v>201</v>
      </c>
      <c r="D23" s="266" t="str">
        <f>VLOOKUP(C23,Mapping!$E$2:$I$80,5,FALSE)</f>
        <v>95 Gallon Cart WG-R</v>
      </c>
      <c r="E23" s="156">
        <f>SUMIFS(Mapping!N:N,Mapping!A:A,"Residential",Mapping!E:E,'DF Calculation'!C23)</f>
        <v>460457.45859571057</v>
      </c>
      <c r="F23" s="156">
        <f>VLOOKUP(C23,Mapping!E:M,7,FALSE)</f>
        <v>68</v>
      </c>
      <c r="G23" s="156">
        <f t="shared" si="3"/>
        <v>31311107.18450832</v>
      </c>
      <c r="H23" s="43">
        <f t="shared" si="0"/>
        <v>26707386.74973559</v>
      </c>
      <c r="I23" s="103">
        <f>(References!$D$61*H23)</f>
        <v>-27508.60835222774</v>
      </c>
      <c r="J23" s="103">
        <f>I23/References!$H$64</f>
        <v>-28144.678076762571</v>
      </c>
      <c r="K23" s="274">
        <v>35.64</v>
      </c>
      <c r="L23" s="274">
        <v>35.51</v>
      </c>
      <c r="M23" s="155">
        <f>IFERROR((J23/E23),0)*References!$C$11</f>
        <v>-0.26486762107822498</v>
      </c>
      <c r="N23" s="165">
        <f>M23+K23</f>
        <v>35.375132378921776</v>
      </c>
      <c r="O23" s="165">
        <f t="shared" si="2"/>
        <v>35.245132378921774</v>
      </c>
      <c r="P23" s="117">
        <f>(E23/References!$C$11)*'DF Calculation'!K23</f>
        <v>3787085.4979271833</v>
      </c>
      <c r="Q23" s="117">
        <f>(E23/References!$C$11)*'DF Calculation'!N23</f>
        <v>3758940.8198504206</v>
      </c>
      <c r="R23" s="117">
        <f t="shared" si="1"/>
        <v>-28144.678076762706</v>
      </c>
      <c r="S23" s="159">
        <f>(((F23*$D$83)*(References!$D$61/References!$H$64))*References!$C$11)-M23</f>
        <v>0</v>
      </c>
      <c r="T23" s="487" t="s">
        <v>803</v>
      </c>
      <c r="U23" s="159"/>
    </row>
    <row r="24" spans="1:21">
      <c r="A24" s="513"/>
      <c r="B24" s="152">
        <v>21</v>
      </c>
      <c r="C24" s="122" t="s">
        <v>203</v>
      </c>
      <c r="D24" s="266" t="str">
        <f>VLOOKUP(C24,Mapping!$E$2:$I$80,5,FALSE)</f>
        <v>95 Gallon Cart EOWG-NR</v>
      </c>
      <c r="E24" s="156">
        <f>SUMIFS(Mapping!N:N,Mapping!A:A,"Residential",Mapping!E:E,'DF Calculation'!C24)</f>
        <v>225.35796880502977</v>
      </c>
      <c r="F24" s="156">
        <f>VLOOKUP(C24,Mapping!E:M,7,FALSE)</f>
        <v>68</v>
      </c>
      <c r="G24" s="156">
        <f t="shared" si="3"/>
        <v>15324.341878742025</v>
      </c>
      <c r="H24" s="43">
        <f t="shared" si="0"/>
        <v>13071.180230995711</v>
      </c>
      <c r="I24" s="103">
        <f>(References!$D$61*H24)</f>
        <v>-13.463315637925623</v>
      </c>
      <c r="J24" s="103">
        <f>I24/References!$H$64</f>
        <v>-13.774622097325171</v>
      </c>
      <c r="K24" s="274">
        <v>24.96</v>
      </c>
      <c r="L24" s="274">
        <v>24.87</v>
      </c>
      <c r="M24" s="155">
        <f>IFERROR((J24/E24),0)*References!$C$12</f>
        <v>-0.13243381053911249</v>
      </c>
      <c r="N24" s="165">
        <f t="shared" si="5"/>
        <v>24.827566189460889</v>
      </c>
      <c r="O24" s="165">
        <f t="shared" si="2"/>
        <v>24.737566189460889</v>
      </c>
      <c r="P24" s="117">
        <f>(E24/References!$C$12)*'DF Calculation'!K24</f>
        <v>2596.1238006339431</v>
      </c>
      <c r="Q24" s="117">
        <f>(E24/References!$C$12)*'DF Calculation'!N24</f>
        <v>2582.3491785366182</v>
      </c>
      <c r="R24" s="117">
        <f t="shared" si="1"/>
        <v>-13.774622097324936</v>
      </c>
      <c r="S24" s="159">
        <f>(((F24*$D$83)*(References!$D$61/References!$H$64))*References!$C$12)-M24</f>
        <v>0</v>
      </c>
      <c r="T24" s="487" t="s">
        <v>804</v>
      </c>
      <c r="U24" s="159"/>
    </row>
    <row r="25" spans="1:21">
      <c r="A25" s="513"/>
      <c r="B25" s="152">
        <v>21</v>
      </c>
      <c r="C25" s="122" t="s">
        <v>205</v>
      </c>
      <c r="D25" s="266" t="str">
        <f>VLOOKUP(C25,Mapping!$E$2:$I$80,5,FALSE)</f>
        <v>95 Gallon Cart EOWG-R</v>
      </c>
      <c r="E25" s="156">
        <f>SUMIFS(Mapping!N:N,Mapping!A:A,"Residential",Mapping!E:E,'DF Calculation'!C25)</f>
        <v>41389.150258447648</v>
      </c>
      <c r="F25" s="156">
        <f>VLOOKUP(C25,Mapping!E:M,7,FALSE)</f>
        <v>68</v>
      </c>
      <c r="G25" s="156">
        <f t="shared" si="3"/>
        <v>2814462.2175744399</v>
      </c>
      <c r="H25" s="43">
        <f t="shared" si="0"/>
        <v>2400647.4920972805</v>
      </c>
      <c r="I25" s="103">
        <f>(References!$D$61*H25)</f>
        <v>-2472.6669168602066</v>
      </c>
      <c r="J25" s="103">
        <f>I25/References!$H$64</f>
        <v>-2529.8413309394377</v>
      </c>
      <c r="K25" s="274">
        <v>21.94</v>
      </c>
      <c r="L25" s="274">
        <v>21.86</v>
      </c>
      <c r="M25" s="155">
        <f>IFERROR((J25/E25),0)*References!$C$12</f>
        <v>-0.13243381053911249</v>
      </c>
      <c r="N25" s="165">
        <f t="shared" si="5"/>
        <v>21.807566189460889</v>
      </c>
      <c r="O25" s="165">
        <f t="shared" si="2"/>
        <v>21.727566189460887</v>
      </c>
      <c r="P25" s="117">
        <f>(E25/References!$C$12)*'DF Calculation'!K25</f>
        <v>419112.90307861916</v>
      </c>
      <c r="Q25" s="117">
        <f>(E25/References!$C$12)*'DF Calculation'!N25</f>
        <v>416583.06174767972</v>
      </c>
      <c r="R25" s="117">
        <f t="shared" si="1"/>
        <v>-2529.8413309394382</v>
      </c>
      <c r="S25" s="159">
        <f>(((F25*$D$83)*(References!$D$61/References!$H$64))*References!$C$12)-M25</f>
        <v>0</v>
      </c>
      <c r="T25" s="487" t="s">
        <v>804</v>
      </c>
      <c r="U25" s="159"/>
    </row>
    <row r="26" spans="1:21">
      <c r="A26" s="513"/>
      <c r="B26" s="152">
        <v>22</v>
      </c>
      <c r="C26" s="122" t="s">
        <v>209</v>
      </c>
      <c r="D26" s="266" t="str">
        <f>VLOOKUP(C26,Mapping!$E$2:$I$80,5,FALSE)</f>
        <v>Extra Units Extra</v>
      </c>
      <c r="E26" s="156">
        <f>SUMIFS(Mapping!N:N,Mapping!A:A,"Residential",Mapping!E:E,'DF Calculation'!C26)</f>
        <v>32439.775823151791</v>
      </c>
      <c r="F26" s="156">
        <f>VLOOKUP(C26,Mapping!E:M,7,FALSE)</f>
        <v>34</v>
      </c>
      <c r="G26" s="156">
        <f t="shared" si="3"/>
        <v>1102952.3779871608</v>
      </c>
      <c r="H26" s="43">
        <f t="shared" si="0"/>
        <v>940783.58685501793</v>
      </c>
      <c r="I26" s="103">
        <f>(References!$D$61*H26)</f>
        <v>-969.0070944606714</v>
      </c>
      <c r="J26" s="103">
        <f>I26/References!$H$64</f>
        <v>-991.41302891413068</v>
      </c>
      <c r="K26" s="274">
        <v>4.4400000000000004</v>
      </c>
      <c r="L26" s="274">
        <v>4.42</v>
      </c>
      <c r="M26" s="155">
        <f>IFERROR((J26/E26),0)</f>
        <v>-3.0561648585949036E-2</v>
      </c>
      <c r="N26" s="165">
        <f t="shared" si="5"/>
        <v>4.4094383514140514</v>
      </c>
      <c r="O26" s="165">
        <f t="shared" si="2"/>
        <v>4.3894383514140509</v>
      </c>
      <c r="P26" s="117">
        <f>(E26)*'DF Calculation'!K26</f>
        <v>144032.60465479398</v>
      </c>
      <c r="Q26" s="117">
        <f>E26*N26</f>
        <v>143041.19162587984</v>
      </c>
      <c r="R26" s="117">
        <f t="shared" si="1"/>
        <v>-991.41302891413216</v>
      </c>
      <c r="S26" s="159">
        <f>(((F26*$D$83)*(References!$D$61/References!$H$64)))-M26</f>
        <v>0</v>
      </c>
      <c r="T26" s="363"/>
      <c r="U26" s="159"/>
    </row>
    <row r="27" spans="1:21" ht="15" customHeight="1">
      <c r="A27" s="513"/>
      <c r="B27" s="152">
        <v>22</v>
      </c>
      <c r="C27" s="122" t="s">
        <v>728</v>
      </c>
      <c r="D27" s="266" t="str">
        <f>VLOOKUP(C27,Mapping!$E$2:$I$80,5,FALSE)</f>
        <v>65 Gallon Extra</v>
      </c>
      <c r="E27" s="156">
        <f>SUMIFS(Mapping!N:N,Mapping!A:A,"Residential",Mapping!E:E,'DF Calculation'!C27)</f>
        <v>25</v>
      </c>
      <c r="F27" s="156">
        <f>VLOOKUP(C27,Mapping!E:M,7,FALSE)</f>
        <v>47</v>
      </c>
      <c r="G27" s="156">
        <f t="shared" si="3"/>
        <v>1175</v>
      </c>
      <c r="H27" s="151">
        <f t="shared" si="0"/>
        <v>1002.2379357592844</v>
      </c>
      <c r="I27" s="156">
        <f>(References!$D$61*H27)</f>
        <v>-1.032305073832066</v>
      </c>
      <c r="J27" s="156">
        <f>I27/References!$H$64</f>
        <v>-1.0561746202497095</v>
      </c>
      <c r="K27" s="274">
        <v>9.36</v>
      </c>
      <c r="L27" s="274">
        <v>9.33</v>
      </c>
      <c r="M27" s="155">
        <f>IFERROR((J27/E27),0)</f>
        <v>-4.2246984809988383E-2</v>
      </c>
      <c r="N27" s="165">
        <f t="shared" si="5"/>
        <v>9.3177530151900108</v>
      </c>
      <c r="O27" s="165">
        <f t="shared" si="2"/>
        <v>9.2877530151900114</v>
      </c>
      <c r="P27" s="117">
        <f>(E27)*'DF Calculation'!K27</f>
        <v>234</v>
      </c>
      <c r="Q27" s="117">
        <f>E27*N27</f>
        <v>232.94382537975028</v>
      </c>
      <c r="R27" s="117">
        <f t="shared" si="1"/>
        <v>-1.0561746202497204</v>
      </c>
      <c r="S27" s="159">
        <f>(((F27*$D$83)*(References!$D$61/References!$H$64)))-M27</f>
        <v>0</v>
      </c>
      <c r="T27" s="363"/>
      <c r="U27" s="159"/>
    </row>
    <row r="28" spans="1:21" ht="15" customHeight="1">
      <c r="A28" s="513"/>
      <c r="B28" s="152">
        <v>22</v>
      </c>
      <c r="C28" s="122" t="s">
        <v>729</v>
      </c>
      <c r="D28" s="266" t="str">
        <f>VLOOKUP(C28,Mapping!$E$2:$I$80,5,FALSE)</f>
        <v>95 Gallon Extra</v>
      </c>
      <c r="E28" s="156">
        <f>SUMIFS(Mapping!N:N,Mapping!A:A,"Residential",Mapping!E:E,'DF Calculation'!C28)</f>
        <v>293.96658250151103</v>
      </c>
      <c r="F28" s="156">
        <f>VLOOKUP(C28,Mapping!E:M,7,FALSE)</f>
        <v>68</v>
      </c>
      <c r="G28" s="156">
        <f>E28*F28</f>
        <v>19989.727610102749</v>
      </c>
      <c r="H28" s="43">
        <f t="shared" si="0"/>
        <v>17050.607094757237</v>
      </c>
      <c r="I28" s="103">
        <f>(References!$D$61*H28)</f>
        <v>-17.562125307600006</v>
      </c>
      <c r="J28" s="103">
        <f>I28/References!$H$64</f>
        <v>-17.968206780847151</v>
      </c>
      <c r="K28" s="274">
        <v>12.35</v>
      </c>
      <c r="L28" s="274">
        <v>12.3</v>
      </c>
      <c r="M28" s="155">
        <f>IFERROR((J28/E28),0)</f>
        <v>-6.1123297171898072E-2</v>
      </c>
      <c r="N28" s="165">
        <f t="shared" si="5"/>
        <v>12.288876702828102</v>
      </c>
      <c r="O28" s="165">
        <f t="shared" si="2"/>
        <v>12.238876702828103</v>
      </c>
      <c r="P28" s="117">
        <f>(E28)*'DF Calculation'!K28</f>
        <v>3630.487293893661</v>
      </c>
      <c r="Q28" s="117">
        <f>E28*N28</f>
        <v>3612.5190871128138</v>
      </c>
      <c r="R28" s="117">
        <f t="shared" si="1"/>
        <v>-17.96820678084714</v>
      </c>
      <c r="S28" s="159">
        <f>(((F28*$D$83)*(References!$D$61/References!$H$64)))-M28</f>
        <v>0</v>
      </c>
      <c r="T28" s="363"/>
      <c r="U28" s="159"/>
    </row>
    <row r="29" spans="1:21" ht="15" customHeight="1">
      <c r="A29" s="513"/>
      <c r="B29" s="152">
        <v>22</v>
      </c>
      <c r="C29" s="122" t="s">
        <v>361</v>
      </c>
      <c r="D29" s="266" t="str">
        <f>VLOOKUP(C29,Mapping!$E$2:$I$80,5,FALSE)</f>
        <v>Extra Units On Call</v>
      </c>
      <c r="E29" s="156">
        <f>SUMIFS(Mapping!N:N,Mapping!A:A,"Residential",Mapping!E:E,'DF Calculation'!C29)</f>
        <v>1643.9004645336395</v>
      </c>
      <c r="F29" s="156">
        <f>VLOOKUP(C29,Mapping!E:M,7,FALSE)</f>
        <v>34</v>
      </c>
      <c r="G29" s="156">
        <f>E29*F29</f>
        <v>55892.615794143741</v>
      </c>
      <c r="H29" s="151">
        <f t="shared" si="0"/>
        <v>47674.638193795232</v>
      </c>
      <c r="I29" s="156">
        <f>(References!$D$61*H29)</f>
        <v>-49.104877339609239</v>
      </c>
      <c r="J29" s="156">
        <f>I29/References!$H$64</f>
        <v>-50.24030830735547</v>
      </c>
      <c r="K29" s="274">
        <f>7.89</f>
        <v>7.89</v>
      </c>
      <c r="L29" s="274">
        <v>7.86</v>
      </c>
      <c r="M29" s="155">
        <f>IFERROR((J29/E29),0)</f>
        <v>-3.056164858594904E-2</v>
      </c>
      <c r="N29" s="165">
        <f t="shared" si="5"/>
        <v>7.8594383514140507</v>
      </c>
      <c r="O29" s="165">
        <f t="shared" si="2"/>
        <v>7.8294383514140513</v>
      </c>
      <c r="P29" s="117">
        <f>(E29)*'DF Calculation'!K29</f>
        <v>12970.374665170415</v>
      </c>
      <c r="Q29" s="117">
        <f>E29*N29</f>
        <v>12920.13435686306</v>
      </c>
      <c r="R29" s="117">
        <f t="shared" si="1"/>
        <v>-50.240308307355008</v>
      </c>
      <c r="S29" s="159">
        <f>(((F29*$D$83)*(References!$D$61/References!$H$64)))-M29</f>
        <v>0</v>
      </c>
      <c r="T29" s="363"/>
      <c r="U29" s="159"/>
    </row>
    <row r="30" spans="1:21" ht="15" customHeight="1">
      <c r="A30" s="513"/>
      <c r="B30" s="152">
        <v>26</v>
      </c>
      <c r="C30" s="122" t="s">
        <v>207</v>
      </c>
      <c r="D30" s="266" t="str">
        <f>VLOOKUP(C30,Mapping!$E$2:$I$80,5,FALSE)</f>
        <v>Bulky Extra</v>
      </c>
      <c r="E30" s="156">
        <f>SUMIFS(Mapping!N:N,Mapping!A:A,"Residential",Mapping!E:E,'DF Calculation'!C30)</f>
        <v>4</v>
      </c>
      <c r="F30" s="156">
        <f>VLOOKUP(C30,Mapping!E:M,7,FALSE)</f>
        <v>125</v>
      </c>
      <c r="G30" s="156">
        <f>E30*F30</f>
        <v>500</v>
      </c>
      <c r="H30" s="151">
        <f t="shared" si="0"/>
        <v>426.48422798267421</v>
      </c>
      <c r="I30" s="156">
        <f>(References!$D$61*H30)</f>
        <v>-0.43927875482215578</v>
      </c>
      <c r="J30" s="156">
        <f>I30/References!$H$64</f>
        <v>-0.44943600861689764</v>
      </c>
      <c r="K30" s="274">
        <v>32.159999999999997</v>
      </c>
      <c r="L30" s="274">
        <v>32.04</v>
      </c>
      <c r="M30" s="155">
        <f>IFERROR((J30/E30),0)</f>
        <v>-0.11235900215422441</v>
      </c>
      <c r="N30" s="165">
        <f t="shared" si="5"/>
        <v>32.047640997845775</v>
      </c>
      <c r="O30" s="165">
        <f t="shared" si="2"/>
        <v>31.927640997845774</v>
      </c>
      <c r="P30" s="117">
        <f>(E30)*'DF Calculation'!K30</f>
        <v>128.63999999999999</v>
      </c>
      <c r="Q30" s="117">
        <f>E30*N30</f>
        <v>128.1905639913831</v>
      </c>
      <c r="R30" s="117">
        <f t="shared" si="1"/>
        <v>-0.44943600861688537</v>
      </c>
      <c r="S30" s="159">
        <f>(((F30*$D$83)*(References!$D$61/References!$H$64)))-M30</f>
        <v>0</v>
      </c>
      <c r="T30" s="363"/>
      <c r="U30" s="159"/>
    </row>
    <row r="31" spans="1:21">
      <c r="A31" s="127"/>
      <c r="B31" s="92"/>
      <c r="C31" s="206"/>
      <c r="D31" s="93" t="s">
        <v>13</v>
      </c>
      <c r="E31" s="85">
        <f>SUM(E7:E30)</f>
        <v>2475096.6821842524</v>
      </c>
      <c r="F31" s="94"/>
      <c r="G31" s="130">
        <f>SUM(G7:G30)</f>
        <v>124325959.60229017</v>
      </c>
      <c r="H31" s="130">
        <f>SUM(H7:H30)</f>
        <v>106046121.79837574</v>
      </c>
      <c r="I31" s="130">
        <f>SUM(I7:I30)</f>
        <v>-109227.50545232733</v>
      </c>
      <c r="J31" s="130">
        <f>SUM(J7:J30)</f>
        <v>-111753.12610223789</v>
      </c>
      <c r="K31" s="85"/>
      <c r="L31" s="158"/>
      <c r="M31" s="85"/>
      <c r="N31" s="130"/>
      <c r="O31" s="148"/>
      <c r="P31" s="85">
        <f>SUM(P7:P30)</f>
        <v>16669996.771395184</v>
      </c>
      <c r="Q31" s="85">
        <f>SUM(Q7:Q30)</f>
        <v>16558243.645292941</v>
      </c>
      <c r="R31" s="142">
        <f>SUM(R7:R30)</f>
        <v>-111753.12610223869</v>
      </c>
      <c r="S31" s="84">
        <f>R31/P31</f>
        <v>-6.7038480951598645E-3</v>
      </c>
      <c r="T31" s="363"/>
      <c r="U31" s="159"/>
    </row>
    <row r="32" spans="1:21">
      <c r="A32" s="488"/>
      <c r="B32" s="152">
        <v>24.3</v>
      </c>
      <c r="C32" s="267" t="s">
        <v>315</v>
      </c>
      <c r="D32" s="356" t="s">
        <v>815</v>
      </c>
      <c r="E32" s="156">
        <f>SUMIFS(Mapping!N:N,Mapping!A:A,"JBLM",Mapping!E:E,'DF Calculation'!C32)/4.33</f>
        <v>660.79491313590006</v>
      </c>
      <c r="F32" s="156">
        <f>VLOOKUP(C32,Mapping!E:M,7,FALSE)</f>
        <v>840</v>
      </c>
      <c r="G32" s="103">
        <f t="shared" ref="G32:G67" si="6">E32*F32</f>
        <v>555067.72703415609</v>
      </c>
      <c r="H32" s="151">
        <f t="shared" ref="H32:H37" si="7">$D$87*G32</f>
        <v>418494.71361732902</v>
      </c>
      <c r="I32" s="156">
        <f>(References!$D$73*H32)</f>
        <v>577.52270479191372</v>
      </c>
      <c r="J32" s="103">
        <f>I32/References!$H$64</f>
        <v>590.87651400850598</v>
      </c>
      <c r="K32" s="274">
        <v>100.97</v>
      </c>
      <c r="L32" s="274">
        <v>100.6</v>
      </c>
      <c r="M32" s="155">
        <f>IFERROR((J32/E32),0)</f>
        <v>0.89419047008763131</v>
      </c>
      <c r="N32" s="165">
        <f t="shared" ref="N32:N37" si="8">M32+K32</f>
        <v>101.86419047008764</v>
      </c>
      <c r="O32" s="165">
        <f t="shared" si="2"/>
        <v>101.49419047008763</v>
      </c>
      <c r="P32" s="117">
        <f>(E32)*'DF Calculation'!K32</f>
        <v>66720.462379331831</v>
      </c>
      <c r="Q32" s="117">
        <f>(E32)*'DF Calculation'!N32</f>
        <v>67311.338893340333</v>
      </c>
      <c r="R32" s="117">
        <f t="shared" ref="R32:R37" si="9">Q32-P32</f>
        <v>590.87651400850154</v>
      </c>
      <c r="S32" s="159">
        <f>(((F32*$D$87)*(References!$D$73/References!$H$64)))-M32</f>
        <v>0</v>
      </c>
      <c r="T32" s="363"/>
      <c r="U32" s="159"/>
    </row>
    <row r="33" spans="1:21">
      <c r="A33" s="488"/>
      <c r="B33" s="152">
        <v>24.3</v>
      </c>
      <c r="C33" s="267" t="s">
        <v>315</v>
      </c>
      <c r="D33" s="355" t="s">
        <v>816</v>
      </c>
      <c r="E33" s="156">
        <f>SUMIFS(Mapping!N:N,Mapping!A:A,"JBLM",Mapping!E:E,'DF Calculation'!C33)-E32</f>
        <v>2200.4470607425474</v>
      </c>
      <c r="F33" s="156">
        <f>VLOOKUP(C33,Mapping!E:M,7,FALSE)</f>
        <v>840</v>
      </c>
      <c r="G33" s="156">
        <f t="shared" ref="G33:G34" si="10">E33*F33</f>
        <v>1848375.5310237398</v>
      </c>
      <c r="H33" s="151">
        <f t="shared" si="7"/>
        <v>1393587.3963457057</v>
      </c>
      <c r="I33" s="156">
        <f>(References!$D$73*H33)</f>
        <v>1923.1506069570728</v>
      </c>
      <c r="J33" s="156">
        <f>I33/References!$H$64</f>
        <v>1967.6187916483248</v>
      </c>
      <c r="K33" s="274">
        <v>69.400000000000006</v>
      </c>
      <c r="L33" s="274">
        <v>69.14</v>
      </c>
      <c r="M33" s="155">
        <f>IFERROR((J33/E33),0)</f>
        <v>0.8941904700876312</v>
      </c>
      <c r="N33" s="165">
        <f t="shared" si="8"/>
        <v>70.294190470087642</v>
      </c>
      <c r="O33" s="165">
        <f t="shared" si="2"/>
        <v>70.034190470087637</v>
      </c>
      <c r="P33" s="117">
        <f>(E33)*'DF Calculation'!K33</f>
        <v>152711.02601553279</v>
      </c>
      <c r="Q33" s="117">
        <f>(E33)*'DF Calculation'!N33</f>
        <v>154678.64480718115</v>
      </c>
      <c r="R33" s="117">
        <f t="shared" si="9"/>
        <v>1967.6187916483614</v>
      </c>
      <c r="S33" s="159">
        <f>(((F33*$D$87)*(References!$D$73/References!$H$64)))-M33</f>
        <v>0</v>
      </c>
      <c r="T33" s="363"/>
      <c r="U33" s="159"/>
    </row>
    <row r="34" spans="1:21">
      <c r="A34" s="488"/>
      <c r="B34" s="152">
        <v>24.3</v>
      </c>
      <c r="C34" s="267" t="s">
        <v>802</v>
      </c>
      <c r="D34" s="356" t="s">
        <v>813</v>
      </c>
      <c r="E34" s="156">
        <f>SUMIFS(Mapping!N:N,Mapping!A:A,"JBLM",Mapping!E:E,'DF Calculation'!C34)/4.33</f>
        <v>96.111505522392463</v>
      </c>
      <c r="F34" s="156">
        <f>VLOOKUP(C34,Mapping!E:M,7,FALSE)</f>
        <v>613</v>
      </c>
      <c r="G34" s="156">
        <f t="shared" si="10"/>
        <v>58916.352885226581</v>
      </c>
      <c r="H34" s="151">
        <f t="shared" si="7"/>
        <v>44420.132944539175</v>
      </c>
      <c r="I34" s="156">
        <f>(References!$D$73*H34)</f>
        <v>61.299783463464031</v>
      </c>
      <c r="J34" s="156">
        <f>I34/References!$H$64</f>
        <v>62.717192002725625</v>
      </c>
      <c r="K34" s="274">
        <v>76.48</v>
      </c>
      <c r="L34" s="274">
        <v>76.2</v>
      </c>
      <c r="M34" s="155">
        <f>IFERROR((J34/E34),0)</f>
        <v>0.65254614067109284</v>
      </c>
      <c r="N34" s="165">
        <f t="shared" si="8"/>
        <v>77.132546140671096</v>
      </c>
      <c r="O34" s="165">
        <f t="shared" si="2"/>
        <v>76.852546140671095</v>
      </c>
      <c r="P34" s="117">
        <f>(E34)*'DF Calculation'!K34</f>
        <v>7350.6079423525762</v>
      </c>
      <c r="Q34" s="117">
        <f>(E34)*'DF Calculation'!N34</f>
        <v>7413.3251343553011</v>
      </c>
      <c r="R34" s="117">
        <f t="shared" si="9"/>
        <v>62.717192002724914</v>
      </c>
      <c r="S34" s="159">
        <f>(((F34*$D$87)*(References!$D$73/References!$H$64)))-M34</f>
        <v>0</v>
      </c>
      <c r="T34" s="363"/>
      <c r="U34" s="159"/>
    </row>
    <row r="35" spans="1:21">
      <c r="A35" s="488"/>
      <c r="B35" s="152">
        <v>24.3</v>
      </c>
      <c r="C35" s="267" t="s">
        <v>802</v>
      </c>
      <c r="D35" s="355" t="s">
        <v>814</v>
      </c>
      <c r="E35" s="156">
        <f>SUMIFS(Mapping!N:N,Mapping!A:A,"JBLM",Mapping!E:E,'DF Calculation'!C35)-E34</f>
        <v>320.05131338956693</v>
      </c>
      <c r="F35" s="156">
        <f>VLOOKUP(C35,Mapping!E:M,7,FALSE)</f>
        <v>613</v>
      </c>
      <c r="G35" s="103">
        <f t="shared" si="6"/>
        <v>196191.45510780453</v>
      </c>
      <c r="H35" s="151">
        <f t="shared" si="7"/>
        <v>147919.04270531546</v>
      </c>
      <c r="I35" s="156">
        <f>(References!$D$73*H35)</f>
        <v>204.12827893333522</v>
      </c>
      <c r="J35" s="103">
        <f>I35/References!$H$64</f>
        <v>208.84824936907634</v>
      </c>
      <c r="K35" s="274">
        <v>51.22</v>
      </c>
      <c r="L35" s="274">
        <v>51.03</v>
      </c>
      <c r="M35" s="155">
        <f>IFERROR((J35/E35),0)</f>
        <v>0.65254614067109273</v>
      </c>
      <c r="N35" s="165">
        <f t="shared" si="8"/>
        <v>51.872546140671091</v>
      </c>
      <c r="O35" s="165">
        <f t="shared" si="2"/>
        <v>51.682546140671093</v>
      </c>
      <c r="P35" s="117">
        <f>(E35)*'DF Calculation'!K35</f>
        <v>16393.028271813619</v>
      </c>
      <c r="Q35" s="117">
        <f>(E35)*'DF Calculation'!N35</f>
        <v>16601.876521182694</v>
      </c>
      <c r="R35" s="117">
        <f t="shared" si="9"/>
        <v>208.84824936907535</v>
      </c>
      <c r="S35" s="159">
        <f>(((F35*$D$87)*(References!$D$73/References!$H$64)))-M35</f>
        <v>0</v>
      </c>
      <c r="T35" s="363"/>
      <c r="U35" s="159"/>
    </row>
    <row r="36" spans="1:21">
      <c r="A36" s="488"/>
      <c r="B36" s="152">
        <v>24.1</v>
      </c>
      <c r="C36" s="267" t="s">
        <v>189</v>
      </c>
      <c r="D36" s="266" t="str">
        <f>VLOOKUP(C36,Mapping!$E$4:$I$87,5,FALSE)</f>
        <v>65 Gallon Cart WG-R</v>
      </c>
      <c r="E36" s="156">
        <f>SUMIFS(Mapping!N:N,Mapping!A:A,"JBLM",Mapping!E:E,'DF Calculation'!C36)</f>
        <v>173846.08738410095</v>
      </c>
      <c r="F36" s="156">
        <f>VLOOKUP(C36,Mapping!E:M,7,FALSE)</f>
        <v>47</v>
      </c>
      <c r="G36" s="156">
        <f t="shared" ref="G36" si="11">E36*F36</f>
        <v>8170766.1070527444</v>
      </c>
      <c r="H36" s="151">
        <f t="shared" si="7"/>
        <v>6160369.7269086633</v>
      </c>
      <c r="I36" s="156">
        <f>(References!$D$73*H36)</f>
        <v>8501.3102231339508</v>
      </c>
      <c r="J36" s="156">
        <f>I36/References!$H$64</f>
        <v>8697.8823645733064</v>
      </c>
      <c r="K36" s="274">
        <v>22.25</v>
      </c>
      <c r="L36" s="274">
        <v>22.17</v>
      </c>
      <c r="M36" s="155">
        <f>IFERROR((J36/E36),0)*References!$C$11</f>
        <v>0.21680570524743753</v>
      </c>
      <c r="N36" s="165">
        <f t="shared" si="8"/>
        <v>22.466805705247438</v>
      </c>
      <c r="O36" s="165">
        <f t="shared" si="2"/>
        <v>22.38680570524744</v>
      </c>
      <c r="P36" s="117">
        <f>(E36/References!$C$11)*'DF Calculation'!K36</f>
        <v>892632.79483759531</v>
      </c>
      <c r="Q36" s="117">
        <f>(E36/References!$C$11)*'DF Calculation'!N36</f>
        <v>901330.67720216862</v>
      </c>
      <c r="R36" s="117">
        <f t="shared" si="9"/>
        <v>8697.8823645733064</v>
      </c>
      <c r="S36" s="159">
        <f>(((F36*$D$87)*(References!$D$73/References!$H$64))*References!$C$11)-M36</f>
        <v>0</v>
      </c>
      <c r="T36" s="363"/>
      <c r="U36" s="159"/>
    </row>
    <row r="37" spans="1:21">
      <c r="A37" s="488"/>
      <c r="B37" s="152">
        <v>24.1</v>
      </c>
      <c r="C37" s="268" t="s">
        <v>201</v>
      </c>
      <c r="D37" s="266" t="str">
        <f>VLOOKUP(C37,Mapping!$E$4:$I$87,5,FALSE)</f>
        <v>95 Gallon Cart WG-R</v>
      </c>
      <c r="E37" s="156">
        <f>SUMIFS(Mapping!N:N,Mapping!A:A,"JBLM",Mapping!E:E,'DF Calculation'!C37)</f>
        <v>45755.513810143319</v>
      </c>
      <c r="F37" s="156">
        <f>VLOOKUP(C37,Mapping!E:M,7,FALSE)</f>
        <v>68</v>
      </c>
      <c r="G37" s="103">
        <f t="shared" si="6"/>
        <v>3111374.9390897457</v>
      </c>
      <c r="H37" s="151">
        <f t="shared" si="7"/>
        <v>2345828.9874784476</v>
      </c>
      <c r="I37" s="156">
        <f>(References!$D$73*H37)</f>
        <v>3237.244002720256</v>
      </c>
      <c r="J37" s="103">
        <f>I37/References!$H$64</f>
        <v>3312.0974040518272</v>
      </c>
      <c r="K37" s="274">
        <v>29.12</v>
      </c>
      <c r="L37" s="274">
        <v>29.01</v>
      </c>
      <c r="M37" s="155">
        <f>IFERROR((J37/E37),0)*References!$C$11</f>
        <v>0.31367633950693097</v>
      </c>
      <c r="N37" s="165">
        <f t="shared" si="8"/>
        <v>29.433676339506931</v>
      </c>
      <c r="O37" s="165">
        <f t="shared" si="2"/>
        <v>29.323676339506932</v>
      </c>
      <c r="P37" s="117">
        <f>(E37/References!$C$11)*'DF Calculation'!K37</f>
        <v>307477.05280416313</v>
      </c>
      <c r="Q37" s="117">
        <f>(E37/References!$C$11)*'DF Calculation'!N37</f>
        <v>310789.15020821494</v>
      </c>
      <c r="R37" s="117">
        <f t="shared" si="9"/>
        <v>3312.0974040518049</v>
      </c>
      <c r="S37" s="159">
        <f>(((F37*$D$87)*(References!$D$73/References!$H$64))*References!$C$11)-M37</f>
        <v>0</v>
      </c>
      <c r="T37" s="363"/>
      <c r="U37" s="159"/>
    </row>
    <row r="38" spans="1:21" ht="15.75" thickBot="1">
      <c r="A38" s="127"/>
      <c r="B38" s="92"/>
      <c r="C38" s="206"/>
      <c r="D38" s="93" t="s">
        <v>13</v>
      </c>
      <c r="E38" s="130">
        <f>SUM(E32:E37)</f>
        <v>222879.00598703467</v>
      </c>
      <c r="F38" s="94"/>
      <c r="G38" s="130">
        <f>SUM(G32:G37)</f>
        <v>13940692.112193417</v>
      </c>
      <c r="H38" s="130">
        <f>SUM(H32:H37)</f>
        <v>10510620</v>
      </c>
      <c r="I38" s="130">
        <f>SUM(I32:I37)</f>
        <v>14504.655599999993</v>
      </c>
      <c r="J38" s="130">
        <f>SUM(J32:J37)</f>
        <v>14840.040515653765</v>
      </c>
      <c r="K38" s="85"/>
      <c r="L38" s="158"/>
      <c r="M38" s="85"/>
      <c r="N38" s="85"/>
      <c r="O38" s="158"/>
      <c r="P38" s="130">
        <f>SUM(P32:P37)</f>
        <v>1443284.9722507894</v>
      </c>
      <c r="Q38" s="130">
        <f>SUM(Q32:Q37)</f>
        <v>1458125.012766443</v>
      </c>
      <c r="R38" s="130">
        <f>SUM(R32:R37)</f>
        <v>14840.040515653774</v>
      </c>
      <c r="S38" s="84">
        <f>R38/P38</f>
        <v>1.0282127785554969E-2</v>
      </c>
      <c r="T38" s="156"/>
    </row>
    <row r="39" spans="1:21" ht="15" customHeight="1">
      <c r="A39" s="514" t="s">
        <v>11</v>
      </c>
      <c r="B39" s="270">
        <v>26</v>
      </c>
      <c r="C39" s="122" t="s">
        <v>312</v>
      </c>
      <c r="D39" s="266" t="str">
        <f>VLOOKUP(C39,Mapping!$E$4:$I$81,5,FALSE)</f>
        <v>Extra Yardage Extra</v>
      </c>
      <c r="E39" s="156">
        <f>SUMIFS(Mapping!N:N,Mapping!A:A,"Commercial",Mapping!E:E,'DF Calculation'!C39)</f>
        <v>501.95507020280814</v>
      </c>
      <c r="F39" s="156">
        <f>VLOOKUP(C39,Mapping!E:M,7,FALSE)</f>
        <v>125</v>
      </c>
      <c r="G39" s="156">
        <f>E39*F39</f>
        <v>62744.383775351016</v>
      </c>
      <c r="H39" s="151">
        <f t="shared" ref="H39:H73" si="12">$D$83*G39</f>
        <v>53518.980149358416</v>
      </c>
      <c r="I39" s="156">
        <f>(References!$D$61*H39)</f>
        <v>-55.124549553839337</v>
      </c>
      <c r="J39" s="156">
        <f>I39/References!$H$64</f>
        <v>-56.399170814241188</v>
      </c>
      <c r="K39" s="274">
        <v>32.229999999999997</v>
      </c>
      <c r="L39" s="274">
        <v>32.11</v>
      </c>
      <c r="M39" s="155">
        <f t="shared" ref="M39:M46" si="13">IFERROR((J39/E39),0)</f>
        <v>-0.11235900215422441</v>
      </c>
      <c r="N39" s="165">
        <f t="shared" ref="N39:N46" si="14">ROUND(M39+K39,2)</f>
        <v>32.119999999999997</v>
      </c>
      <c r="O39" s="165">
        <f t="shared" si="2"/>
        <v>31.997640997845775</v>
      </c>
      <c r="P39" s="117">
        <f>(E39)*K39</f>
        <v>16178.011912636504</v>
      </c>
      <c r="Q39" s="117">
        <f t="shared" ref="Q39:Q66" si="15">(E39)*N39</f>
        <v>16122.796854914197</v>
      </c>
      <c r="R39" s="117">
        <f t="shared" ref="R39:R73" si="16">Q39-P39</f>
        <v>-55.215057722307392</v>
      </c>
      <c r="S39" s="159">
        <f>((F39*$D$83)*(References!$D$61/References!$H$64))-M39</f>
        <v>0</v>
      </c>
      <c r="T39" s="156"/>
    </row>
    <row r="40" spans="1:21" ht="15" customHeight="1">
      <c r="A40" s="515"/>
      <c r="B40" s="270">
        <v>33</v>
      </c>
      <c r="C40" s="122" t="s">
        <v>211</v>
      </c>
      <c r="D40" s="356" t="s">
        <v>805</v>
      </c>
      <c r="E40" s="156">
        <f>SUMIFS(Mapping!N:N,Mapping!A:A,"Commercial",Mapping!E:E,'DF Calculation'!C40)/4.33</f>
        <v>16122.376315296795</v>
      </c>
      <c r="F40" s="156">
        <f>VLOOKUP(C40,Mapping!E:M,7,FALSE)</f>
        <v>175</v>
      </c>
      <c r="G40" s="156">
        <f>E40*F40</f>
        <v>2821415.8551769392</v>
      </c>
      <c r="H40" s="151">
        <f t="shared" si="12"/>
        <v>2406578.7256264267</v>
      </c>
      <c r="I40" s="156">
        <f>(References!$D$61*H40)</f>
        <v>-2478.776087395227</v>
      </c>
      <c r="J40" s="156">
        <f>I40/References!$H$64</f>
        <v>-2536.0917611983086</v>
      </c>
      <c r="K40" s="274">
        <v>31.95</v>
      </c>
      <c r="L40" s="274">
        <v>31.83</v>
      </c>
      <c r="M40" s="155">
        <f t="shared" si="13"/>
        <v>-0.15730260301591417</v>
      </c>
      <c r="N40" s="165">
        <f t="shared" si="14"/>
        <v>31.79</v>
      </c>
      <c r="O40" s="165">
        <f t="shared" si="2"/>
        <v>31.672697396984084</v>
      </c>
      <c r="P40" s="117">
        <f>(E40)*K40</f>
        <v>515109.92327373259</v>
      </c>
      <c r="Q40" s="117">
        <f t="shared" si="15"/>
        <v>512530.34306328511</v>
      </c>
      <c r="R40" s="117">
        <f t="shared" si="16"/>
        <v>-2579.580210447486</v>
      </c>
      <c r="S40" s="159">
        <f>((F40*$D$83)*(References!$D$61/References!$H$64))-M40</f>
        <v>0</v>
      </c>
      <c r="T40" s="156"/>
    </row>
    <row r="41" spans="1:21" ht="15" customHeight="1">
      <c r="A41" s="515"/>
      <c r="B41" s="270">
        <v>33</v>
      </c>
      <c r="C41" s="122" t="s">
        <v>211</v>
      </c>
      <c r="D41" s="355" t="s">
        <v>806</v>
      </c>
      <c r="E41" s="156">
        <f>SUMIFS(Mapping!N:N,Mapping!A:A,"Commercial",Mapping!E:E,'DF Calculation'!C41)-E40</f>
        <v>53687.513129938328</v>
      </c>
      <c r="F41" s="156">
        <f>VLOOKUP(C41,Mapping!E:M,7,FALSE)</f>
        <v>175</v>
      </c>
      <c r="G41" s="156">
        <f>E41*F41</f>
        <v>9395314.7977392077</v>
      </c>
      <c r="H41" s="151">
        <f t="shared" si="12"/>
        <v>8013907.1563360021</v>
      </c>
      <c r="I41" s="156">
        <f>(References!$D$61*H41)</f>
        <v>-8254.3243710261067</v>
      </c>
      <c r="J41" s="156">
        <f>I41/References!$H$64</f>
        <v>-8445.1855647903685</v>
      </c>
      <c r="K41" s="274">
        <v>18.84</v>
      </c>
      <c r="L41" s="274">
        <v>18.77</v>
      </c>
      <c r="M41" s="155">
        <f t="shared" si="13"/>
        <v>-0.15730260301591417</v>
      </c>
      <c r="N41" s="165">
        <f t="shared" si="14"/>
        <v>18.68</v>
      </c>
      <c r="O41" s="165">
        <f t="shared" si="2"/>
        <v>18.612697396984085</v>
      </c>
      <c r="P41" s="117">
        <f>(E41)*K41</f>
        <v>1011472.747368038</v>
      </c>
      <c r="Q41" s="117">
        <f t="shared" si="15"/>
        <v>1002882.745267248</v>
      </c>
      <c r="R41" s="117">
        <f t="shared" si="16"/>
        <v>-8590.0021007900359</v>
      </c>
      <c r="S41" s="159">
        <f>((F41*$D$83)*(References!$D$61/References!$H$64))-M41</f>
        <v>0</v>
      </c>
      <c r="T41" s="156"/>
    </row>
    <row r="42" spans="1:21">
      <c r="A42" s="515"/>
      <c r="B42" s="270">
        <v>33</v>
      </c>
      <c r="C42" s="122" t="s">
        <v>468</v>
      </c>
      <c r="D42" s="266" t="str">
        <f>VLOOKUP(C42,Mapping!$E$4:$I$81,5,FALSE)</f>
        <v>1 yard Special</v>
      </c>
      <c r="E42" s="156">
        <f>SUMIFS(Mapping!N:N,Mapping!A:A,"Commercial",Mapping!E:E,'DF Calculation'!C42)</f>
        <v>79.641826918254125</v>
      </c>
      <c r="F42" s="156">
        <f>VLOOKUP(C42,Mapping!E:M,7,FALSE)</f>
        <v>175</v>
      </c>
      <c r="G42" s="156">
        <f>E42*F42</f>
        <v>13937.319710694472</v>
      </c>
      <c r="H42" s="151">
        <f t="shared" si="12"/>
        <v>11888.094073926481</v>
      </c>
      <c r="I42" s="156">
        <f>(References!$D$61*H42)</f>
        <v>-12.244736896144312</v>
      </c>
      <c r="J42" s="156">
        <f>I42/References!$H$64</f>
        <v>-12.527866683184277</v>
      </c>
      <c r="K42" s="274">
        <v>63.96</v>
      </c>
      <c r="L42" s="274">
        <v>63.72</v>
      </c>
      <c r="M42" s="155">
        <f t="shared" si="13"/>
        <v>-0.15730260301591417</v>
      </c>
      <c r="N42" s="165">
        <f t="shared" si="14"/>
        <v>63.8</v>
      </c>
      <c r="O42" s="165">
        <f t="shared" si="2"/>
        <v>63.562697396984085</v>
      </c>
      <c r="P42" s="117">
        <f>(E42)*K42</f>
        <v>5093.8912496915336</v>
      </c>
      <c r="Q42" s="117">
        <f t="shared" si="15"/>
        <v>5081.148557384613</v>
      </c>
      <c r="R42" s="117">
        <f t="shared" si="16"/>
        <v>-12.742692306920617</v>
      </c>
      <c r="S42" s="159">
        <f>((F42*$D$83)*(References!$D$61/References!$H$64))-M42</f>
        <v>0</v>
      </c>
      <c r="T42" s="156"/>
    </row>
    <row r="43" spans="1:21" ht="15" customHeight="1">
      <c r="A43" s="515"/>
      <c r="B43" s="270">
        <v>33</v>
      </c>
      <c r="C43" s="122" t="s">
        <v>296</v>
      </c>
      <c r="D43" s="266" t="str">
        <f>VLOOKUP(C43,Mapping!$E$4:$I$81,5,FALSE)</f>
        <v>1 yard Temp</v>
      </c>
      <c r="E43" s="156">
        <f>SUMIFS(Mapping!N:N,Mapping!A:A,"Commercial",Mapping!E:E,'DF Calculation'!C43)</f>
        <v>122</v>
      </c>
      <c r="F43" s="156">
        <f>VLOOKUP(C43,Mapping!E:M,7,FALSE)</f>
        <v>175</v>
      </c>
      <c r="G43" s="156">
        <f t="shared" si="6"/>
        <v>21350</v>
      </c>
      <c r="H43" s="151">
        <f t="shared" si="12"/>
        <v>18210.876534860188</v>
      </c>
      <c r="I43" s="156">
        <f>(References!$D$61*H43)</f>
        <v>-18.757202830906049</v>
      </c>
      <c r="J43" s="156">
        <f>I43/References!$H$64</f>
        <v>-19.190917567941526</v>
      </c>
      <c r="K43" s="274">
        <v>23.62</v>
      </c>
      <c r="L43" s="274">
        <v>23.53</v>
      </c>
      <c r="M43" s="155">
        <f t="shared" si="13"/>
        <v>-0.15730260301591414</v>
      </c>
      <c r="N43" s="165">
        <f t="shared" si="14"/>
        <v>23.46</v>
      </c>
      <c r="O43" s="165">
        <f t="shared" si="2"/>
        <v>23.372697396984087</v>
      </c>
      <c r="P43" s="117">
        <f>(E43)*K43</f>
        <v>2881.6400000000003</v>
      </c>
      <c r="Q43" s="117">
        <f t="shared" si="15"/>
        <v>2862.12</v>
      </c>
      <c r="R43" s="117">
        <f t="shared" si="16"/>
        <v>-19.520000000000437</v>
      </c>
      <c r="S43" s="159">
        <f>((F43*$D$83)*(References!$D$61/References!$H$64))-M43</f>
        <v>0</v>
      </c>
      <c r="T43" s="156"/>
    </row>
    <row r="44" spans="1:21">
      <c r="A44" s="515"/>
      <c r="B44" s="270">
        <v>33</v>
      </c>
      <c r="C44" s="122" t="s">
        <v>217</v>
      </c>
      <c r="D44" s="356" t="s">
        <v>807</v>
      </c>
      <c r="E44" s="156">
        <f>SUMIFS(Mapping!N:N,Mapping!A:A,"Commercial",Mapping!E:E,'DF Calculation'!C44)/4.33</f>
        <v>3959.533992731363</v>
      </c>
      <c r="F44" s="156">
        <f>VLOOKUP(C44,Mapping!E:M,7,FALSE)</f>
        <v>250</v>
      </c>
      <c r="G44" s="156">
        <f t="shared" ref="G44" si="17">E44*F44</f>
        <v>989883.49818284076</v>
      </c>
      <c r="H44" s="151">
        <f t="shared" si="12"/>
        <v>844339.39903059544</v>
      </c>
      <c r="I44" s="156">
        <f>(References!$D$61*H44)</f>
        <v>-869.66958100151589</v>
      </c>
      <c r="J44" s="156">
        <f>I44/References!$H$64</f>
        <v>-889.77857683805587</v>
      </c>
      <c r="K44" s="274">
        <v>43.72</v>
      </c>
      <c r="L44" s="274">
        <v>43.56</v>
      </c>
      <c r="M44" s="155">
        <f t="shared" si="13"/>
        <v>-0.22471800430844879</v>
      </c>
      <c r="N44" s="165">
        <f t="shared" si="14"/>
        <v>43.5</v>
      </c>
      <c r="O44" s="165">
        <f t="shared" si="2"/>
        <v>43.335281995691552</v>
      </c>
      <c r="P44" s="117">
        <f t="shared" ref="P44" si="18">(E44)*K44</f>
        <v>173110.82616221518</v>
      </c>
      <c r="Q44" s="117">
        <f t="shared" si="15"/>
        <v>172239.72868381429</v>
      </c>
      <c r="R44" s="117">
        <f t="shared" si="16"/>
        <v>-871.09747840088676</v>
      </c>
      <c r="S44" s="159">
        <f>((F44*$D$83)*(References!$D$61/References!$H$64))-M44</f>
        <v>0</v>
      </c>
      <c r="T44" s="156"/>
    </row>
    <row r="45" spans="1:21">
      <c r="A45" s="515"/>
      <c r="B45" s="270">
        <v>33</v>
      </c>
      <c r="C45" s="122" t="s">
        <v>217</v>
      </c>
      <c r="D45" s="355" t="s">
        <v>808</v>
      </c>
      <c r="E45" s="156">
        <f>SUMIFS(Mapping!N:N,Mapping!A:A,"Commercial",Mapping!E:E,'DF Calculation'!C45)-E44</f>
        <v>13185.248195795439</v>
      </c>
      <c r="F45" s="156">
        <f>VLOOKUP(C45,Mapping!E:M,7,FALSE)</f>
        <v>250</v>
      </c>
      <c r="G45" s="156">
        <f t="shared" si="6"/>
        <v>3296312.0489488598</v>
      </c>
      <c r="H45" s="151">
        <f t="shared" si="12"/>
        <v>2811650.1987718828</v>
      </c>
      <c r="I45" s="156">
        <f>(References!$D$61*H45)</f>
        <v>-2895.999704735048</v>
      </c>
      <c r="J45" s="156">
        <f>I45/References!$H$64</f>
        <v>-2962.9626608707263</v>
      </c>
      <c r="K45" s="274">
        <v>25.83</v>
      </c>
      <c r="L45" s="274">
        <v>25.73</v>
      </c>
      <c r="M45" s="155">
        <f t="shared" si="13"/>
        <v>-0.22471800430844882</v>
      </c>
      <c r="N45" s="165">
        <f t="shared" si="14"/>
        <v>25.61</v>
      </c>
      <c r="O45" s="165">
        <f t="shared" si="2"/>
        <v>25.505281995691551</v>
      </c>
      <c r="P45" s="117">
        <f t="shared" ref="P45:P66" si="19">(E45)*K45</f>
        <v>340574.96089739614</v>
      </c>
      <c r="Q45" s="117">
        <f t="shared" si="15"/>
        <v>337674.20629432116</v>
      </c>
      <c r="R45" s="117">
        <f t="shared" si="16"/>
        <v>-2900.75460307498</v>
      </c>
      <c r="S45" s="159">
        <f>((F45*$D$83)*(References!$D$61/References!$H$64))-M45</f>
        <v>0</v>
      </c>
      <c r="T45" s="156"/>
    </row>
    <row r="46" spans="1:21">
      <c r="A46" s="515"/>
      <c r="B46" s="270">
        <v>33</v>
      </c>
      <c r="C46" s="122" t="s">
        <v>466</v>
      </c>
      <c r="D46" s="266" t="str">
        <f>VLOOKUP(C46,Mapping!$E$4:$I$81,5,FALSE)</f>
        <v>1.5 yard Special</v>
      </c>
      <c r="E46" s="156">
        <f>SUMIFS(Mapping!N:N,Mapping!A:A,"Commercial",Mapping!E:E,'DF Calculation'!C46)</f>
        <v>30.99436063724799</v>
      </c>
      <c r="F46" s="156">
        <f>VLOOKUP(C46,Mapping!E:M,7,FALSE)</f>
        <v>250</v>
      </c>
      <c r="G46" s="156">
        <f>E46*F46</f>
        <v>7748.590159311997</v>
      </c>
      <c r="H46" s="151">
        <f t="shared" si="12"/>
        <v>6609.3029840966474</v>
      </c>
      <c r="I46" s="156">
        <f>(References!$D$61*H46)</f>
        <v>-6.8075820736195674</v>
      </c>
      <c r="J46" s="156">
        <f>I46/References!$H$64</f>
        <v>-6.9649908672187095</v>
      </c>
      <c r="K46" s="274">
        <v>71.31</v>
      </c>
      <c r="L46" s="274">
        <v>71.05</v>
      </c>
      <c r="M46" s="155">
        <f t="shared" si="13"/>
        <v>-0.22471800430844879</v>
      </c>
      <c r="N46" s="165">
        <f t="shared" si="14"/>
        <v>71.09</v>
      </c>
      <c r="O46" s="165">
        <f t="shared" si="2"/>
        <v>70.825281995691554</v>
      </c>
      <c r="P46" s="117">
        <f>(E46)*K46</f>
        <v>2210.207857042154</v>
      </c>
      <c r="Q46" s="117">
        <f t="shared" si="15"/>
        <v>2203.3890977019596</v>
      </c>
      <c r="R46" s="117">
        <f t="shared" si="16"/>
        <v>-6.8187593401944468</v>
      </c>
      <c r="S46" s="159">
        <f>((F46*$D$83)*(References!$D$61/References!$H$64))-M46</f>
        <v>0</v>
      </c>
      <c r="T46" s="156"/>
    </row>
    <row r="47" spans="1:21">
      <c r="A47" s="515"/>
      <c r="B47" s="270">
        <v>33</v>
      </c>
      <c r="C47" s="122" t="s">
        <v>298</v>
      </c>
      <c r="D47" s="266" t="str">
        <f>VLOOKUP(C47,Mapping!$E$4:$I$81,5,FALSE)</f>
        <v>1.5 yard Temp</v>
      </c>
      <c r="E47" s="156">
        <f>SUMIFS(Mapping!N:N,Mapping!A:A,"Commercial",Mapping!E:E,'DF Calculation'!C47)</f>
        <v>435.96550622804216</v>
      </c>
      <c r="F47" s="156">
        <f>VLOOKUP(C47,Mapping!E:M,7,FALSE)</f>
        <v>250</v>
      </c>
      <c r="G47" s="156">
        <f>E47*F47</f>
        <v>108991.37655701055</v>
      </c>
      <c r="H47" s="151">
        <f t="shared" si="12"/>
        <v>92966.20617537116</v>
      </c>
      <c r="I47" s="156">
        <f>(References!$D$61*H47)</f>
        <v>-95.755192360632591</v>
      </c>
      <c r="J47" s="156">
        <f>I47/References!$H$64</f>
        <v>-97.969298506888265</v>
      </c>
      <c r="K47" s="274">
        <v>31.55</v>
      </c>
      <c r="L47" s="274">
        <v>31.43</v>
      </c>
      <c r="M47" s="155">
        <f t="shared" ref="M47:M66" si="20">IFERROR((J47/E47),0)</f>
        <v>-0.22471800430844885</v>
      </c>
      <c r="N47" s="165">
        <f t="shared" ref="N47:N67" si="21">ROUND(M47+K47,2)</f>
        <v>31.33</v>
      </c>
      <c r="O47" s="165">
        <f t="shared" si="2"/>
        <v>31.20528199569155</v>
      </c>
      <c r="P47" s="117">
        <f t="shared" si="19"/>
        <v>13754.71172149473</v>
      </c>
      <c r="Q47" s="117">
        <f t="shared" si="15"/>
        <v>13658.799310124559</v>
      </c>
      <c r="R47" s="117">
        <f t="shared" si="16"/>
        <v>-95.912411370170958</v>
      </c>
      <c r="S47" s="159">
        <f>((F47*$D$83)*(References!$D$61/References!$H$64))-M47</f>
        <v>0</v>
      </c>
      <c r="T47" s="156"/>
    </row>
    <row r="48" spans="1:21">
      <c r="A48" s="515"/>
      <c r="B48" s="270">
        <v>33</v>
      </c>
      <c r="C48" s="122" t="s">
        <v>223</v>
      </c>
      <c r="D48" s="356" t="s">
        <v>810</v>
      </c>
      <c r="E48" s="156">
        <f>SUMIFS(Mapping!N:N,Mapping!A:A,"Commercial",Mapping!E:E,'DF Calculation'!C48)/4.33</f>
        <v>6459.2829235798517</v>
      </c>
      <c r="F48" s="156">
        <f>VLOOKUP(C48,Mapping!E:M,7,FALSE)</f>
        <v>324</v>
      </c>
      <c r="G48" s="156">
        <f t="shared" ref="G48" si="22">E48*F48</f>
        <v>2092807.667239872</v>
      </c>
      <c r="H48" s="151">
        <f t="shared" si="12"/>
        <v>1785098.9245580363</v>
      </c>
      <c r="I48" s="156">
        <f>(References!$D$61*H48)</f>
        <v>-1838.651892294783</v>
      </c>
      <c r="J48" s="156">
        <f>I48/References!$H$64</f>
        <v>-1881.1662495342571</v>
      </c>
      <c r="K48" s="274">
        <v>52.96</v>
      </c>
      <c r="L48" s="274">
        <v>52.76</v>
      </c>
      <c r="M48" s="155">
        <f t="shared" ref="M48" si="23">IFERROR((J48/E48),0)</f>
        <v>-0.29123453358374968</v>
      </c>
      <c r="N48" s="165">
        <f t="shared" ref="N48" si="24">ROUND(M48+K48,2)</f>
        <v>52.67</v>
      </c>
      <c r="O48" s="165">
        <f t="shared" si="2"/>
        <v>52.468765466416251</v>
      </c>
      <c r="P48" s="117">
        <f t="shared" ref="P48" si="25">(E48)*K48</f>
        <v>342083.62363278895</v>
      </c>
      <c r="Q48" s="117">
        <f t="shared" si="15"/>
        <v>340210.43158495083</v>
      </c>
      <c r="R48" s="117">
        <f t="shared" si="16"/>
        <v>-1873.1920478381217</v>
      </c>
      <c r="S48" s="159">
        <f>((F48*$D$83)*(References!$D$61/References!$H$64))-M48</f>
        <v>0</v>
      </c>
      <c r="T48" s="156"/>
    </row>
    <row r="49" spans="1:20">
      <c r="A49" s="515"/>
      <c r="B49" s="270">
        <v>33</v>
      </c>
      <c r="C49" s="122" t="s">
        <v>223</v>
      </c>
      <c r="D49" s="355" t="s">
        <v>809</v>
      </c>
      <c r="E49" s="156">
        <f>SUMIFS(Mapping!N:N,Mapping!A:A,"Commercial",Mapping!E:E,'DF Calculation'!C49)-E48</f>
        <v>21509.412135520906</v>
      </c>
      <c r="F49" s="156">
        <f>VLOOKUP(C49,Mapping!E:M,7,FALSE)</f>
        <v>324</v>
      </c>
      <c r="G49" s="156">
        <f t="shared" si="6"/>
        <v>6969049.5319087738</v>
      </c>
      <c r="H49" s="151">
        <f t="shared" si="12"/>
        <v>5944379.4187782612</v>
      </c>
      <c r="I49" s="156">
        <f>(References!$D$61*H49)</f>
        <v>-6122.7108013416273</v>
      </c>
      <c r="J49" s="156">
        <f>I49/References!$H$64</f>
        <v>-6264.2836109490763</v>
      </c>
      <c r="K49" s="274">
        <v>34</v>
      </c>
      <c r="L49" s="274">
        <v>33.869999999999997</v>
      </c>
      <c r="M49" s="155">
        <f t="shared" si="20"/>
        <v>-0.29123453358374968</v>
      </c>
      <c r="N49" s="165">
        <f t="shared" si="21"/>
        <v>33.71</v>
      </c>
      <c r="O49" s="165">
        <f t="shared" si="2"/>
        <v>33.57876546641625</v>
      </c>
      <c r="P49" s="117">
        <f t="shared" si="19"/>
        <v>731320.01260771079</v>
      </c>
      <c r="Q49" s="117">
        <f t="shared" si="15"/>
        <v>725082.28308840981</v>
      </c>
      <c r="R49" s="117">
        <f t="shared" si="16"/>
        <v>-6237.7295193009777</v>
      </c>
      <c r="S49" s="159">
        <f>((F49*$D$83)*(References!$D$61/References!$H$64))-M49</f>
        <v>0</v>
      </c>
      <c r="T49" s="156"/>
    </row>
    <row r="50" spans="1:20">
      <c r="A50" s="515"/>
      <c r="B50" s="270">
        <v>33</v>
      </c>
      <c r="C50" s="122" t="s">
        <v>470</v>
      </c>
      <c r="D50" s="266" t="str">
        <f>VLOOKUP(C50,Mapping!$E$4:$I$81,5,FALSE)</f>
        <v>2 yard Special</v>
      </c>
      <c r="E50" s="156">
        <f>SUMIFS(Mapping!N:N,Mapping!A:A,"Commercial",Mapping!E:E,'DF Calculation'!C50)</f>
        <v>67.002782696686054</v>
      </c>
      <c r="F50" s="156">
        <f>VLOOKUP(C50,Mapping!E:M,7,FALSE)</f>
        <v>324</v>
      </c>
      <c r="G50" s="156">
        <f>E50*F50</f>
        <v>21708.901593726281</v>
      </c>
      <c r="H50" s="151">
        <f t="shared" si="12"/>
        <v>18517.008273104399</v>
      </c>
      <c r="I50" s="156">
        <f>(References!$D$61*H50)</f>
        <v>-19.072518521297589</v>
      </c>
      <c r="J50" s="156">
        <f>I50/References!$H$64</f>
        <v>-19.513524167482696</v>
      </c>
      <c r="K50" s="274">
        <v>79.73</v>
      </c>
      <c r="L50" s="274">
        <v>79.44</v>
      </c>
      <c r="M50" s="155">
        <f>IFERROR((J50/E50),0)</f>
        <v>-0.29123453358374968</v>
      </c>
      <c r="N50" s="165">
        <f>ROUND(M50+K50,2)</f>
        <v>79.44</v>
      </c>
      <c r="O50" s="165">
        <f t="shared" si="2"/>
        <v>79.148765466416251</v>
      </c>
      <c r="P50" s="117">
        <f>(E50)*K50</f>
        <v>5342.1318644067796</v>
      </c>
      <c r="Q50" s="117">
        <f t="shared" si="15"/>
        <v>5322.7010574247397</v>
      </c>
      <c r="R50" s="117">
        <f t="shared" si="16"/>
        <v>-19.43080698203994</v>
      </c>
      <c r="S50" s="159">
        <f>((F50*$D$83)*(References!$D$61/References!$H$64))-M50</f>
        <v>0</v>
      </c>
      <c r="T50" s="156"/>
    </row>
    <row r="51" spans="1:20">
      <c r="A51" s="515"/>
      <c r="B51" s="270">
        <v>33</v>
      </c>
      <c r="C51" s="122" t="s">
        <v>300</v>
      </c>
      <c r="D51" s="266" t="str">
        <f>VLOOKUP(C51,Mapping!$E$4:$I$81,5,FALSE)</f>
        <v>2 yard Temp</v>
      </c>
      <c r="E51" s="156">
        <f>SUMIFS(Mapping!N:N,Mapping!A:A,"Commercial",Mapping!E:E,'DF Calculation'!C51)</f>
        <v>1572.9242470643378</v>
      </c>
      <c r="F51" s="156">
        <f>VLOOKUP(C51,Mapping!E:M,7,FALSE)</f>
        <v>324</v>
      </c>
      <c r="G51" s="156">
        <f t="shared" si="6"/>
        <v>509627.45604884543</v>
      </c>
      <c r="H51" s="151">
        <f t="shared" si="12"/>
        <v>434696.14430353214</v>
      </c>
      <c r="I51" s="156">
        <f>(References!$D$61*H51)</f>
        <v>-447.73702863263946</v>
      </c>
      <c r="J51" s="156">
        <f>I51/References!$H$64</f>
        <v>-458.089859456353</v>
      </c>
      <c r="K51" s="274">
        <v>38.5</v>
      </c>
      <c r="L51" s="274">
        <v>38.36</v>
      </c>
      <c r="M51" s="155">
        <f t="shared" si="20"/>
        <v>-0.29123453358374962</v>
      </c>
      <c r="N51" s="165">
        <f t="shared" si="21"/>
        <v>38.21</v>
      </c>
      <c r="O51" s="165">
        <f t="shared" si="2"/>
        <v>38.068765466416252</v>
      </c>
      <c r="P51" s="117">
        <f t="shared" si="19"/>
        <v>60557.583511977005</v>
      </c>
      <c r="Q51" s="117">
        <f t="shared" si="15"/>
        <v>60101.43548032835</v>
      </c>
      <c r="R51" s="117">
        <f t="shared" si="16"/>
        <v>-456.14803164865589</v>
      </c>
      <c r="S51" s="159">
        <f>((F51*$D$83)*(References!$D$61/References!$H$64))-M51</f>
        <v>0</v>
      </c>
      <c r="T51" s="156"/>
    </row>
    <row r="52" spans="1:20">
      <c r="A52" s="515"/>
      <c r="B52" s="270">
        <v>33</v>
      </c>
      <c r="C52" s="122" t="s">
        <v>229</v>
      </c>
      <c r="D52" s="356" t="s">
        <v>811</v>
      </c>
      <c r="E52" s="156">
        <f>SUMIFS(Mapping!N:N,Mapping!A:A,"Commercial",Mapping!E:E,'DF Calculation'!C52)/4.33</f>
        <v>2120.9785209370648</v>
      </c>
      <c r="F52" s="156">
        <f>VLOOKUP(C52,Mapping!E:M,7,FALSE)</f>
        <v>473</v>
      </c>
      <c r="G52" s="156">
        <f t="shared" ref="G52" si="26">E52*F52</f>
        <v>1003222.8404032317</v>
      </c>
      <c r="H52" s="151">
        <f t="shared" si="12"/>
        <v>855717.43716791563</v>
      </c>
      <c r="I52" s="156">
        <f>(References!$D$61*H52)</f>
        <v>-881.38896028295574</v>
      </c>
      <c r="J52" s="156">
        <f>I52/References!$H$64</f>
        <v>-901.76893828827065</v>
      </c>
      <c r="K52" s="274">
        <v>71.900000000000006</v>
      </c>
      <c r="L52" s="274">
        <v>71.63</v>
      </c>
      <c r="M52" s="155">
        <f t="shared" ref="M52" si="27">IFERROR((J52/E52),0)</f>
        <v>-0.42516646415158516</v>
      </c>
      <c r="N52" s="165">
        <f t="shared" ref="N52" si="28">ROUND(M52+K52,2)</f>
        <v>71.47</v>
      </c>
      <c r="O52" s="165">
        <f t="shared" si="2"/>
        <v>71.204833535848408</v>
      </c>
      <c r="P52" s="117">
        <f t="shared" ref="P52" si="29">(E52)*K52</f>
        <v>152498.35565537497</v>
      </c>
      <c r="Q52" s="117">
        <f t="shared" si="15"/>
        <v>151586.33489137201</v>
      </c>
      <c r="R52" s="117">
        <f t="shared" si="16"/>
        <v>-912.02076400295482</v>
      </c>
      <c r="S52" s="159">
        <f>((F52*$D$83)*(References!$D$61/References!$H$64))-M52</f>
        <v>0</v>
      </c>
      <c r="T52" s="156"/>
    </row>
    <row r="53" spans="1:20">
      <c r="A53" s="515"/>
      <c r="B53" s="270">
        <v>33</v>
      </c>
      <c r="C53" s="122" t="s">
        <v>229</v>
      </c>
      <c r="D53" s="355" t="s">
        <v>812</v>
      </c>
      <c r="E53" s="156">
        <f>SUMIFS(Mapping!N:N,Mapping!A:A,"Commercial",Mapping!E:E,'DF Calculation'!C53)-E52</f>
        <v>7062.8584747204268</v>
      </c>
      <c r="F53" s="156">
        <f>VLOOKUP(C53,Mapping!E:M,7,FALSE)</f>
        <v>473</v>
      </c>
      <c r="G53" s="156">
        <f t="shared" si="6"/>
        <v>3340732.058542762</v>
      </c>
      <c r="H53" s="151">
        <f t="shared" si="12"/>
        <v>2849539.0657691597</v>
      </c>
      <c r="I53" s="156">
        <f>(References!$D$61*H53)</f>
        <v>-2935.0252377422435</v>
      </c>
      <c r="J53" s="156">
        <f>I53/References!$H$64</f>
        <v>-3002.8905644999422</v>
      </c>
      <c r="K53" s="274">
        <v>48.21</v>
      </c>
      <c r="L53" s="274">
        <v>48.03</v>
      </c>
      <c r="M53" s="155">
        <f t="shared" si="20"/>
        <v>-0.42516646415158521</v>
      </c>
      <c r="N53" s="165">
        <f t="shared" si="21"/>
        <v>47.78</v>
      </c>
      <c r="O53" s="165">
        <f t="shared" si="2"/>
        <v>47.604833535848414</v>
      </c>
      <c r="P53" s="117">
        <f t="shared" si="19"/>
        <v>340500.40706627176</v>
      </c>
      <c r="Q53" s="117">
        <f t="shared" si="15"/>
        <v>337463.37792214198</v>
      </c>
      <c r="R53" s="117">
        <f t="shared" si="16"/>
        <v>-3037.0291441297741</v>
      </c>
      <c r="S53" s="159">
        <f>((F53*$D$83)*(References!$D$61/References!$H$64))-M53</f>
        <v>0</v>
      </c>
      <c r="T53" s="156"/>
    </row>
    <row r="54" spans="1:20">
      <c r="A54" s="515"/>
      <c r="B54" s="270">
        <v>33</v>
      </c>
      <c r="C54" s="122" t="s">
        <v>472</v>
      </c>
      <c r="D54" s="266" t="str">
        <f>VLOOKUP(C54,Mapping!$E$4:$I$81,5,FALSE)</f>
        <v>3 yard Special</v>
      </c>
      <c r="E54" s="156">
        <f>SUMIFS(Mapping!N:N,Mapping!A:A,"Commercial",Mapping!E:E,'DF Calculation'!C54)</f>
        <v>23.994556934465493</v>
      </c>
      <c r="F54" s="156">
        <f>VLOOKUP(C54,Mapping!E:M,7,FALSE)</f>
        <v>473</v>
      </c>
      <c r="G54" s="156">
        <f>E54*F54</f>
        <v>11349.425430002178</v>
      </c>
      <c r="H54" s="151">
        <f t="shared" si="12"/>
        <v>9680.7018851228186</v>
      </c>
      <c r="I54" s="156">
        <f>(References!$D$61*H54)</f>
        <v>-9.9711229416765335</v>
      </c>
      <c r="J54" s="156">
        <f>I54/References!$H$64</f>
        <v>-10.201680930710593</v>
      </c>
      <c r="K54" s="274">
        <v>92.43</v>
      </c>
      <c r="L54" s="274">
        <v>92.09</v>
      </c>
      <c r="M54" s="155">
        <f>IFERROR((J54/E54),0)</f>
        <v>-0.42516646415158521</v>
      </c>
      <c r="N54" s="165">
        <f>ROUND(M54+K54,2)</f>
        <v>92</v>
      </c>
      <c r="O54" s="165">
        <f t="shared" si="2"/>
        <v>91.664833535848416</v>
      </c>
      <c r="P54" s="117">
        <f>(E54)*K54</f>
        <v>2217.8168974526457</v>
      </c>
      <c r="Q54" s="117">
        <f t="shared" si="15"/>
        <v>2207.4992379708256</v>
      </c>
      <c r="R54" s="117">
        <f t="shared" si="16"/>
        <v>-10.317659481820101</v>
      </c>
      <c r="S54" s="159">
        <f>((F54*$D$83)*(References!$D$61/References!$H$64))-M54</f>
        <v>0</v>
      </c>
      <c r="T54" s="156"/>
    </row>
    <row r="55" spans="1:20">
      <c r="A55" s="515"/>
      <c r="B55" s="270">
        <v>33</v>
      </c>
      <c r="C55" s="122" t="s">
        <v>235</v>
      </c>
      <c r="D55" s="356" t="s">
        <v>813</v>
      </c>
      <c r="E55" s="156">
        <f>SUMIFS(Mapping!N:N,Mapping!A:A,"Commercial",Mapping!E:E,'DF Calculation'!C55)/4.33</f>
        <v>3134.0436720250177</v>
      </c>
      <c r="F55" s="156">
        <f>VLOOKUP(C55,Mapping!E:M,7,FALSE)</f>
        <v>613</v>
      </c>
      <c r="G55" s="156">
        <f>E55*F55</f>
        <v>1921168.7709513358</v>
      </c>
      <c r="H55" s="151">
        <f t="shared" si="12"/>
        <v>1638696.360207207</v>
      </c>
      <c r="I55" s="156">
        <f>(References!$D$61*H55)</f>
        <v>-1687.8572510134284</v>
      </c>
      <c r="J55" s="156">
        <f>I55/References!$H$64</f>
        <v>-1726.8848485915985</v>
      </c>
      <c r="K55" s="274">
        <v>90.04</v>
      </c>
      <c r="L55" s="274">
        <v>89.71</v>
      </c>
      <c r="M55" s="155">
        <f t="shared" ref="M55" si="30">IFERROR((J55/E55),0)</f>
        <v>-0.55100854656431653</v>
      </c>
      <c r="N55" s="165">
        <f t="shared" ref="N55" si="31">ROUND(M55+K55,2)</f>
        <v>89.49</v>
      </c>
      <c r="O55" s="165">
        <f t="shared" si="2"/>
        <v>89.158991453435675</v>
      </c>
      <c r="P55" s="117">
        <f t="shared" ref="P55" si="32">(E55)*K55</f>
        <v>282189.29222913261</v>
      </c>
      <c r="Q55" s="117">
        <f t="shared" si="15"/>
        <v>280465.56820951879</v>
      </c>
      <c r="R55" s="117">
        <f t="shared" si="16"/>
        <v>-1723.7240196138155</v>
      </c>
      <c r="S55" s="159">
        <f>((F55*$D$83)*(References!$D$61/References!$H$64))-M55</f>
        <v>0</v>
      </c>
      <c r="T55" s="156"/>
    </row>
    <row r="56" spans="1:20">
      <c r="A56" s="515"/>
      <c r="B56" s="270">
        <v>33</v>
      </c>
      <c r="C56" s="122" t="s">
        <v>235</v>
      </c>
      <c r="D56" s="355" t="s">
        <v>814</v>
      </c>
      <c r="E56" s="156">
        <f>SUMIFS(Mapping!N:N,Mapping!A:A,"Commercial",Mapping!E:E,'DF Calculation'!C56)-E55</f>
        <v>10436.36542784331</v>
      </c>
      <c r="F56" s="156">
        <f>VLOOKUP(C56,Mapping!E:M,7,FALSE)</f>
        <v>613</v>
      </c>
      <c r="G56" s="156">
        <f>E56*F56</f>
        <v>6397492.0072679492</v>
      </c>
      <c r="H56" s="151">
        <f t="shared" si="12"/>
        <v>5456858.8794900002</v>
      </c>
      <c r="I56" s="156">
        <f>(References!$D$61*H56)</f>
        <v>-5620.5646458747169</v>
      </c>
      <c r="J56" s="156">
        <f>I56/References!$H$64</f>
        <v>-5750.526545810023</v>
      </c>
      <c r="K56" s="274">
        <v>64.78</v>
      </c>
      <c r="L56" s="274">
        <v>64.540000000000006</v>
      </c>
      <c r="M56" s="155">
        <f t="shared" si="20"/>
        <v>-0.55100854656431653</v>
      </c>
      <c r="N56" s="165">
        <f t="shared" si="21"/>
        <v>64.23</v>
      </c>
      <c r="O56" s="165">
        <f t="shared" si="2"/>
        <v>63.988991453435688</v>
      </c>
      <c r="P56" s="117">
        <f t="shared" si="19"/>
        <v>676067.75241568964</v>
      </c>
      <c r="Q56" s="117">
        <f t="shared" si="15"/>
        <v>670327.75143037585</v>
      </c>
      <c r="R56" s="117">
        <f t="shared" si="16"/>
        <v>-5740.000985313789</v>
      </c>
      <c r="S56" s="159">
        <f>((F56*$D$83)*(References!$D$61/References!$H$64))-M56</f>
        <v>0</v>
      </c>
      <c r="T56" s="156"/>
    </row>
    <row r="57" spans="1:20">
      <c r="A57" s="515"/>
      <c r="B57" s="270">
        <v>33</v>
      </c>
      <c r="C57" s="122" t="s">
        <v>474</v>
      </c>
      <c r="D57" s="266" t="str">
        <f>VLOOKUP(C57,Mapping!$E$4:$I$81,5,FALSE)</f>
        <v>4 yard Special</v>
      </c>
      <c r="E57" s="156">
        <f>SUMIFS(Mapping!N:N,Mapping!A:A,"Commercial",Mapping!E:E,'DF Calculation'!C57)</f>
        <v>89.211790187399941</v>
      </c>
      <c r="F57" s="156">
        <f>VLOOKUP(C57,Mapping!E:M,7,FALSE)</f>
        <v>613</v>
      </c>
      <c r="G57" s="156">
        <f>E57*F57</f>
        <v>54686.827384876167</v>
      </c>
      <c r="H57" s="151">
        <f t="shared" si="12"/>
        <v>46646.138716121357</v>
      </c>
      <c r="I57" s="156">
        <f>(References!$D$61*H57)</f>
        <v>-48.045522877605144</v>
      </c>
      <c r="J57" s="156">
        <f>I57/References!$H$64</f>
        <v>-49.156458847559996</v>
      </c>
      <c r="K57" s="274">
        <v>106.89</v>
      </c>
      <c r="L57" s="274">
        <v>106.49</v>
      </c>
      <c r="M57" s="155">
        <f>IFERROR((J57/E57),0)</f>
        <v>-0.55100854656431653</v>
      </c>
      <c r="N57" s="165">
        <f>ROUND(M57+K57,2)</f>
        <v>106.34</v>
      </c>
      <c r="O57" s="165">
        <f t="shared" si="2"/>
        <v>105.93899145343568</v>
      </c>
      <c r="P57" s="117">
        <f>(E57)*K57</f>
        <v>9535.8482531311802</v>
      </c>
      <c r="Q57" s="117">
        <f t="shared" si="15"/>
        <v>9486.7817685281098</v>
      </c>
      <c r="R57" s="117">
        <f t="shared" si="16"/>
        <v>-49.066484603070421</v>
      </c>
      <c r="S57" s="159">
        <f>((F57*$D$83)*(References!$D$61/References!$H$64))-M57</f>
        <v>0</v>
      </c>
      <c r="T57" s="156"/>
    </row>
    <row r="58" spans="1:20">
      <c r="A58" s="515"/>
      <c r="B58" s="270">
        <v>33</v>
      </c>
      <c r="C58" s="122" t="s">
        <v>304</v>
      </c>
      <c r="D58" s="266" t="str">
        <f>VLOOKUP(C58,Mapping!$E$4:$I$81,5,FALSE)</f>
        <v>4 yard Temp</v>
      </c>
      <c r="E58" s="156">
        <f>SUMIFS(Mapping!N:N,Mapping!A:A,"Commercial",Mapping!E:E,'DF Calculation'!C58)</f>
        <v>2</v>
      </c>
      <c r="F58" s="156">
        <f>VLOOKUP(C58,Mapping!E:M,7,FALSE)</f>
        <v>613</v>
      </c>
      <c r="G58" s="156">
        <f t="shared" si="6"/>
        <v>1226</v>
      </c>
      <c r="H58" s="151">
        <f t="shared" si="12"/>
        <v>1045.7393270135171</v>
      </c>
      <c r="I58" s="156">
        <f>(References!$D$61*H58)</f>
        <v>-1.0771115068239259</v>
      </c>
      <c r="J58" s="156">
        <f>I58/References!$H$64</f>
        <v>-1.1020170931286328</v>
      </c>
      <c r="K58" s="274">
        <v>69.73</v>
      </c>
      <c r="L58" s="274">
        <v>69.47</v>
      </c>
      <c r="M58" s="155">
        <f t="shared" si="20"/>
        <v>-0.55100854656431641</v>
      </c>
      <c r="N58" s="165">
        <f t="shared" si="21"/>
        <v>69.180000000000007</v>
      </c>
      <c r="O58" s="165">
        <f t="shared" si="2"/>
        <v>68.91899145343568</v>
      </c>
      <c r="P58" s="117">
        <f t="shared" si="19"/>
        <v>139.46</v>
      </c>
      <c r="Q58" s="117">
        <f t="shared" si="15"/>
        <v>138.36000000000001</v>
      </c>
      <c r="R58" s="117">
        <f t="shared" si="16"/>
        <v>-1.0999999999999943</v>
      </c>
      <c r="S58" s="159">
        <f>((F58*$D$83)*(References!$D$61/References!$H$64))-M58</f>
        <v>0</v>
      </c>
      <c r="T58" s="156"/>
    </row>
    <row r="59" spans="1:20">
      <c r="A59" s="515"/>
      <c r="B59" s="270">
        <v>33</v>
      </c>
      <c r="C59" s="122" t="s">
        <v>245</v>
      </c>
      <c r="D59" s="356" t="s">
        <v>815</v>
      </c>
      <c r="E59" s="156">
        <f>SUMIFS(Mapping!N:N,Mapping!A:A,"Commercial",Mapping!E:E,'DF Calculation'!C59)/4.33</f>
        <v>6306.5537489693925</v>
      </c>
      <c r="F59" s="156">
        <f>VLOOKUP(C59,Mapping!E:M,7,FALSE)</f>
        <v>840</v>
      </c>
      <c r="G59" s="156">
        <f t="shared" ref="G59" si="33">E59*F59</f>
        <v>5297505.1491342895</v>
      </c>
      <c r="H59" s="151">
        <f t="shared" si="12"/>
        <v>4518604.7875255579</v>
      </c>
      <c r="I59" s="156">
        <f>(References!$D$61*H59)</f>
        <v>-4654.1629311513389</v>
      </c>
      <c r="J59" s="156">
        <f>I59/References!$H$64</f>
        <v>-4761.7791397087567</v>
      </c>
      <c r="K59" s="274">
        <v>120.99</v>
      </c>
      <c r="L59" s="274">
        <v>120.54</v>
      </c>
      <c r="M59" s="155">
        <f t="shared" ref="M59" si="34">IFERROR((J59/E59),0)</f>
        <v>-0.75505249447638811</v>
      </c>
      <c r="N59" s="165">
        <f t="shared" ref="N59" si="35">ROUND(M59+K59,2)</f>
        <v>120.23</v>
      </c>
      <c r="O59" s="165">
        <f t="shared" si="2"/>
        <v>119.78494750552362</v>
      </c>
      <c r="P59" s="117">
        <f t="shared" ref="P59" si="36">(E59)*K59</f>
        <v>763029.9380878068</v>
      </c>
      <c r="Q59" s="117">
        <f t="shared" si="15"/>
        <v>758236.95723859011</v>
      </c>
      <c r="R59" s="117">
        <f t="shared" si="16"/>
        <v>-4792.9808492166921</v>
      </c>
      <c r="S59" s="159">
        <f>((F59*$D$83)*(References!$D$61/References!$H$64))-M59</f>
        <v>0</v>
      </c>
      <c r="T59" s="156"/>
    </row>
    <row r="60" spans="1:20">
      <c r="A60" s="515"/>
      <c r="B60" s="270">
        <v>33</v>
      </c>
      <c r="C60" s="122" t="s">
        <v>245</v>
      </c>
      <c r="D60" s="355" t="s">
        <v>816</v>
      </c>
      <c r="E60" s="156">
        <f>SUMIFS(Mapping!N:N,Mapping!A:A,"Commercial",Mapping!E:E,'DF Calculation'!C60)-E59</f>
        <v>21000.823984068076</v>
      </c>
      <c r="F60" s="156">
        <f>VLOOKUP(C60,Mapping!E:M,7,FALSE)</f>
        <v>840</v>
      </c>
      <c r="G60" s="156">
        <f t="shared" si="6"/>
        <v>17640692.146617185</v>
      </c>
      <c r="H60" s="151">
        <f t="shared" si="12"/>
        <v>15046953.942460109</v>
      </c>
      <c r="I60" s="156">
        <f>(References!$D$61*H60)</f>
        <v>-15498.362560733958</v>
      </c>
      <c r="J60" s="156">
        <f>I60/References!$H$64</f>
        <v>-15856.72453523016</v>
      </c>
      <c r="K60" s="274">
        <v>89.41</v>
      </c>
      <c r="L60" s="274">
        <v>89.08</v>
      </c>
      <c r="M60" s="155">
        <f t="shared" si="20"/>
        <v>-0.75505249447638811</v>
      </c>
      <c r="N60" s="165">
        <f t="shared" si="21"/>
        <v>88.65</v>
      </c>
      <c r="O60" s="165">
        <f t="shared" si="2"/>
        <v>88.32494750552361</v>
      </c>
      <c r="P60" s="117">
        <f t="shared" si="19"/>
        <v>1877683.6724155266</v>
      </c>
      <c r="Q60" s="117">
        <f t="shared" si="15"/>
        <v>1861723.046187635</v>
      </c>
      <c r="R60" s="117">
        <f t="shared" si="16"/>
        <v>-15960.626227891538</v>
      </c>
      <c r="S60" s="159">
        <f>((F60*$D$83)*(References!$D$61/References!$H$64))-M60</f>
        <v>0</v>
      </c>
      <c r="T60" s="156"/>
    </row>
    <row r="61" spans="1:20">
      <c r="A61" s="515"/>
      <c r="B61" s="270">
        <v>33</v>
      </c>
      <c r="C61" s="122" t="s">
        <v>476</v>
      </c>
      <c r="D61" s="266" t="str">
        <f>VLOOKUP(C61,Mapping!$E$4:$I$81,5,FALSE)</f>
        <v>6 yard Special</v>
      </c>
      <c r="E61" s="156">
        <f>SUMIFS(Mapping!N:N,Mapping!A:A,"Commercial",Mapping!E:E,'DF Calculation'!C61)</f>
        <v>445.96196144676333</v>
      </c>
      <c r="F61" s="156">
        <f>VLOOKUP(C61,Mapping!E:M,7,FALSE)</f>
        <v>840</v>
      </c>
      <c r="G61" s="156">
        <f>E61*F61</f>
        <v>374608.04761528119</v>
      </c>
      <c r="H61" s="151">
        <f t="shared" si="12"/>
        <v>319528.84796660009</v>
      </c>
      <c r="I61" s="156">
        <f>(References!$D$61*H61)</f>
        <v>-329.1147134055991</v>
      </c>
      <c r="J61" s="156">
        <f>I61/References!$H$64</f>
        <v>-336.72469143196139</v>
      </c>
      <c r="K61" s="274">
        <v>127.31</v>
      </c>
      <c r="L61" s="274">
        <v>126.84</v>
      </c>
      <c r="M61" s="155">
        <f>IFERROR((J61/E61),0)</f>
        <v>-0.75505249447638789</v>
      </c>
      <c r="N61" s="165">
        <f>ROUND(M61+K61,2)</f>
        <v>126.55</v>
      </c>
      <c r="O61" s="165">
        <f t="shared" si="2"/>
        <v>126.08494750552362</v>
      </c>
      <c r="P61" s="117">
        <f>(E61)*K61</f>
        <v>56775.417311787438</v>
      </c>
      <c r="Q61" s="117">
        <f t="shared" si="15"/>
        <v>56436.4862210879</v>
      </c>
      <c r="R61" s="117">
        <f t="shared" si="16"/>
        <v>-338.93109069953789</v>
      </c>
      <c r="S61" s="159">
        <f>((F61*$D$83)*(References!$D$61/References!$H$64))-M61</f>
        <v>0</v>
      </c>
      <c r="T61" s="156"/>
    </row>
    <row r="62" spans="1:20">
      <c r="A62" s="515"/>
      <c r="B62" s="270">
        <v>33</v>
      </c>
      <c r="C62" s="122" t="s">
        <v>306</v>
      </c>
      <c r="D62" s="266" t="str">
        <f>VLOOKUP(C62,Mapping!$E$4:$I$81,5,FALSE)</f>
        <v>6 yard Temp</v>
      </c>
      <c r="E62" s="156">
        <f>SUMIFS(Mapping!N:N,Mapping!A:A,"Commercial",Mapping!E:E,'DF Calculation'!C62)</f>
        <v>10</v>
      </c>
      <c r="F62" s="156">
        <f>VLOOKUP(C62,Mapping!E:M,7,FALSE)</f>
        <v>840</v>
      </c>
      <c r="G62" s="156">
        <f t="shared" si="6"/>
        <v>8400</v>
      </c>
      <c r="H62" s="151">
        <f t="shared" si="12"/>
        <v>7164.9350301089271</v>
      </c>
      <c r="I62" s="156">
        <f>(References!$D$61*H62)</f>
        <v>-7.3798830810122178</v>
      </c>
      <c r="J62" s="156">
        <f>I62/References!$H$64</f>
        <v>-7.5505249447638816</v>
      </c>
      <c r="K62" s="500">
        <v>127.31</v>
      </c>
      <c r="L62" s="500">
        <v>126.84</v>
      </c>
      <c r="M62" s="155">
        <f t="shared" si="20"/>
        <v>-0.75505249447638811</v>
      </c>
      <c r="N62" s="165">
        <f t="shared" si="21"/>
        <v>126.55</v>
      </c>
      <c r="O62" s="165">
        <f t="shared" si="2"/>
        <v>126.08494750552362</v>
      </c>
      <c r="P62" s="117">
        <f t="shared" si="19"/>
        <v>1273.0999999999999</v>
      </c>
      <c r="Q62" s="117">
        <f t="shared" si="15"/>
        <v>1265.5</v>
      </c>
      <c r="R62" s="117">
        <f t="shared" si="16"/>
        <v>-7.5999999999999091</v>
      </c>
      <c r="S62" s="159">
        <f>((F62*$D$83)*(References!$D$61/References!$H$64))-M62</f>
        <v>0</v>
      </c>
      <c r="T62" s="156"/>
    </row>
    <row r="63" spans="1:20">
      <c r="A63" s="515"/>
      <c r="B63" s="270">
        <v>34</v>
      </c>
      <c r="C63" s="122" t="s">
        <v>292</v>
      </c>
      <c r="D63" s="266" t="str">
        <f>VLOOKUP(C63,Mapping!$E$4:$I$81,5,FALSE)</f>
        <v>35 Gallon Cart  per PU</v>
      </c>
      <c r="E63" s="156">
        <f>SUMIFS(Mapping!N:N,Mapping!A:A,"Commercial",Mapping!E:E,'DF Calculation'!C63)</f>
        <v>41681.090361445778</v>
      </c>
      <c r="F63" s="156">
        <f>VLOOKUP(C63,Mapping!E:M,7,FALSE)</f>
        <v>29</v>
      </c>
      <c r="G63" s="156">
        <f t="shared" si="6"/>
        <v>1208751.6204819276</v>
      </c>
      <c r="H63" s="151">
        <f t="shared" si="12"/>
        <v>1031027.0033680827</v>
      </c>
      <c r="I63" s="156">
        <f>(References!$D$61*H63)</f>
        <v>-1061.9578134691285</v>
      </c>
      <c r="J63" s="156">
        <f>I63/References!$H$64</f>
        <v>-1086.5130074372094</v>
      </c>
      <c r="K63" s="274">
        <v>3.34</v>
      </c>
      <c r="L63" s="274">
        <v>3.33</v>
      </c>
      <c r="M63" s="155">
        <f t="shared" si="20"/>
        <v>-2.6067288499780069E-2</v>
      </c>
      <c r="N63" s="165">
        <f t="shared" si="21"/>
        <v>3.31</v>
      </c>
      <c r="O63" s="165">
        <f t="shared" si="2"/>
        <v>3.3039327115002202</v>
      </c>
      <c r="P63" s="117">
        <f t="shared" si="19"/>
        <v>139214.84180722889</v>
      </c>
      <c r="Q63" s="117">
        <f t="shared" si="15"/>
        <v>137964.40909638553</v>
      </c>
      <c r="R63" s="117">
        <f t="shared" si="16"/>
        <v>-1250.4327108433645</v>
      </c>
      <c r="S63" s="159">
        <f>((F63*$D$83)*(References!$D$61/References!$H$64))-M63</f>
        <v>0</v>
      </c>
      <c r="T63" s="156"/>
    </row>
    <row r="64" spans="1:20">
      <c r="A64" s="515"/>
      <c r="B64" s="270">
        <v>34</v>
      </c>
      <c r="C64" s="122" t="s">
        <v>288</v>
      </c>
      <c r="D64" s="266" t="str">
        <f>VLOOKUP(C64,Mapping!$E$4:$I$81,5,FALSE)</f>
        <v>65 Gallon Cart per PU</v>
      </c>
      <c r="E64" s="156">
        <f>SUMIFS(Mapping!N:N,Mapping!A:A,"Commercial",Mapping!E:E,'DF Calculation'!C64)</f>
        <v>4701.5502958579873</v>
      </c>
      <c r="F64" s="156">
        <f>VLOOKUP(C64,Mapping!E:M,7,FALSE)</f>
        <v>47</v>
      </c>
      <c r="G64" s="156">
        <f>E64*F64</f>
        <v>220972.86390532542</v>
      </c>
      <c r="H64" s="151">
        <f t="shared" si="12"/>
        <v>188482.88253556649</v>
      </c>
      <c r="I64" s="156">
        <f>(References!$D$61*H64)</f>
        <v>-194.13736901163406</v>
      </c>
      <c r="J64" s="156">
        <f>I64/References!$H$64</f>
        <v>-198.62632393250874</v>
      </c>
      <c r="K64" s="274">
        <v>6.81</v>
      </c>
      <c r="L64" s="274">
        <v>6.78</v>
      </c>
      <c r="M64" s="155">
        <f t="shared" si="20"/>
        <v>-4.2246984809988376E-2</v>
      </c>
      <c r="N64" s="165">
        <f t="shared" si="21"/>
        <v>6.77</v>
      </c>
      <c r="O64" s="165">
        <f t="shared" si="2"/>
        <v>6.7377530151900116</v>
      </c>
      <c r="P64" s="117">
        <f t="shared" si="19"/>
        <v>32017.55751479289</v>
      </c>
      <c r="Q64" s="117">
        <f t="shared" si="15"/>
        <v>31829.495502958573</v>
      </c>
      <c r="R64" s="117">
        <f t="shared" si="16"/>
        <v>-188.06201183431767</v>
      </c>
      <c r="S64" s="159">
        <f>((F64*$D$83)*(References!$D$61/References!$H$64))-M64</f>
        <v>0</v>
      </c>
      <c r="T64" s="156"/>
    </row>
    <row r="65" spans="1:24">
      <c r="A65" s="515"/>
      <c r="B65" s="270">
        <v>34</v>
      </c>
      <c r="C65" s="122" t="s">
        <v>290</v>
      </c>
      <c r="D65" s="266" t="str">
        <f>VLOOKUP(C65,Mapping!$E$4:$I$81,5,FALSE)</f>
        <v>95 Gallon  per PU</v>
      </c>
      <c r="E65" s="156">
        <f>SUMIFS(Mapping!N:N,Mapping!A:A,"Commercial",Mapping!E:E,'DF Calculation'!C65)</f>
        <v>2</v>
      </c>
      <c r="F65" s="156">
        <f>VLOOKUP(C65,Mapping!E:M,7,FALSE)</f>
        <v>68</v>
      </c>
      <c r="G65" s="156">
        <f t="shared" si="6"/>
        <v>136</v>
      </c>
      <c r="H65" s="151">
        <f t="shared" si="12"/>
        <v>116.00371001128738</v>
      </c>
      <c r="I65" s="156">
        <f>(References!$D$61*H65)</f>
        <v>-0.11948382131162637</v>
      </c>
      <c r="J65" s="156">
        <f>I65/References!$H$64</f>
        <v>-0.12224659434379616</v>
      </c>
      <c r="K65" s="274">
        <v>8.69</v>
      </c>
      <c r="L65" s="274">
        <v>8.66</v>
      </c>
      <c r="M65" s="155">
        <f t="shared" si="20"/>
        <v>-6.1123297171898079E-2</v>
      </c>
      <c r="N65" s="165">
        <f t="shared" si="21"/>
        <v>8.6300000000000008</v>
      </c>
      <c r="O65" s="165">
        <f t="shared" si="2"/>
        <v>8.5988767028281021</v>
      </c>
      <c r="P65" s="117">
        <f t="shared" si="19"/>
        <v>17.38</v>
      </c>
      <c r="Q65" s="117">
        <f t="shared" si="15"/>
        <v>17.260000000000002</v>
      </c>
      <c r="R65" s="117">
        <f t="shared" si="16"/>
        <v>-0.11999999999999744</v>
      </c>
      <c r="S65" s="159">
        <f>((F65*$D$83)*(References!$D$61/References!$H$64))-M65</f>
        <v>0</v>
      </c>
      <c r="T65" s="156"/>
    </row>
    <row r="66" spans="1:24">
      <c r="A66" s="515"/>
      <c r="B66" s="270">
        <v>34</v>
      </c>
      <c r="C66" s="122" t="s">
        <v>294</v>
      </c>
      <c r="D66" s="266" t="str">
        <f>VLOOKUP(C66,Mapping!$E$4:$I$81,5,FALSE)</f>
        <v>35 Gallon Distributed Cart Regular</v>
      </c>
      <c r="E66" s="156">
        <f>SUMIFS(Mapping!N:N,Mapping!A:A,"Commercial",Mapping!E:E,'DF Calculation'!C66)</f>
        <v>831.36</v>
      </c>
      <c r="F66" s="156">
        <f>VLOOKUP(C66,Mapping!E:M,7,FALSE)</f>
        <v>29</v>
      </c>
      <c r="G66" s="156">
        <f t="shared" si="6"/>
        <v>24109.439999999999</v>
      </c>
      <c r="H66" s="151">
        <f t="shared" si="12"/>
        <v>20564.591810989208</v>
      </c>
      <c r="I66" s="156">
        <f>(References!$D$61*H66)</f>
        <v>-21.18152956531895</v>
      </c>
      <c r="J66" s="156">
        <f>I66/References!$H$64</f>
        <v>-21.671300967177153</v>
      </c>
      <c r="K66" s="274">
        <v>3.38</v>
      </c>
      <c r="L66" s="274">
        <v>3.37</v>
      </c>
      <c r="M66" s="155">
        <f t="shared" si="20"/>
        <v>-2.6067288499780062E-2</v>
      </c>
      <c r="N66" s="165">
        <f t="shared" si="21"/>
        <v>3.35</v>
      </c>
      <c r="O66" s="165">
        <f t="shared" si="2"/>
        <v>3.3439327115002202</v>
      </c>
      <c r="P66" s="117">
        <f t="shared" si="19"/>
        <v>2809.9967999999999</v>
      </c>
      <c r="Q66" s="117">
        <f t="shared" si="15"/>
        <v>2785.056</v>
      </c>
      <c r="R66" s="117">
        <f t="shared" si="16"/>
        <v>-24.940799999999854</v>
      </c>
      <c r="S66" s="159">
        <f>((F66*$D$83)*(References!$D$61/References!$H$64))-M66</f>
        <v>0</v>
      </c>
      <c r="T66" s="156"/>
    </row>
    <row r="67" spans="1:24">
      <c r="A67" s="515"/>
      <c r="B67" s="270">
        <v>34</v>
      </c>
      <c r="C67" s="122" t="s">
        <v>272</v>
      </c>
      <c r="D67" s="356" t="str">
        <f>+Mapping!I69</f>
        <v>65 Gallon Cart Minimum</v>
      </c>
      <c r="E67" s="156">
        <f>SUMIFS(Mapping!N:N,Mapping!A:A,"Commercial",Mapping!E:E,'DF Calculation'!C67)</f>
        <v>30138.941214212704</v>
      </c>
      <c r="F67" s="156">
        <f>VLOOKUP(C67,Mapping!E:M,7,FALSE)</f>
        <v>47</v>
      </c>
      <c r="G67" s="156">
        <f t="shared" si="6"/>
        <v>1416530.237067997</v>
      </c>
      <c r="H67" s="151">
        <f t="shared" si="12"/>
        <v>1208255.6091401184</v>
      </c>
      <c r="I67" s="156">
        <f>(References!$D$61*H67)</f>
        <v>-1244.5032774143258</v>
      </c>
      <c r="J67" s="156">
        <f>I67/References!$H$64</f>
        <v>-1273.2793916659768</v>
      </c>
      <c r="K67" s="274">
        <v>21.06</v>
      </c>
      <c r="L67" s="274">
        <v>20.98</v>
      </c>
      <c r="M67" s="155">
        <f>IFERROR((J67/E67),0)*References!$C$11</f>
        <v>-0.18307026750994965</v>
      </c>
      <c r="N67" s="165">
        <f t="shared" si="21"/>
        <v>20.88</v>
      </c>
      <c r="O67" s="165">
        <f t="shared" si="2"/>
        <v>20.79692973249005</v>
      </c>
      <c r="P67" s="117">
        <f>(E67/References!$C$11)*K67</f>
        <v>146475.25430107376</v>
      </c>
      <c r="Q67" s="117">
        <f>(E67/References!$C$11)*N67</f>
        <v>145223.32905063723</v>
      </c>
      <c r="R67" s="117">
        <f t="shared" si="16"/>
        <v>-1251.9252504365286</v>
      </c>
      <c r="S67" s="159">
        <f>((F67*$D$83)*(References!$D$61/References!$H$64))*References!$C$11-M67</f>
        <v>0</v>
      </c>
      <c r="T67" s="487" t="s">
        <v>803</v>
      </c>
    </row>
    <row r="68" spans="1:24">
      <c r="A68" s="515"/>
      <c r="B68" s="270">
        <v>34</v>
      </c>
      <c r="C68" s="122" t="s">
        <v>280</v>
      </c>
      <c r="D68" s="356" t="str">
        <f>+Mapping!I73</f>
        <v>95 Gallon Cart Minimum</v>
      </c>
      <c r="E68" s="156">
        <f>SUMIFS(Mapping!N:N,Mapping!A:A,"Commercial",Mapping!E:E,'DF Calculation'!C68)</f>
        <v>20853.873995789349</v>
      </c>
      <c r="F68" s="156">
        <f>VLOOKUP(C68,Mapping!E:M,7,FALSE)</f>
        <v>68</v>
      </c>
      <c r="G68" s="156">
        <f t="shared" ref="G68:G70" si="37">E68*F68</f>
        <v>1418063.4317136756</v>
      </c>
      <c r="H68" s="151">
        <f t="shared" si="12"/>
        <v>1209563.3758097372</v>
      </c>
      <c r="I68" s="156">
        <f>(References!$D$61*H68)</f>
        <v>-1245.8502770840332</v>
      </c>
      <c r="J68" s="156">
        <f>I68/References!$H$64</f>
        <v>-1274.65753742995</v>
      </c>
      <c r="K68" s="274">
        <v>27.06</v>
      </c>
      <c r="L68" s="274">
        <v>26.96</v>
      </c>
      <c r="M68" s="155">
        <f>IFERROR((J68/E68),0)*References!$C$11</f>
        <v>-0.26486762107822498</v>
      </c>
      <c r="N68" s="165">
        <f t="shared" ref="N68:N70" si="38">M68+K68</f>
        <v>26.795132378921775</v>
      </c>
      <c r="O68" s="165">
        <f t="shared" si="2"/>
        <v>26.695132378921777</v>
      </c>
      <c r="P68" s="117">
        <f>(E68/References!$C$11)*K68</f>
        <v>130224.42238293689</v>
      </c>
      <c r="Q68" s="117">
        <f>(E68/References!$C$11)*N68</f>
        <v>128949.76484550694</v>
      </c>
      <c r="R68" s="117">
        <f t="shared" si="16"/>
        <v>-1274.6575374299427</v>
      </c>
      <c r="S68" s="159">
        <f>((F68*$D$83)*(References!$D$61/References!$H$64))*References!$C$11-M68</f>
        <v>0</v>
      </c>
      <c r="T68" s="487" t="s">
        <v>803</v>
      </c>
    </row>
    <row r="69" spans="1:24">
      <c r="A69" s="515"/>
      <c r="B69" s="270">
        <v>34</v>
      </c>
      <c r="C69" s="122" t="s">
        <v>310</v>
      </c>
      <c r="D69" s="266" t="str">
        <f>VLOOKUP(C69,Mapping!$E$4:$I$81,5,FALSE)</f>
        <v>Can Extra</v>
      </c>
      <c r="E69" s="156">
        <f>SUMIFS(Mapping!N:N,Mapping!A:A,"Commercial",Mapping!E:E,'DF Calculation'!C69)</f>
        <v>4670.7893386233764</v>
      </c>
      <c r="F69" s="156">
        <f>VLOOKUP(C69,Mapping!E:M,7,FALSE)</f>
        <v>29</v>
      </c>
      <c r="G69" s="156">
        <f t="shared" si="37"/>
        <v>135452.89082007791</v>
      </c>
      <c r="H69" s="151">
        <f t="shared" si="12"/>
        <v>115537.04313884478</v>
      </c>
      <c r="I69" s="156">
        <f>(References!$D$61*H69)</f>
        <v>-119.00315443301048</v>
      </c>
      <c r="J69" s="156">
        <f>I69/References!$H$64</f>
        <v>-121.75481321159246</v>
      </c>
      <c r="K69" s="274">
        <v>3.34</v>
      </c>
      <c r="L69" s="274">
        <v>3.33</v>
      </c>
      <c r="M69" s="155">
        <f>IFERROR((J69/E69),0)</f>
        <v>-2.6067288499780062E-2</v>
      </c>
      <c r="N69" s="165">
        <f t="shared" si="38"/>
        <v>3.31393271150022</v>
      </c>
      <c r="O69" s="165">
        <f t="shared" si="2"/>
        <v>3.3039327115002202</v>
      </c>
      <c r="P69" s="117">
        <f t="shared" ref="P69:P73" si="39">E69*K69</f>
        <v>15600.436391002077</v>
      </c>
      <c r="Q69" s="117">
        <f t="shared" ref="Q69:Q73" si="40">E69*N69</f>
        <v>15478.681577790485</v>
      </c>
      <c r="R69" s="117">
        <f t="shared" si="16"/>
        <v>-121.75481321159168</v>
      </c>
      <c r="S69" s="159">
        <f>((F69*$D$83)*(References!$D$61/References!$H$64))-M69</f>
        <v>0</v>
      </c>
      <c r="T69" s="486"/>
    </row>
    <row r="70" spans="1:24">
      <c r="A70" s="515"/>
      <c r="B70" s="270">
        <v>35</v>
      </c>
      <c r="C70" s="122" t="s">
        <v>253</v>
      </c>
      <c r="D70" s="266" t="str">
        <f>VLOOKUP(C70,Mapping!$E$4:$I$81,5,FALSE)</f>
        <v>2 yard Compacted</v>
      </c>
      <c r="E70" s="156">
        <f>SUMIFS(Mapping!N:N,Mapping!A:A,"Commercial",Mapping!E:E,'DF Calculation'!C70)</f>
        <v>52</v>
      </c>
      <c r="F70" s="156">
        <f>VLOOKUP(C70,Mapping!E:M,7,FALSE)</f>
        <v>972</v>
      </c>
      <c r="G70" s="156">
        <f t="shared" si="37"/>
        <v>50544</v>
      </c>
      <c r="H70" s="151">
        <f t="shared" si="12"/>
        <v>43112.437638312571</v>
      </c>
      <c r="I70" s="156">
        <f>(References!$D$61*H70)</f>
        <v>-44.405810767462086</v>
      </c>
      <c r="J70" s="156">
        <f>I70/References!$H$64</f>
        <v>-45.432587239064951</v>
      </c>
      <c r="K70" s="274">
        <v>105.16</v>
      </c>
      <c r="L70" s="274">
        <v>104.77</v>
      </c>
      <c r="M70" s="155">
        <f>IFERROR((J70/E70*References!$C$12),0)</f>
        <v>-1.8930244682943729</v>
      </c>
      <c r="N70" s="165">
        <f t="shared" si="38"/>
        <v>103.26697553170563</v>
      </c>
      <c r="O70" s="165">
        <f t="shared" si="2"/>
        <v>102.87697553170563</v>
      </c>
      <c r="P70" s="117">
        <f t="shared" si="39"/>
        <v>5468.32</v>
      </c>
      <c r="Q70" s="117">
        <f t="shared" si="40"/>
        <v>5369.8827276486927</v>
      </c>
      <c r="R70" s="117">
        <f t="shared" si="16"/>
        <v>-98.437272351307001</v>
      </c>
      <c r="S70" s="159">
        <f>((F70*$D$83)*(References!$D$61/References!$H$64*References!$C$12))-M70</f>
        <v>0</v>
      </c>
      <c r="T70" s="486"/>
    </row>
    <row r="71" spans="1:24" ht="13.5" customHeight="1">
      <c r="A71" s="515"/>
      <c r="B71" s="270">
        <v>35</v>
      </c>
      <c r="C71" s="122" t="s">
        <v>800</v>
      </c>
      <c r="D71" s="266" t="str">
        <f>VLOOKUP(C71,Mapping!$E$4:$I$81,5,FALSE)</f>
        <v>3 yard Compacted</v>
      </c>
      <c r="E71" s="156">
        <f>SUMIFS(Mapping!N:N,Mapping!A:A,"Commercial",Mapping!E:E,'DF Calculation'!C71)</f>
        <v>104</v>
      </c>
      <c r="F71" s="156">
        <f>VLOOKUP(C71,Mapping!E:M,7,FALSE)</f>
        <v>1419</v>
      </c>
      <c r="G71" s="156">
        <f>E71*F71</f>
        <v>147576</v>
      </c>
      <c r="H71" s="151">
        <f t="shared" si="12"/>
        <v>125877.67285754226</v>
      </c>
      <c r="I71" s="156">
        <f>(References!$D$61*H71)</f>
        <v>-129.65400304326892</v>
      </c>
      <c r="J71" s="156">
        <f>I71/References!$H$64</f>
        <v>-132.65193681529456</v>
      </c>
      <c r="K71" s="274">
        <v>147.02000000000001</v>
      </c>
      <c r="L71" s="274">
        <v>146.47999999999999</v>
      </c>
      <c r="M71" s="155">
        <f>IFERROR((J71/E71),0)</f>
        <v>-1.2754993924547553</v>
      </c>
      <c r="N71" s="165">
        <f>M71+K71</f>
        <v>145.74450060754526</v>
      </c>
      <c r="O71" s="165">
        <f t="shared" si="2"/>
        <v>145.20450060754524</v>
      </c>
      <c r="P71" s="117">
        <f t="shared" si="39"/>
        <v>15290.080000000002</v>
      </c>
      <c r="Q71" s="117">
        <f t="shared" si="40"/>
        <v>15157.428063184707</v>
      </c>
      <c r="R71" s="117">
        <f t="shared" si="16"/>
        <v>-132.6519368152949</v>
      </c>
      <c r="S71" s="159">
        <f>((F71*$D$83)*(References!$D$61/References!$H$64))-M71</f>
        <v>0</v>
      </c>
      <c r="T71" s="156"/>
    </row>
    <row r="72" spans="1:24">
      <c r="A72" s="515"/>
      <c r="B72" s="270">
        <v>35</v>
      </c>
      <c r="C72" s="122" t="s">
        <v>257</v>
      </c>
      <c r="D72" s="266" t="str">
        <f>VLOOKUP(C72,Mapping!$E$4:$I$81,5,FALSE)</f>
        <v>4 yard Compacted</v>
      </c>
      <c r="E72" s="156">
        <f>SUMIFS(Mapping!N:N,Mapping!A:A,"Commercial",Mapping!E:E,'DF Calculation'!C72)</f>
        <v>260</v>
      </c>
      <c r="F72" s="156">
        <f>VLOOKUP(C72,Mapping!E:M,7,FALSE)</f>
        <v>1839</v>
      </c>
      <c r="G72" s="156">
        <f>E72*F72</f>
        <v>478140</v>
      </c>
      <c r="H72" s="151">
        <f t="shared" si="12"/>
        <v>407838.33753527171</v>
      </c>
      <c r="I72" s="156">
        <f>(References!$D$61*H72)</f>
        <v>-420.07348766133111</v>
      </c>
      <c r="J72" s="156">
        <f>I72/References!$H$64</f>
        <v>-429.78666632016689</v>
      </c>
      <c r="K72" s="274">
        <v>193.63</v>
      </c>
      <c r="L72" s="274">
        <v>192.91</v>
      </c>
      <c r="M72" s="155">
        <f>IFERROR((J72/E72),0)</f>
        <v>-1.6530256396929495</v>
      </c>
      <c r="N72" s="165">
        <f>M72+K72</f>
        <v>191.97697436030705</v>
      </c>
      <c r="O72" s="165">
        <f t="shared" ref="O72:O73" si="41">+L72+M72</f>
        <v>191.25697436030705</v>
      </c>
      <c r="P72" s="117">
        <f t="shared" si="39"/>
        <v>50343.799999999996</v>
      </c>
      <c r="Q72" s="117">
        <f t="shared" si="40"/>
        <v>49914.013333679832</v>
      </c>
      <c r="R72" s="117">
        <f t="shared" si="16"/>
        <v>-429.78666632016393</v>
      </c>
      <c r="S72" s="159">
        <f>((F72*$D$83)*(References!$D$61/References!$H$64))-M72</f>
        <v>0</v>
      </c>
      <c r="T72" s="156"/>
      <c r="U72" s="184"/>
    </row>
    <row r="73" spans="1:24">
      <c r="A73" s="515"/>
      <c r="B73" s="270">
        <v>35</v>
      </c>
      <c r="C73" s="122" t="s">
        <v>801</v>
      </c>
      <c r="D73" s="266" t="str">
        <f>VLOOKUP(C73,Mapping!$E$4:$I$81,5,FALSE)</f>
        <v>6 yard Compacted</v>
      </c>
      <c r="E73" s="156">
        <f>SUMIFS(Mapping!N:N,Mapping!A:A,"Commercial",Mapping!E:E,'DF Calculation'!C73)</f>
        <v>104</v>
      </c>
      <c r="F73" s="156">
        <f>VLOOKUP(C73,Mapping!E:M,7,FALSE)</f>
        <v>2520</v>
      </c>
      <c r="G73" s="156">
        <f>E73*F73</f>
        <v>262080</v>
      </c>
      <c r="H73" s="151">
        <f t="shared" si="12"/>
        <v>223545.97293939852</v>
      </c>
      <c r="I73" s="156">
        <f>(References!$D$61*H73)</f>
        <v>-230.25235212758116</v>
      </c>
      <c r="J73" s="156">
        <f>I73/References!$H$64</f>
        <v>-235.57637827663305</v>
      </c>
      <c r="K73" s="274">
        <v>265.75</v>
      </c>
      <c r="L73" s="274">
        <v>264.77</v>
      </c>
      <c r="M73" s="155">
        <f>IFERROR((J73/E73),0)</f>
        <v>-2.2651574834291641</v>
      </c>
      <c r="N73" s="165">
        <f>M73+K73</f>
        <v>263.48484251657084</v>
      </c>
      <c r="O73" s="165">
        <f t="shared" si="41"/>
        <v>262.50484251657082</v>
      </c>
      <c r="P73" s="117">
        <f t="shared" si="39"/>
        <v>27638</v>
      </c>
      <c r="Q73" s="117">
        <f t="shared" si="40"/>
        <v>27402.423621723367</v>
      </c>
      <c r="R73" s="117">
        <f t="shared" si="16"/>
        <v>-235.57637827663348</v>
      </c>
      <c r="S73" s="159">
        <f>((F73*$D$83)*(References!$D$61/References!$H$64))-M73</f>
        <v>0</v>
      </c>
      <c r="T73" s="156"/>
      <c r="U73" s="484"/>
      <c r="W73" s="159"/>
      <c r="X73" s="159"/>
    </row>
    <row r="74" spans="1:24">
      <c r="A74" s="128"/>
      <c r="B74" s="144"/>
      <c r="C74" s="144"/>
      <c r="D74" s="145"/>
      <c r="E74" s="148">
        <f>SUM(E39:E73)</f>
        <v>271766.24782967108</v>
      </c>
      <c r="F74" s="147"/>
      <c r="G74" s="148">
        <f>SUM(G39:G73)</f>
        <v>67724331.184377357</v>
      </c>
      <c r="H74" s="148">
        <f>SUM(H39:H73)</f>
        <v>57766718.201624252</v>
      </c>
      <c r="I74" s="148">
        <f>SUM(I39:I73)</f>
        <v>-59499.719747673145</v>
      </c>
      <c r="J74" s="148">
        <f>SUM(J39:J73)</f>
        <v>-60875.506187510888</v>
      </c>
      <c r="K74" s="146"/>
      <c r="L74" s="158"/>
      <c r="M74" s="146"/>
      <c r="N74" s="158"/>
      <c r="O74" s="158"/>
      <c r="P74" s="148">
        <f>SUM(P39:P73)</f>
        <v>7946701.421588338</v>
      </c>
      <c r="Q74" s="148">
        <f>SUM(Q39:Q73)</f>
        <v>7885401.5352666453</v>
      </c>
      <c r="R74" s="148">
        <f>SUM(R39:R73)</f>
        <v>-61299.88632169491</v>
      </c>
      <c r="S74" s="84">
        <f>R74/P74</f>
        <v>-7.7138781325249116E-3</v>
      </c>
    </row>
    <row r="75" spans="1:24">
      <c r="A75" s="128"/>
      <c r="B75" s="104"/>
      <c r="C75" s="104"/>
      <c r="D75" s="46" t="s">
        <v>1</v>
      </c>
      <c r="E75" s="47">
        <f>E74+E38+E31</f>
        <v>2969741.9360009581</v>
      </c>
      <c r="F75" s="48"/>
      <c r="G75" s="131">
        <f>G74+G38+G31</f>
        <v>205990982.89886093</v>
      </c>
      <c r="H75" s="131">
        <f>H74+H38+H31</f>
        <v>174323460</v>
      </c>
      <c r="I75" s="131">
        <f>I74+I38+I31</f>
        <v>-154222.56960000048</v>
      </c>
      <c r="J75" s="131">
        <f>J74+J38+J31</f>
        <v>-157788.59177409502</v>
      </c>
      <c r="K75" s="47"/>
      <c r="L75" s="153"/>
      <c r="M75" s="47"/>
      <c r="N75" s="153"/>
      <c r="O75" s="153"/>
      <c r="P75" s="47">
        <f>P74+P38+P31</f>
        <v>26059983.165234312</v>
      </c>
      <c r="Q75" s="47">
        <f>Q74+Q38+Q31</f>
        <v>25901770.19332603</v>
      </c>
      <c r="R75" s="143">
        <f>R74+R38+R31</f>
        <v>-158212.97190827981</v>
      </c>
      <c r="S75" s="84">
        <f>R75/P75</f>
        <v>-6.0711079859539609E-3</v>
      </c>
    </row>
    <row r="76" spans="1:24" ht="18.75" customHeight="1">
      <c r="E76" s="34">
        <f>+E75-Mapping!N87+SUM(Mapping!N4:N6)</f>
        <v>-19562.502838168279</v>
      </c>
      <c r="F76" s="525" t="s">
        <v>848</v>
      </c>
      <c r="G76" s="63"/>
      <c r="I76" s="49"/>
      <c r="J76" s="38"/>
    </row>
    <row r="77" spans="1:24">
      <c r="E77" s="65"/>
      <c r="I77" s="49"/>
      <c r="P77" s="38"/>
      <c r="Q77" s="38"/>
    </row>
    <row r="78" spans="1:24">
      <c r="A78" s="129"/>
      <c r="B78" s="44"/>
      <c r="C78" s="152"/>
      <c r="D78" s="61"/>
      <c r="E78" s="63"/>
      <c r="F78" s="62"/>
      <c r="G78" s="62"/>
      <c r="H78" s="43"/>
      <c r="I78" s="115"/>
      <c r="J78" s="115"/>
      <c r="K78" s="115"/>
      <c r="L78" s="155"/>
      <c r="M78" s="115"/>
      <c r="N78" s="155"/>
      <c r="O78" s="155"/>
      <c r="P78" s="116"/>
      <c r="Q78" s="116"/>
      <c r="R78" s="105"/>
    </row>
    <row r="79" spans="1:24" ht="15" customHeight="1">
      <c r="B79" s="510" t="s">
        <v>77</v>
      </c>
      <c r="C79" s="511"/>
      <c r="D79" s="512"/>
      <c r="E79" s="57"/>
      <c r="G79" s="81"/>
      <c r="H79" s="103"/>
      <c r="I79" s="510" t="s">
        <v>151</v>
      </c>
      <c r="J79" s="511"/>
      <c r="K79" s="512"/>
      <c r="L79" s="497"/>
      <c r="P79" s="115"/>
      <c r="Q79" s="115"/>
      <c r="R79" s="64"/>
      <c r="S79" s="116"/>
    </row>
    <row r="80" spans="1:24" s="170" customFormat="1" ht="25.5" customHeight="1">
      <c r="A80" s="168"/>
      <c r="B80" s="169"/>
      <c r="C80" s="169"/>
      <c r="D80" s="125" t="s">
        <v>13</v>
      </c>
      <c r="E80" s="168"/>
      <c r="F80" s="169"/>
      <c r="H80" s="171"/>
      <c r="I80" s="176" t="s">
        <v>152</v>
      </c>
      <c r="J80" s="175" t="s">
        <v>7</v>
      </c>
      <c r="K80" s="175" t="s">
        <v>98</v>
      </c>
      <c r="L80" s="498"/>
      <c r="M80" s="169"/>
      <c r="P80" s="172"/>
      <c r="Q80" s="172"/>
      <c r="R80" s="173"/>
      <c r="T80" s="174"/>
    </row>
    <row r="81" spans="2:19">
      <c r="B81" s="102" t="s">
        <v>656</v>
      </c>
      <c r="C81" s="102"/>
      <c r="D81" s="343">
        <f>References!C66</f>
        <v>81906.419999999984</v>
      </c>
      <c r="E81" s="344"/>
      <c r="F81" s="40"/>
      <c r="G81" s="58"/>
      <c r="H81" s="133" t="s">
        <v>107</v>
      </c>
      <c r="I81" s="117">
        <f>P31</f>
        <v>16669996.771395184</v>
      </c>
      <c r="J81" s="132">
        <f>(K81-I81)/I81</f>
        <v>-6.7038480951600995E-3</v>
      </c>
      <c r="K81" s="117">
        <f>Q31</f>
        <v>16558243.645292941</v>
      </c>
      <c r="L81" s="117"/>
      <c r="P81" s="115"/>
      <c r="Q81" s="115"/>
      <c r="R81" s="64"/>
      <c r="S81" s="116"/>
    </row>
    <row r="82" spans="2:19">
      <c r="B82" s="102" t="s">
        <v>27</v>
      </c>
      <c r="C82" s="102"/>
      <c r="D82" s="34">
        <f>D81*References!$H$20</f>
        <v>163812839.99999997</v>
      </c>
      <c r="E82" s="34"/>
      <c r="F82" s="34"/>
      <c r="G82" s="82"/>
      <c r="H82" s="133" t="s">
        <v>313</v>
      </c>
      <c r="I82" s="117">
        <f>P38</f>
        <v>1443284.9722507894</v>
      </c>
      <c r="J82" s="132">
        <f>(K82-I82)/I82</f>
        <v>1.0282127785554818E-2</v>
      </c>
      <c r="K82" s="117">
        <f>Q38</f>
        <v>1458125.012766443</v>
      </c>
      <c r="L82" s="117"/>
      <c r="P82" s="115"/>
      <c r="Q82" s="115"/>
      <c r="R82" s="64"/>
      <c r="S82" s="116"/>
    </row>
    <row r="83" spans="2:19">
      <c r="B83" s="106" t="s">
        <v>9</v>
      </c>
      <c r="C83" s="106"/>
      <c r="D83" s="136">
        <f>D82/(G75-G38)</f>
        <v>0.85296845596534843</v>
      </c>
      <c r="E83" s="50"/>
      <c r="F83" s="50"/>
      <c r="G83" s="83"/>
      <c r="H83" s="133" t="s">
        <v>153</v>
      </c>
      <c r="I83" s="117">
        <f>P74</f>
        <v>7946701.421588338</v>
      </c>
      <c r="J83" s="132">
        <f>(K83-I83)/I83</f>
        <v>-7.7138781325246375E-3</v>
      </c>
      <c r="K83" s="117">
        <f>Q74</f>
        <v>7885401.5352666453</v>
      </c>
      <c r="L83" s="117"/>
      <c r="P83" s="115"/>
      <c r="Q83" s="115"/>
      <c r="R83" s="64"/>
      <c r="S83" s="116"/>
    </row>
    <row r="84" spans="2:19">
      <c r="E84" s="33"/>
      <c r="F84" s="33"/>
      <c r="G84" s="84"/>
      <c r="H84" s="133" t="s">
        <v>13</v>
      </c>
      <c r="I84" s="134">
        <f>SUM(I81:I83)</f>
        <v>26059983.165234312</v>
      </c>
      <c r="J84" s="84">
        <f>(K84-I84)/I84</f>
        <v>-6.0711079859540633E-3</v>
      </c>
      <c r="K84" s="134">
        <f>SUM(K81:K83)</f>
        <v>25901770.19332603</v>
      </c>
      <c r="L84" s="156"/>
      <c r="M84" s="493">
        <f>K84-I84</f>
        <v>-158212.97190828249</v>
      </c>
      <c r="N84" s="150"/>
      <c r="O84" s="150"/>
      <c r="P84" s="115"/>
      <c r="Q84" s="115"/>
      <c r="R84" s="64"/>
      <c r="S84" s="116"/>
    </row>
    <row r="85" spans="2:19">
      <c r="B85" s="102" t="s">
        <v>739</v>
      </c>
      <c r="C85" s="102"/>
      <c r="D85" s="343">
        <f>References!C78</f>
        <v>5255.31</v>
      </c>
      <c r="F85" s="39"/>
      <c r="G85" s="30"/>
      <c r="H85" s="103"/>
      <c r="I85" s="107"/>
      <c r="K85" s="38"/>
      <c r="L85" s="38"/>
      <c r="N85" s="117"/>
      <c r="O85" s="117"/>
      <c r="P85" s="115"/>
      <c r="Q85" s="115"/>
      <c r="R85" s="64"/>
      <c r="S85" s="116"/>
    </row>
    <row r="86" spans="2:19" ht="15" customHeight="1">
      <c r="B86" s="102" t="s">
        <v>27</v>
      </c>
      <c r="C86" s="102"/>
      <c r="D86" s="34">
        <f>D85*References!$H$20</f>
        <v>10510620</v>
      </c>
      <c r="E86" s="32"/>
      <c r="F86" s="39"/>
      <c r="G86" s="30"/>
      <c r="H86" s="133" t="s">
        <v>657</v>
      </c>
      <c r="I86" s="343">
        <f>+'Disposal Schedule'!G130</f>
        <v>17685.397346158443</v>
      </c>
      <c r="J86" s="345">
        <f>I86*References!C61</f>
        <v>-36431.918533086435</v>
      </c>
      <c r="K86" s="135"/>
      <c r="L86" s="135"/>
      <c r="N86" s="117"/>
      <c r="O86" s="117"/>
      <c r="P86" s="115"/>
      <c r="Q86" s="115"/>
      <c r="R86" s="64"/>
      <c r="S86" s="116"/>
    </row>
    <row r="87" spans="2:19">
      <c r="B87" s="106" t="s">
        <v>9</v>
      </c>
      <c r="C87" s="106"/>
      <c r="D87" s="136">
        <f>D86/G38</f>
        <v>0.75395252369190069</v>
      </c>
      <c r="E87" s="32"/>
      <c r="F87" s="39"/>
      <c r="G87" s="31"/>
      <c r="H87" s="133" t="s">
        <v>658</v>
      </c>
      <c r="I87" s="343">
        <f>+'Disposal Schedule'!G132</f>
        <v>1463.9830094322833</v>
      </c>
      <c r="J87" s="345">
        <f>I87*References!C73</f>
        <v>4040.5931060331095</v>
      </c>
      <c r="K87" s="38"/>
      <c r="L87" s="38"/>
      <c r="N87" s="117"/>
      <c r="O87" s="117"/>
      <c r="P87" s="115"/>
      <c r="Q87" s="115"/>
      <c r="R87" s="64"/>
      <c r="S87" s="116"/>
    </row>
    <row r="88" spans="2:19">
      <c r="E88" s="102"/>
      <c r="H88" s="133"/>
      <c r="I88" s="162"/>
      <c r="P88" s="115"/>
      <c r="Q88" s="115"/>
      <c r="R88" s="64"/>
      <c r="S88" s="116"/>
    </row>
    <row r="89" spans="2:19">
      <c r="D89" s="114"/>
      <c r="E89" s="177"/>
      <c r="P89" s="115"/>
      <c r="Q89" s="115"/>
      <c r="R89" s="64"/>
      <c r="S89" s="116"/>
    </row>
    <row r="90" spans="2:19">
      <c r="R90" s="96"/>
      <c r="S90" s="116"/>
    </row>
    <row r="91" spans="2:19">
      <c r="P91" s="52"/>
      <c r="R91" s="96"/>
      <c r="S91" s="116"/>
    </row>
    <row r="92" spans="2:19">
      <c r="P92" s="52"/>
      <c r="R92" s="96"/>
      <c r="S92" s="116"/>
    </row>
    <row r="93" spans="2:19">
      <c r="R93" s="96"/>
      <c r="S93" s="116"/>
    </row>
    <row r="94" spans="2:19">
      <c r="P94" s="52"/>
    </row>
    <row r="95" spans="2:19">
      <c r="P95" s="36"/>
    </row>
    <row r="96" spans="2:19">
      <c r="P96" s="54"/>
    </row>
    <row r="97" spans="16:16">
      <c r="P97" s="54"/>
    </row>
    <row r="98" spans="16:16">
      <c r="P98" s="54"/>
    </row>
  </sheetData>
  <mergeCells count="4">
    <mergeCell ref="I79:K79"/>
    <mergeCell ref="A7:A30"/>
    <mergeCell ref="B79:D79"/>
    <mergeCell ref="A39:A73"/>
  </mergeCells>
  <pageMargins left="0.25" right="0.25" top="0.75" bottom="0.75" header="0.3" footer="0.3"/>
  <pageSetup scale="50" fitToHeight="4" pageOrder="overThenDown" orientation="landscape" r:id="rId1"/>
  <headerFooter>
    <oddFooter>&amp;L&amp;F - &amp;A&amp;R&amp;P of &amp;N</oddFooter>
  </headerFooter>
  <rowBreaks count="2" manualBreakCount="2">
    <brk id="37" max="17" man="1"/>
    <brk id="77" max="17"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87"/>
  <sheetViews>
    <sheetView showGridLines="0" zoomScale="85" zoomScaleNormal="85" workbookViewId="0">
      <pane ySplit="1" topLeftCell="A52" activePane="bottomLeft" state="frozen"/>
      <selection activeCell="S17" sqref="S17:S18"/>
      <selection pane="bottomLeft" activeCell="S17" sqref="S17:S18"/>
    </sheetView>
  </sheetViews>
  <sheetFormatPr defaultRowHeight="15"/>
  <cols>
    <col min="1" max="1" width="14" style="122" customWidth="1"/>
    <col min="2" max="2" width="17.28515625" style="122" customWidth="1"/>
    <col min="3" max="4" width="25.28515625" style="122" customWidth="1"/>
    <col min="5" max="5" width="26.7109375" style="122" customWidth="1"/>
    <col min="6" max="6" width="18.140625" style="122" customWidth="1"/>
    <col min="7" max="7" width="10.5703125" style="203" customWidth="1"/>
    <col min="8" max="8" width="13.42578125" style="122" customWidth="1"/>
    <col min="9" max="9" width="31.42578125" style="122" bestFit="1" customWidth="1"/>
    <col min="10" max="10" width="8" style="101" customWidth="1"/>
    <col min="11" max="12" width="11.85546875" style="101" customWidth="1"/>
    <col min="13" max="14" width="11.85546875" style="123" customWidth="1"/>
    <col min="15" max="15" width="18.28515625" style="123" customWidth="1"/>
    <col min="16" max="16" width="15.7109375" style="112" customWidth="1"/>
    <col min="17" max="18" width="9.85546875" style="112" customWidth="1"/>
    <col min="19" max="19" width="11" style="112" customWidth="1"/>
    <col min="20" max="20" width="12.42578125" style="112" bestFit="1" customWidth="1"/>
    <col min="21" max="16384" width="9.140625" style="112"/>
  </cols>
  <sheetData>
    <row r="1" spans="1:21" s="126" customFormat="1" ht="45.75" customHeight="1">
      <c r="A1" s="213" t="s">
        <v>90</v>
      </c>
      <c r="B1" s="121" t="s">
        <v>108</v>
      </c>
      <c r="C1" s="121" t="s">
        <v>110</v>
      </c>
      <c r="D1" s="121" t="s">
        <v>799</v>
      </c>
      <c r="E1" s="121" t="s">
        <v>126</v>
      </c>
      <c r="F1" s="121" t="s">
        <v>111</v>
      </c>
      <c r="G1" s="202" t="s">
        <v>333</v>
      </c>
      <c r="H1" s="121" t="s">
        <v>127</v>
      </c>
      <c r="I1" s="121" t="s">
        <v>160</v>
      </c>
      <c r="J1" s="124" t="s">
        <v>116</v>
      </c>
      <c r="K1" s="121" t="s">
        <v>113</v>
      </c>
      <c r="L1" s="121" t="s">
        <v>112</v>
      </c>
      <c r="M1" s="125" t="s">
        <v>128</v>
      </c>
      <c r="N1" s="125" t="s">
        <v>129</v>
      </c>
      <c r="O1" s="125" t="s">
        <v>600</v>
      </c>
      <c r="P1" s="494"/>
      <c r="Q1" s="357"/>
      <c r="R1" s="358"/>
      <c r="S1" s="357"/>
      <c r="T1" s="359"/>
      <c r="U1" s="141"/>
    </row>
    <row r="2" spans="1:21" ht="15.75" customHeight="1">
      <c r="A2" s="534"/>
      <c r="B2" s="213" t="s">
        <v>659</v>
      </c>
      <c r="C2" s="213" t="s">
        <v>346</v>
      </c>
      <c r="D2" s="213" t="s">
        <v>347</v>
      </c>
      <c r="E2" s="213" t="s">
        <v>347</v>
      </c>
      <c r="F2" s="213" t="s">
        <v>660</v>
      </c>
      <c r="G2" s="214" t="s">
        <v>83</v>
      </c>
      <c r="H2" s="214" t="s">
        <v>661</v>
      </c>
      <c r="I2" s="214" t="str">
        <f t="shared" ref="I2:I24" si="0">CONCATENATE(F2," ",H2)</f>
        <v>32 Gal Unit Over-Sized</v>
      </c>
      <c r="J2" s="209" t="s">
        <v>320</v>
      </c>
      <c r="K2" s="209">
        <f>References!$C$28</f>
        <v>34</v>
      </c>
      <c r="L2" s="212">
        <v>1</v>
      </c>
      <c r="M2" s="211">
        <f>+IFERROR(VLOOKUP($C2,'2180 (Reg.) - Price Out 2020'!$B:$AN,39,FALSE),0)+IFERROR(VLOOKUP($C2,'2180 (Reg EA.) - Price Out 2020'!$B:$AN,39,FALSE),0)</f>
        <v>18</v>
      </c>
      <c r="N2" s="211">
        <f>IF(M2=0,L2*6,L2*M2)</f>
        <v>18</v>
      </c>
    </row>
    <row r="3" spans="1:21" ht="15.75" customHeight="1">
      <c r="B3" s="213" t="s">
        <v>659</v>
      </c>
      <c r="C3" s="213" t="s">
        <v>348</v>
      </c>
      <c r="D3" s="213" t="s">
        <v>349</v>
      </c>
      <c r="E3" s="213" t="s">
        <v>349</v>
      </c>
      <c r="F3" s="213" t="s">
        <v>660</v>
      </c>
      <c r="G3" s="214" t="s">
        <v>83</v>
      </c>
      <c r="H3" s="214" t="s">
        <v>663</v>
      </c>
      <c r="I3" s="214" t="str">
        <f t="shared" si="0"/>
        <v>32 Gal Unit Over-Weight</v>
      </c>
      <c r="J3" s="209" t="s">
        <v>320</v>
      </c>
      <c r="K3" s="209">
        <f>References!$C$28</f>
        <v>34</v>
      </c>
      <c r="L3" s="212">
        <v>1</v>
      </c>
      <c r="M3" s="211">
        <f>+IFERROR(VLOOKUP($C3,'2180 (Reg.) - Price Out 2020'!$B:$AN,39,FALSE),0)+IFERROR(VLOOKUP($C3,'2180 (Reg EA.) - Price Out 2020'!$B:$AN,39,FALSE),0)</f>
        <v>19544.502838168202</v>
      </c>
      <c r="N3" s="211">
        <f t="shared" ref="N3:N51" si="1">IF(M3=0,L3*6,L3*M3)</f>
        <v>19544.502838168202</v>
      </c>
    </row>
    <row r="4" spans="1:21" ht="15" customHeight="1">
      <c r="A4" s="443" t="s">
        <v>90</v>
      </c>
      <c r="B4" s="443" t="s">
        <v>322</v>
      </c>
      <c r="C4" s="443" t="s">
        <v>163</v>
      </c>
      <c r="D4" s="443" t="s">
        <v>164</v>
      </c>
      <c r="E4" s="443" t="s">
        <v>164</v>
      </c>
      <c r="F4" s="443" t="s">
        <v>318</v>
      </c>
      <c r="G4" s="444" t="s">
        <v>81</v>
      </c>
      <c r="H4" s="444" t="s">
        <v>327</v>
      </c>
      <c r="I4" s="444" t="str">
        <f t="shared" si="0"/>
        <v>32 Gallon Cart MG-R</v>
      </c>
      <c r="J4" s="445" t="s">
        <v>320</v>
      </c>
      <c r="K4" s="445">
        <f>References!$C$18</f>
        <v>34</v>
      </c>
      <c r="L4" s="446">
        <f>References!$C$13</f>
        <v>1</v>
      </c>
      <c r="M4" s="211">
        <f>+IFERROR(VLOOKUP($C4,'2180 (Reg.) - Price Out 2020'!$B:$AN,39,FALSE),0)+IFERROR(VLOOKUP($C4,'2180 (Reg EA.) - Price Out 2020'!$B:$AN,39,FALSE),0)</f>
        <v>1</v>
      </c>
      <c r="N4" s="447">
        <f t="shared" si="1"/>
        <v>1</v>
      </c>
      <c r="O4" s="448" t="s">
        <v>730</v>
      </c>
    </row>
    <row r="5" spans="1:21" ht="15" customHeight="1">
      <c r="A5" s="443" t="s">
        <v>90</v>
      </c>
      <c r="B5" s="443" t="s">
        <v>322</v>
      </c>
      <c r="C5" s="443" t="s">
        <v>166</v>
      </c>
      <c r="D5" s="443" t="s">
        <v>167</v>
      </c>
      <c r="E5" s="443" t="s">
        <v>167</v>
      </c>
      <c r="F5" s="443" t="s">
        <v>318</v>
      </c>
      <c r="G5" s="444" t="s">
        <v>323</v>
      </c>
      <c r="H5" s="444" t="s">
        <v>79</v>
      </c>
      <c r="I5" s="444" t="str">
        <f t="shared" si="0"/>
        <v>32 Gallon Cart WG-R</v>
      </c>
      <c r="J5" s="445" t="s">
        <v>320</v>
      </c>
      <c r="K5" s="445">
        <f>References!$C$18</f>
        <v>34</v>
      </c>
      <c r="L5" s="446">
        <f>References!$C$11</f>
        <v>4.333333333333333</v>
      </c>
      <c r="M5" s="211">
        <f>+IFERROR(VLOOKUP($C5,'2180 (Reg.) - Price Out 2020'!$B:$AN,39,FALSE),0)+IFERROR(VLOOKUP($C5,'2180 (Reg EA.) - Price Out 2020'!$B:$AN,39,FALSE),0)</f>
        <v>-0.99110413396127695</v>
      </c>
      <c r="N5" s="447">
        <f t="shared" si="1"/>
        <v>-4.2947845804988667</v>
      </c>
      <c r="O5" s="448" t="s">
        <v>730</v>
      </c>
    </row>
    <row r="6" spans="1:21" ht="15" customHeight="1">
      <c r="A6" s="443" t="s">
        <v>90</v>
      </c>
      <c r="B6" s="443" t="s">
        <v>322</v>
      </c>
      <c r="C6" s="443" t="s">
        <v>169</v>
      </c>
      <c r="D6" s="443" t="s">
        <v>170</v>
      </c>
      <c r="E6" s="443" t="s">
        <v>167</v>
      </c>
      <c r="F6" s="443" t="s">
        <v>318</v>
      </c>
      <c r="G6" s="444" t="s">
        <v>323</v>
      </c>
      <c r="H6" s="444" t="s">
        <v>79</v>
      </c>
      <c r="I6" s="444" t="str">
        <f t="shared" si="0"/>
        <v>32 Gallon Cart WG-R</v>
      </c>
      <c r="J6" s="445" t="s">
        <v>320</v>
      </c>
      <c r="K6" s="445">
        <f>References!$C$18</f>
        <v>34</v>
      </c>
      <c r="L6" s="446">
        <f>References!$D$11</f>
        <v>8.6666666666666661</v>
      </c>
      <c r="M6" s="211">
        <f>+IFERROR(VLOOKUP($C6,'2180 (Reg.) - Price Out 2020'!$B:$AN,39,FALSE),0)+IFERROR(VLOOKUP($C6,'2180 (Reg EA.) - Price Out 2020'!$B:$AN,39,FALSE),0)</f>
        <v>4</v>
      </c>
      <c r="N6" s="447">
        <f t="shared" si="1"/>
        <v>34.666666666666664</v>
      </c>
      <c r="O6" s="448" t="s">
        <v>730</v>
      </c>
    </row>
    <row r="7" spans="1:21" ht="15" customHeight="1">
      <c r="A7" s="213" t="s">
        <v>90</v>
      </c>
      <c r="B7" s="213" t="s">
        <v>322</v>
      </c>
      <c r="C7" s="213" t="s">
        <v>174</v>
      </c>
      <c r="D7" s="213" t="s">
        <v>175</v>
      </c>
      <c r="E7" s="213" t="s">
        <v>175</v>
      </c>
      <c r="F7" s="213" t="s">
        <v>103</v>
      </c>
      <c r="G7" s="214" t="s">
        <v>81</v>
      </c>
      <c r="H7" s="214" t="s">
        <v>327</v>
      </c>
      <c r="I7" s="214" t="str">
        <f t="shared" si="0"/>
        <v>35 Gallon Cart MG-R</v>
      </c>
      <c r="J7" s="209" t="s">
        <v>117</v>
      </c>
      <c r="K7" s="209">
        <f>References!$C$18</f>
        <v>34</v>
      </c>
      <c r="L7" s="212">
        <f>References!$C$13</f>
        <v>1</v>
      </c>
      <c r="M7" s="211">
        <f>+IFERROR(VLOOKUP($C7,'2180 (Reg.) - Price Out 2020'!$B:$AN,39,FALSE),0)+IFERROR(VLOOKUP($C7,'2180 (Reg EA.) - Price Out 2020'!$B:$AN,39,FALSE),0)</f>
        <v>1243.9940373183999</v>
      </c>
      <c r="N7" s="211">
        <f t="shared" si="1"/>
        <v>1243.9940373183999</v>
      </c>
      <c r="O7" s="448"/>
    </row>
    <row r="8" spans="1:21" ht="15" customHeight="1">
      <c r="A8" s="213" t="s">
        <v>90</v>
      </c>
      <c r="B8" s="213" t="s">
        <v>322</v>
      </c>
      <c r="C8" s="213" t="s">
        <v>176</v>
      </c>
      <c r="D8" s="213" t="s">
        <v>177</v>
      </c>
      <c r="E8" s="213" t="s">
        <v>177</v>
      </c>
      <c r="F8" s="213" t="s">
        <v>103</v>
      </c>
      <c r="G8" s="214" t="s">
        <v>324</v>
      </c>
      <c r="H8" s="214" t="s">
        <v>328</v>
      </c>
      <c r="I8" s="214" t="str">
        <f t="shared" si="0"/>
        <v>35 Gallon Cart EOW-R</v>
      </c>
      <c r="J8" s="209" t="s">
        <v>117</v>
      </c>
      <c r="K8" s="209">
        <f>References!$C$18</f>
        <v>34</v>
      </c>
      <c r="L8" s="212">
        <f>References!$C$12</f>
        <v>2.1666666666666665</v>
      </c>
      <c r="M8" s="211">
        <f>+IFERROR(VLOOKUP($C8,'2180 (Reg.) - Price Out 2020'!$B:$AN,39,FALSE),0)+IFERROR(VLOOKUP($C8,'2180 (Reg EA.) - Price Out 2020'!$B:$AN,39,FALSE),0)</f>
        <v>5057.6295159563542</v>
      </c>
      <c r="N8" s="211">
        <f t="shared" si="1"/>
        <v>10958.197284572099</v>
      </c>
      <c r="O8" s="448"/>
      <c r="R8" s="160" t="s">
        <v>156</v>
      </c>
      <c r="S8" s="160" t="s">
        <v>157</v>
      </c>
      <c r="T8" s="352" t="s">
        <v>662</v>
      </c>
    </row>
    <row r="9" spans="1:21" ht="15" customHeight="1">
      <c r="A9" s="454" t="s">
        <v>90</v>
      </c>
      <c r="B9" s="454" t="s">
        <v>322</v>
      </c>
      <c r="C9" s="454" t="s">
        <v>702</v>
      </c>
      <c r="D9" s="454" t="s">
        <v>731</v>
      </c>
      <c r="E9" s="454" t="s">
        <v>731</v>
      </c>
      <c r="F9" s="454" t="s">
        <v>103</v>
      </c>
      <c r="G9" s="455" t="s">
        <v>324</v>
      </c>
      <c r="H9" s="455" t="s">
        <v>732</v>
      </c>
      <c r="I9" s="455" t="str">
        <f>CONCATENATE(F9," ",H9)</f>
        <v>35 Gallon Cart EOW-NR</v>
      </c>
      <c r="J9" s="456" t="s">
        <v>117</v>
      </c>
      <c r="K9" s="456">
        <f>References!$C$18</f>
        <v>34</v>
      </c>
      <c r="L9" s="457">
        <f>References!$C$12</f>
        <v>2.1666666666666665</v>
      </c>
      <c r="M9" s="458">
        <f>+IFERROR(VLOOKUP($C9,'2180 (Reg.) - Price Out 2020'!$B:$AN,39,FALSE),0)+IFERROR(VLOOKUP($C9,'2180 (Reg EA.) - Price Out 2020'!$B:$AN,39,FALSE),0)</f>
        <v>83.606997428966977</v>
      </c>
      <c r="N9" s="458">
        <f>IF(M9=0,L9*6,L9*M9)</f>
        <v>181.14849442942844</v>
      </c>
      <c r="O9" s="448"/>
      <c r="P9" s="209"/>
      <c r="Q9" s="210" t="s">
        <v>90</v>
      </c>
      <c r="R9" s="354">
        <f>SUMIF(A:A,Q9,M:M)</f>
        <v>697072.35865128913</v>
      </c>
      <c r="S9" s="354">
        <f>R9/12</f>
        <v>58089.363220940759</v>
      </c>
      <c r="T9" s="353">
        <f>+R9-'2180 (Reg.) - Price Out 2020'!AN68-'2180 (Reg EA.) - Price Out 2020'!AN58</f>
        <v>-19562.48494508005</v>
      </c>
    </row>
    <row r="10" spans="1:21" ht="15" customHeight="1">
      <c r="A10" s="213" t="s">
        <v>90</v>
      </c>
      <c r="B10" s="213" t="s">
        <v>322</v>
      </c>
      <c r="C10" s="213" t="s">
        <v>178</v>
      </c>
      <c r="D10" s="213" t="s">
        <v>179</v>
      </c>
      <c r="E10" s="213" t="s">
        <v>179</v>
      </c>
      <c r="F10" s="213" t="s">
        <v>103</v>
      </c>
      <c r="G10" s="214" t="s">
        <v>323</v>
      </c>
      <c r="H10" s="214" t="s">
        <v>79</v>
      </c>
      <c r="I10" s="214" t="str">
        <f t="shared" si="0"/>
        <v>35 Gallon Cart WG-R</v>
      </c>
      <c r="J10" s="209" t="s">
        <v>117</v>
      </c>
      <c r="K10" s="209">
        <f>References!$C$18</f>
        <v>34</v>
      </c>
      <c r="L10" s="212">
        <f>References!$C$11</f>
        <v>4.333333333333333</v>
      </c>
      <c r="M10" s="211">
        <f>+IFERROR(VLOOKUP($C10,'2180 (Reg.) - Price Out 2020'!$B:$AN,39,FALSE),0)+IFERROR(VLOOKUP($C10,'2180 (Reg EA.) - Price Out 2020'!$B:$AN,39,FALSE),0)</f>
        <v>35619.366356121282</v>
      </c>
      <c r="N10" s="211">
        <f t="shared" si="1"/>
        <v>154350.5875431922</v>
      </c>
      <c r="P10" s="186"/>
      <c r="Q10" s="187" t="s">
        <v>96</v>
      </c>
      <c r="R10" s="354">
        <f>SUMIF(A:A,Q10,M:M)</f>
        <v>100419.5114934646</v>
      </c>
      <c r="S10" s="354">
        <f>R10/12</f>
        <v>8368.2926244553837</v>
      </c>
      <c r="T10" s="353">
        <f>+R10-'2180 (Reg.) - Price Out 2020'!AN206-'2180 (Reg EA.) - Price Out 2020'!AN196</f>
        <v>-2.0236257114447653E-11</v>
      </c>
    </row>
    <row r="11" spans="1:21" ht="15" customHeight="1">
      <c r="A11" s="454" t="s">
        <v>90</v>
      </c>
      <c r="B11" s="454" t="s">
        <v>322</v>
      </c>
      <c r="C11" s="454" t="s">
        <v>699</v>
      </c>
      <c r="D11" s="454" t="s">
        <v>733</v>
      </c>
      <c r="E11" s="454" t="s">
        <v>733</v>
      </c>
      <c r="F11" s="454" t="s">
        <v>103</v>
      </c>
      <c r="G11" s="455" t="s">
        <v>323</v>
      </c>
      <c r="H11" s="455" t="s">
        <v>80</v>
      </c>
      <c r="I11" s="455" t="str">
        <f>CONCATENATE(F11," ",H11)</f>
        <v>35 Gallon Cart WG-NR</v>
      </c>
      <c r="J11" s="456" t="s">
        <v>117</v>
      </c>
      <c r="K11" s="456">
        <f>References!$C$18</f>
        <v>34</v>
      </c>
      <c r="L11" s="457">
        <f>References!$C$11</f>
        <v>4.333333333333333</v>
      </c>
      <c r="M11" s="458">
        <f>+IFERROR(VLOOKUP($C11,'2180 (Reg.) - Price Out 2020'!$B:$AN,39,FALSE),0)+IFERROR(VLOOKUP($C11,'2180 (Reg EA.) - Price Out 2020'!$B:$AN,39,FALSE),0)</f>
        <v>1445.1049837583516</v>
      </c>
      <c r="N11" s="458">
        <f>IF(M11=0,L11*6,L11*M11)</f>
        <v>6262.1215962861897</v>
      </c>
      <c r="P11" s="197"/>
      <c r="Q11" s="195" t="s">
        <v>313</v>
      </c>
      <c r="R11" s="354">
        <f>SUMIF(A:A,Q11,M:M)</f>
        <v>51217.524550111339</v>
      </c>
      <c r="S11" s="354">
        <f>R11/12</f>
        <v>4268.1270458426116</v>
      </c>
      <c r="T11" s="353">
        <f>+R11-'2180 (JBLM Housing) -Price 2020'!AJ23</f>
        <v>0</v>
      </c>
    </row>
    <row r="12" spans="1:21" ht="15" customHeight="1">
      <c r="A12" s="213" t="s">
        <v>90</v>
      </c>
      <c r="B12" s="213" t="s">
        <v>322</v>
      </c>
      <c r="C12" s="213" t="s">
        <v>180</v>
      </c>
      <c r="D12" s="213" t="s">
        <v>817</v>
      </c>
      <c r="E12" s="213" t="s">
        <v>179</v>
      </c>
      <c r="F12" s="213" t="s">
        <v>103</v>
      </c>
      <c r="G12" s="214" t="s">
        <v>323</v>
      </c>
      <c r="H12" s="214" t="s">
        <v>79</v>
      </c>
      <c r="I12" s="214" t="str">
        <f t="shared" si="0"/>
        <v>35 Gallon Cart WG-R</v>
      </c>
      <c r="J12" s="209" t="s">
        <v>117</v>
      </c>
      <c r="K12" s="209">
        <f>References!$C$18</f>
        <v>34</v>
      </c>
      <c r="L12" s="212">
        <f>References!$D$11</f>
        <v>8.6666666666666661</v>
      </c>
      <c r="M12" s="211">
        <f>+IFERROR(VLOOKUP($C12,'2180 (Reg.) - Price Out 2020'!$B:$AN,39,FALSE),0)+IFERROR(VLOOKUP($C12,'2180 (Reg EA.) - Price Out 2020'!$B:$AN,39,FALSE),0)</f>
        <v>36.000009725085349</v>
      </c>
      <c r="N12" s="211">
        <f t="shared" si="1"/>
        <v>312.00008428407301</v>
      </c>
      <c r="O12" s="362"/>
    </row>
    <row r="13" spans="1:21" ht="15" customHeight="1">
      <c r="A13" s="213" t="s">
        <v>90</v>
      </c>
      <c r="B13" s="213" t="s">
        <v>322</v>
      </c>
      <c r="C13" s="213" t="s">
        <v>182</v>
      </c>
      <c r="D13" s="213" t="s">
        <v>183</v>
      </c>
      <c r="E13" s="213" t="s">
        <v>183</v>
      </c>
      <c r="F13" s="213" t="s">
        <v>104</v>
      </c>
      <c r="G13" s="214" t="s">
        <v>81</v>
      </c>
      <c r="H13" s="214" t="s">
        <v>319</v>
      </c>
      <c r="I13" s="214" t="str">
        <f t="shared" si="0"/>
        <v>65 Gallon Cart MG-NR</v>
      </c>
      <c r="J13" s="209" t="s">
        <v>118</v>
      </c>
      <c r="K13" s="209">
        <f>References!$C$25</f>
        <v>47</v>
      </c>
      <c r="L13" s="212">
        <f>References!$C$13</f>
        <v>1</v>
      </c>
      <c r="M13" s="211">
        <f>+IFERROR(VLOOKUP($C13,'2180 (Reg.) - Price Out 2020'!$B:$AN,39,FALSE),0)+IFERROR(VLOOKUP($C13,'2180 (Reg EA.) - Price Out 2020'!$B:$AN,39,FALSE),0)</f>
        <v>225.01056323410248</v>
      </c>
      <c r="N13" s="211">
        <f t="shared" si="1"/>
        <v>225.01056323410248</v>
      </c>
    </row>
    <row r="14" spans="1:21" ht="15" customHeight="1">
      <c r="A14" s="213" t="s">
        <v>90</v>
      </c>
      <c r="B14" s="213" t="s">
        <v>322</v>
      </c>
      <c r="C14" s="213" t="s">
        <v>184</v>
      </c>
      <c r="D14" s="213" t="s">
        <v>185</v>
      </c>
      <c r="E14" s="213" t="s">
        <v>185</v>
      </c>
      <c r="F14" s="213" t="s">
        <v>104</v>
      </c>
      <c r="G14" s="214" t="s">
        <v>81</v>
      </c>
      <c r="H14" s="214" t="s">
        <v>327</v>
      </c>
      <c r="I14" s="214" t="str">
        <f t="shared" si="0"/>
        <v>65 Gallon Cart MG-R</v>
      </c>
      <c r="J14" s="209" t="s">
        <v>118</v>
      </c>
      <c r="K14" s="209">
        <f>References!$C$25</f>
        <v>47</v>
      </c>
      <c r="L14" s="212">
        <f>References!$C$13</f>
        <v>1</v>
      </c>
      <c r="M14" s="211">
        <f>+IFERROR(VLOOKUP($C14,'2180 (Reg.) - Price Out 2020'!$B:$AN,39,FALSE),0)+IFERROR(VLOOKUP($C14,'2180 (Reg EA.) - Price Out 2020'!$B:$AN,39,FALSE),0)</f>
        <v>21161.401068244755</v>
      </c>
      <c r="N14" s="211">
        <f t="shared" si="1"/>
        <v>21161.401068244755</v>
      </c>
    </row>
    <row r="15" spans="1:21" ht="15" customHeight="1">
      <c r="A15" s="213" t="s">
        <v>90</v>
      </c>
      <c r="B15" s="213" t="s">
        <v>322</v>
      </c>
      <c r="C15" s="213" t="s">
        <v>186</v>
      </c>
      <c r="D15" s="213" t="s">
        <v>187</v>
      </c>
      <c r="E15" s="213" t="s">
        <v>187</v>
      </c>
      <c r="F15" s="213" t="s">
        <v>104</v>
      </c>
      <c r="G15" s="214" t="s">
        <v>323</v>
      </c>
      <c r="H15" s="214" t="s">
        <v>80</v>
      </c>
      <c r="I15" s="214" t="str">
        <f t="shared" si="0"/>
        <v>65 Gallon Cart WG-NR</v>
      </c>
      <c r="J15" s="209" t="s">
        <v>118</v>
      </c>
      <c r="K15" s="209">
        <f>References!$C$25</f>
        <v>47</v>
      </c>
      <c r="L15" s="212">
        <f>References!$C$11</f>
        <v>4.333333333333333</v>
      </c>
      <c r="M15" s="211">
        <f>+IFERROR(VLOOKUP($C15,'2180 (Reg.) - Price Out 2020'!$B:$AN,39,FALSE),0)+IFERROR(VLOOKUP($C15,'2180 (Reg EA.) - Price Out 2020'!$B:$AN,39,FALSE),0)</f>
        <v>3657.2900564406414</v>
      </c>
      <c r="N15" s="211">
        <f t="shared" si="1"/>
        <v>15848.256911242777</v>
      </c>
    </row>
    <row r="16" spans="1:21" ht="15" customHeight="1">
      <c r="A16" s="213" t="s">
        <v>90</v>
      </c>
      <c r="B16" s="213" t="s">
        <v>322</v>
      </c>
      <c r="C16" s="213" t="s">
        <v>188</v>
      </c>
      <c r="D16" s="213" t="s">
        <v>189</v>
      </c>
      <c r="E16" s="213" t="s">
        <v>189</v>
      </c>
      <c r="F16" s="213" t="s">
        <v>104</v>
      </c>
      <c r="G16" s="214" t="s">
        <v>323</v>
      </c>
      <c r="H16" s="214" t="s">
        <v>79</v>
      </c>
      <c r="I16" s="214" t="str">
        <f t="shared" si="0"/>
        <v>65 Gallon Cart WG-R</v>
      </c>
      <c r="J16" s="209" t="s">
        <v>118</v>
      </c>
      <c r="K16" s="209">
        <f>References!$C$25</f>
        <v>47</v>
      </c>
      <c r="L16" s="212">
        <f>References!$C$11</f>
        <v>4.333333333333333</v>
      </c>
      <c r="M16" s="211">
        <f>+IFERROR(VLOOKUP($C16,'2180 (Reg.) - Price Out 2020'!$B:$AN,39,FALSE),0)+IFERROR(VLOOKUP($C16,'2180 (Reg EA.) - Price Out 2020'!$B:$AN,39,FALSE),0)</f>
        <v>329203.55666457146</v>
      </c>
      <c r="N16" s="211">
        <f t="shared" si="1"/>
        <v>1426548.7455464762</v>
      </c>
    </row>
    <row r="17" spans="1:21" ht="15" customHeight="1">
      <c r="A17" s="213" t="s">
        <v>90</v>
      </c>
      <c r="B17" s="213" t="s">
        <v>322</v>
      </c>
      <c r="C17" s="213" t="s">
        <v>190</v>
      </c>
      <c r="D17" s="213" t="s">
        <v>191</v>
      </c>
      <c r="E17" s="213" t="s">
        <v>191</v>
      </c>
      <c r="F17" s="213" t="s">
        <v>104</v>
      </c>
      <c r="G17" s="214" t="s">
        <v>324</v>
      </c>
      <c r="H17" s="214" t="s">
        <v>325</v>
      </c>
      <c r="I17" s="214" t="str">
        <f t="shared" si="0"/>
        <v>65 Gallon Cart EOWG-NR</v>
      </c>
      <c r="J17" s="209" t="s">
        <v>118</v>
      </c>
      <c r="K17" s="209">
        <f>References!$C$25</f>
        <v>47</v>
      </c>
      <c r="L17" s="212">
        <f>References!$C$12</f>
        <v>2.1666666666666665</v>
      </c>
      <c r="M17" s="211">
        <f>+IFERROR(VLOOKUP($C17,'2180 (Reg.) - Price Out 2020'!$B:$AN,39,FALSE),0)+IFERROR(VLOOKUP($C17,'2180 (Reg EA.) - Price Out 2020'!$B:$AN,39,FALSE),0)</f>
        <v>1652.4288627075903</v>
      </c>
      <c r="N17" s="211">
        <f t="shared" si="1"/>
        <v>3580.2625358664454</v>
      </c>
    </row>
    <row r="18" spans="1:21" ht="15" customHeight="1">
      <c r="A18" s="213" t="s">
        <v>90</v>
      </c>
      <c r="B18" s="213" t="s">
        <v>322</v>
      </c>
      <c r="C18" s="213" t="s">
        <v>192</v>
      </c>
      <c r="D18" s="213" t="s">
        <v>193</v>
      </c>
      <c r="E18" s="213" t="s">
        <v>193</v>
      </c>
      <c r="F18" s="213" t="s">
        <v>104</v>
      </c>
      <c r="G18" s="214" t="s">
        <v>324</v>
      </c>
      <c r="H18" s="214" t="s">
        <v>328</v>
      </c>
      <c r="I18" s="214" t="str">
        <f t="shared" si="0"/>
        <v>65 Gallon Cart EOW-R</v>
      </c>
      <c r="J18" s="209" t="s">
        <v>118</v>
      </c>
      <c r="K18" s="209">
        <f>References!$C$25</f>
        <v>47</v>
      </c>
      <c r="L18" s="212">
        <f>References!$C$12</f>
        <v>2.1666666666666665</v>
      </c>
      <c r="M18" s="211">
        <f>+IFERROR(VLOOKUP($C18,'2180 (Reg.) - Price Out 2020'!$B:$AN,39,FALSE),0)+IFERROR(VLOOKUP($C18,'2180 (Reg EA.) - Price Out 2020'!$B:$AN,39,FALSE),0)</f>
        <v>134381.58057073789</v>
      </c>
      <c r="N18" s="211">
        <f t="shared" si="1"/>
        <v>291160.09123659873</v>
      </c>
    </row>
    <row r="19" spans="1:21" ht="15" customHeight="1">
      <c r="A19" s="213" t="s">
        <v>90</v>
      </c>
      <c r="B19" s="213" t="s">
        <v>322</v>
      </c>
      <c r="C19" s="213" t="s">
        <v>194</v>
      </c>
      <c r="D19" s="213" t="s">
        <v>195</v>
      </c>
      <c r="E19" s="213" t="s">
        <v>195</v>
      </c>
      <c r="F19" s="213" t="s">
        <v>105</v>
      </c>
      <c r="G19" s="214" t="s">
        <v>81</v>
      </c>
      <c r="H19" s="214" t="s">
        <v>319</v>
      </c>
      <c r="I19" s="214" t="str">
        <f t="shared" si="0"/>
        <v>95 Gallon Cart MG-NR</v>
      </c>
      <c r="J19" s="209" t="s">
        <v>119</v>
      </c>
      <c r="K19" s="209">
        <f>References!$C$26</f>
        <v>68</v>
      </c>
      <c r="L19" s="212">
        <f>References!$C$13</f>
        <v>1</v>
      </c>
      <c r="M19" s="211">
        <f>+IFERROR(VLOOKUP($C19,'2180 (Reg.) - Price Out 2020'!$B:$AN,39,FALSE),0)+IFERROR(VLOOKUP($C19,'2180 (Reg EA.) - Price Out 2020'!$B:$AN,39,FALSE),0)</f>
        <v>33.9937324187527</v>
      </c>
      <c r="N19" s="211">
        <f t="shared" si="1"/>
        <v>33.9937324187527</v>
      </c>
    </row>
    <row r="20" spans="1:21" ht="15" customHeight="1">
      <c r="A20" s="213" t="s">
        <v>90</v>
      </c>
      <c r="B20" s="213" t="s">
        <v>322</v>
      </c>
      <c r="C20" s="213" t="s">
        <v>196</v>
      </c>
      <c r="D20" s="213" t="s">
        <v>197</v>
      </c>
      <c r="E20" s="213" t="s">
        <v>197</v>
      </c>
      <c r="F20" s="213" t="s">
        <v>105</v>
      </c>
      <c r="G20" s="214" t="s">
        <v>81</v>
      </c>
      <c r="H20" s="214" t="s">
        <v>327</v>
      </c>
      <c r="I20" s="214" t="str">
        <f t="shared" si="0"/>
        <v>95 Gallon Cart MG-R</v>
      </c>
      <c r="J20" s="209" t="s">
        <v>119</v>
      </c>
      <c r="K20" s="209">
        <f>References!$C$26</f>
        <v>68</v>
      </c>
      <c r="L20" s="212">
        <f>References!$C$13</f>
        <v>1</v>
      </c>
      <c r="M20" s="211">
        <f>+IFERROR(VLOOKUP($C20,'2180 (Reg.) - Price Out 2020'!$B:$AN,39,FALSE),0)+IFERROR(VLOOKUP($C20,'2180 (Reg EA.) - Price Out 2020'!$B:$AN,39,FALSE),0)</f>
        <v>2387.3454343980156</v>
      </c>
      <c r="N20" s="211">
        <f t="shared" si="1"/>
        <v>2387.3454343980156</v>
      </c>
    </row>
    <row r="21" spans="1:21" ht="15" customHeight="1">
      <c r="A21" s="213" t="s">
        <v>90</v>
      </c>
      <c r="B21" s="213" t="s">
        <v>322</v>
      </c>
      <c r="C21" s="213" t="s">
        <v>198</v>
      </c>
      <c r="D21" s="213" t="s">
        <v>199</v>
      </c>
      <c r="E21" s="213" t="s">
        <v>199</v>
      </c>
      <c r="F21" s="213" t="s">
        <v>105</v>
      </c>
      <c r="G21" s="214" t="s">
        <v>323</v>
      </c>
      <c r="H21" s="214" t="s">
        <v>80</v>
      </c>
      <c r="I21" s="214" t="str">
        <f t="shared" si="0"/>
        <v>95 Gallon Cart WG-NR</v>
      </c>
      <c r="J21" s="209" t="s">
        <v>119</v>
      </c>
      <c r="K21" s="209">
        <f>References!$C$26</f>
        <v>68</v>
      </c>
      <c r="L21" s="212">
        <f>References!$C$11</f>
        <v>4.333333333333333</v>
      </c>
      <c r="M21" s="211">
        <f>+IFERROR(VLOOKUP($C21,'2180 (Reg.) - Price Out 2020'!$B:$AN,39,FALSE),0)+IFERROR(VLOOKUP($C21,'2180 (Reg EA.) - Price Out 2020'!$B:$AN,39,FALSE),0)</f>
        <v>1007.2884052016816</v>
      </c>
      <c r="N21" s="211">
        <f t="shared" si="1"/>
        <v>4364.9164225406203</v>
      </c>
    </row>
    <row r="22" spans="1:21" ht="15" customHeight="1">
      <c r="A22" s="213" t="s">
        <v>90</v>
      </c>
      <c r="B22" s="213" t="s">
        <v>322</v>
      </c>
      <c r="C22" s="213" t="s">
        <v>200</v>
      </c>
      <c r="D22" s="213" t="s">
        <v>201</v>
      </c>
      <c r="E22" s="213" t="s">
        <v>201</v>
      </c>
      <c r="F22" s="213" t="s">
        <v>105</v>
      </c>
      <c r="G22" s="214" t="s">
        <v>323</v>
      </c>
      <c r="H22" s="214" t="s">
        <v>79</v>
      </c>
      <c r="I22" s="214" t="str">
        <f t="shared" si="0"/>
        <v>95 Gallon Cart WG-R</v>
      </c>
      <c r="J22" s="209" t="s">
        <v>119</v>
      </c>
      <c r="K22" s="209">
        <f>References!$C$26</f>
        <v>68</v>
      </c>
      <c r="L22" s="212">
        <f>References!$C$11</f>
        <v>4.333333333333333</v>
      </c>
      <c r="M22" s="211">
        <f>+IFERROR(VLOOKUP($C22,'2180 (Reg.) - Price Out 2020'!$B:$AN,39,FALSE),0)+IFERROR(VLOOKUP($C22,'2180 (Reg EA.) - Price Out 2020'!$B:$AN,39,FALSE),0)</f>
        <v>106259.41352208707</v>
      </c>
      <c r="N22" s="211">
        <f t="shared" si="1"/>
        <v>460457.45859571057</v>
      </c>
    </row>
    <row r="23" spans="1:21" ht="15" customHeight="1">
      <c r="A23" s="213" t="s">
        <v>90</v>
      </c>
      <c r="B23" s="213" t="s">
        <v>322</v>
      </c>
      <c r="C23" s="213" t="s">
        <v>202</v>
      </c>
      <c r="D23" s="213" t="s">
        <v>203</v>
      </c>
      <c r="E23" s="213" t="s">
        <v>203</v>
      </c>
      <c r="F23" s="213" t="s">
        <v>105</v>
      </c>
      <c r="G23" s="214" t="s">
        <v>324</v>
      </c>
      <c r="H23" s="214" t="s">
        <v>325</v>
      </c>
      <c r="I23" s="214" t="str">
        <f t="shared" si="0"/>
        <v>95 Gallon Cart EOWG-NR</v>
      </c>
      <c r="J23" s="209" t="s">
        <v>119</v>
      </c>
      <c r="K23" s="209">
        <f>References!$C$26</f>
        <v>68</v>
      </c>
      <c r="L23" s="212">
        <f>References!$C$12</f>
        <v>2.1666666666666665</v>
      </c>
      <c r="M23" s="211">
        <f>+IFERROR(VLOOKUP($C23,'2180 (Reg.) - Price Out 2020'!$B:$AN,39,FALSE),0)+IFERROR(VLOOKUP($C23,'2180 (Reg EA.) - Price Out 2020'!$B:$AN,39,FALSE),0)</f>
        <v>104.01137021770606</v>
      </c>
      <c r="N23" s="211">
        <f t="shared" si="1"/>
        <v>225.35796880502977</v>
      </c>
    </row>
    <row r="24" spans="1:21" ht="14.25" customHeight="1">
      <c r="A24" s="213" t="s">
        <v>90</v>
      </c>
      <c r="B24" s="213" t="s">
        <v>322</v>
      </c>
      <c r="C24" s="213" t="s">
        <v>204</v>
      </c>
      <c r="D24" s="213" t="s">
        <v>205</v>
      </c>
      <c r="E24" s="213" t="s">
        <v>205</v>
      </c>
      <c r="F24" s="213" t="s">
        <v>105</v>
      </c>
      <c r="G24" s="214" t="s">
        <v>324</v>
      </c>
      <c r="H24" s="214" t="s">
        <v>326</v>
      </c>
      <c r="I24" s="214" t="str">
        <f t="shared" si="0"/>
        <v>95 Gallon Cart EOWG-R</v>
      </c>
      <c r="J24" s="209" t="s">
        <v>119</v>
      </c>
      <c r="K24" s="209">
        <f>References!$C$26</f>
        <v>68</v>
      </c>
      <c r="L24" s="212">
        <f>References!$C$12</f>
        <v>2.1666666666666665</v>
      </c>
      <c r="M24" s="211">
        <f>+IFERROR(VLOOKUP($C24,'2180 (Reg.) - Price Out 2020'!$B:$AN,39,FALSE),0)+IFERROR(VLOOKUP($C24,'2180 (Reg EA.) - Price Out 2020'!$B:$AN,39,FALSE),0)</f>
        <v>19102.684734668146</v>
      </c>
      <c r="N24" s="211">
        <f t="shared" si="1"/>
        <v>41389.150258447648</v>
      </c>
    </row>
    <row r="25" spans="1:21" ht="15" customHeight="1">
      <c r="A25" s="213" t="s">
        <v>90</v>
      </c>
      <c r="B25" s="213" t="s">
        <v>321</v>
      </c>
      <c r="C25" s="213" t="s">
        <v>208</v>
      </c>
      <c r="D25" s="213" t="s">
        <v>209</v>
      </c>
      <c r="E25" s="213" t="s">
        <v>209</v>
      </c>
      <c r="F25" s="213" t="s">
        <v>82</v>
      </c>
      <c r="G25" s="215" t="s">
        <v>83</v>
      </c>
      <c r="H25" s="214" t="s">
        <v>115</v>
      </c>
      <c r="I25" s="214" t="str">
        <f>CONCATENATE(F25," ",H25)</f>
        <v>Extra Units Extra</v>
      </c>
      <c r="J25" s="209" t="s">
        <v>117</v>
      </c>
      <c r="K25" s="209">
        <f>References!$C$28</f>
        <v>34</v>
      </c>
      <c r="L25" s="212">
        <f>References!$C$14</f>
        <v>1</v>
      </c>
      <c r="M25" s="211">
        <f>+IFERROR(VLOOKUP($C25,'2180 (Reg.) - Price Out 2020'!$B:$AN,39,FALSE),0)+IFERROR(VLOOKUP($C25,'2180 (Reg EA.) - Price Out 2020'!$B:$AN,39,FALSE),0)</f>
        <v>32439.775823151791</v>
      </c>
      <c r="N25" s="211">
        <f>IF(M25=0,L25*6,L25*M25)</f>
        <v>32439.775823151791</v>
      </c>
    </row>
    <row r="26" spans="1:21" ht="15" customHeight="1">
      <c r="A26" s="213" t="s">
        <v>90</v>
      </c>
      <c r="B26" s="213" t="s">
        <v>321</v>
      </c>
      <c r="C26" s="213" t="s">
        <v>703</v>
      </c>
      <c r="D26" s="213" t="s">
        <v>728</v>
      </c>
      <c r="E26" s="213" t="s">
        <v>728</v>
      </c>
      <c r="F26" s="213" t="s">
        <v>787</v>
      </c>
      <c r="G26" s="215" t="s">
        <v>83</v>
      </c>
      <c r="H26" s="214" t="s">
        <v>115</v>
      </c>
      <c r="I26" s="214" t="str">
        <f>CONCATENATE(F26," ",H26)</f>
        <v>65 Gallon Extra</v>
      </c>
      <c r="J26" s="209" t="s">
        <v>118</v>
      </c>
      <c r="K26" s="209">
        <f>References!$C$25</f>
        <v>47</v>
      </c>
      <c r="L26" s="212">
        <f>References!$C$14</f>
        <v>1</v>
      </c>
      <c r="M26" s="211">
        <f>+IFERROR(VLOOKUP($C26,'2180 (Reg.) - Price Out 2020'!$B:$AN,39,FALSE),0)+IFERROR(VLOOKUP($C26,'2180 (Reg EA.) - Price Out 2020'!$B:$AN,39,FALSE),0)</f>
        <v>25</v>
      </c>
      <c r="N26" s="211">
        <f>IF(M26=0,L26*6,L26*M26)</f>
        <v>25</v>
      </c>
    </row>
    <row r="27" spans="1:21" ht="15" customHeight="1">
      <c r="A27" s="213" t="s">
        <v>90</v>
      </c>
      <c r="B27" s="213" t="s">
        <v>321</v>
      </c>
      <c r="C27" s="213" t="s">
        <v>704</v>
      </c>
      <c r="D27" s="213" t="s">
        <v>729</v>
      </c>
      <c r="E27" s="213" t="s">
        <v>729</v>
      </c>
      <c r="F27" s="213" t="s">
        <v>788</v>
      </c>
      <c r="G27" s="215" t="s">
        <v>83</v>
      </c>
      <c r="H27" s="214" t="s">
        <v>115</v>
      </c>
      <c r="I27" s="214" t="str">
        <f>CONCATENATE(F27," ",H27)</f>
        <v>95 Gallon Extra</v>
      </c>
      <c r="J27" s="209" t="s">
        <v>119</v>
      </c>
      <c r="K27" s="209">
        <f>References!$C$26</f>
        <v>68</v>
      </c>
      <c r="L27" s="212">
        <f>References!$C$14</f>
        <v>1</v>
      </c>
      <c r="M27" s="211">
        <f>+IFERROR(VLOOKUP($C27,'2180 (Reg.) - Price Out 2020'!$B:$AN,39,FALSE),0)+IFERROR(VLOOKUP($C27,'2180 (Reg EA.) - Price Out 2020'!$B:$AN,39,FALSE),0)</f>
        <v>293.96658250151103</v>
      </c>
      <c r="N27" s="211">
        <f>IF(M27=0,L27*6,L27*M27)</f>
        <v>293.96658250151103</v>
      </c>
    </row>
    <row r="28" spans="1:21" ht="15" customHeight="1">
      <c r="A28" s="213" t="s">
        <v>90</v>
      </c>
      <c r="B28" s="213" t="s">
        <v>321</v>
      </c>
      <c r="C28" s="213" t="s">
        <v>360</v>
      </c>
      <c r="D28" s="213" t="s">
        <v>361</v>
      </c>
      <c r="E28" s="213" t="s">
        <v>361</v>
      </c>
      <c r="F28" s="213" t="s">
        <v>82</v>
      </c>
      <c r="G28" s="215" t="s">
        <v>83</v>
      </c>
      <c r="H28" s="214" t="s">
        <v>789</v>
      </c>
      <c r="I28" s="214" t="str">
        <f>CONCATENATE(F28," ",H28)</f>
        <v>Extra Units On Call</v>
      </c>
      <c r="J28" s="209" t="s">
        <v>117</v>
      </c>
      <c r="K28" s="209">
        <f>References!$C$28</f>
        <v>34</v>
      </c>
      <c r="L28" s="212">
        <f>References!$C$14</f>
        <v>1</v>
      </c>
      <c r="M28" s="211">
        <f>+IFERROR(VLOOKUP($C28,'2180 (Reg.) - Price Out 2020'!$B:$AN,39,FALSE),0)+IFERROR(VLOOKUP($C28,'2180 (Reg EA.) - Price Out 2020'!$B:$AN,39,FALSE),0)</f>
        <v>1643.9004645336395</v>
      </c>
      <c r="N28" s="211">
        <f>IF(M28=0,L28*6,L28*M28)</f>
        <v>1643.9004645336395</v>
      </c>
    </row>
    <row r="29" spans="1:21" ht="14.25" customHeight="1">
      <c r="A29" s="213" t="s">
        <v>90</v>
      </c>
      <c r="B29" s="213" t="s">
        <v>336</v>
      </c>
      <c r="C29" s="213" t="s">
        <v>206</v>
      </c>
      <c r="D29" s="213" t="s">
        <v>207</v>
      </c>
      <c r="E29" s="213" t="s">
        <v>207</v>
      </c>
      <c r="F29" s="213" t="s">
        <v>790</v>
      </c>
      <c r="G29" s="214" t="s">
        <v>83</v>
      </c>
      <c r="H29" s="214" t="s">
        <v>115</v>
      </c>
      <c r="I29" s="214" t="str">
        <f t="shared" ref="I29:I53" si="2">CONCATENATE(F29," ",H29)</f>
        <v>Bulky Extra</v>
      </c>
      <c r="J29" s="209" t="s">
        <v>120</v>
      </c>
      <c r="K29" s="209">
        <f>References!$C$31</f>
        <v>125</v>
      </c>
      <c r="L29" s="212">
        <f>References!$C$14</f>
        <v>1</v>
      </c>
      <c r="M29" s="211">
        <f>+IFERROR(VLOOKUP($C29,'2180 (Reg.) - Price Out 2020'!$B:$AN,39,FALSE),0)+IFERROR(VLOOKUP($C29,'2180 (Reg EA.) - Price Out 2020'!$B:$AN,39,FALSE),0)</f>
        <v>4</v>
      </c>
      <c r="N29" s="211">
        <f t="shared" si="1"/>
        <v>4</v>
      </c>
    </row>
    <row r="30" spans="1:21" s="68" customFormat="1" ht="15" customHeight="1">
      <c r="A30" s="347" t="s">
        <v>96</v>
      </c>
      <c r="B30" s="347" t="s">
        <v>331</v>
      </c>
      <c r="C30" s="347" t="s">
        <v>311</v>
      </c>
      <c r="D30" s="347" t="s">
        <v>312</v>
      </c>
      <c r="E30" s="347" t="s">
        <v>312</v>
      </c>
      <c r="F30" s="347" t="s">
        <v>791</v>
      </c>
      <c r="G30" s="348" t="s">
        <v>83</v>
      </c>
      <c r="H30" s="347" t="s">
        <v>115</v>
      </c>
      <c r="I30" s="348" t="str">
        <f>CONCATENATE(F30," ",H30)</f>
        <v>Extra Yardage Extra</v>
      </c>
      <c r="J30" s="349" t="s">
        <v>120</v>
      </c>
      <c r="K30" s="349">
        <f>References!$C$31</f>
        <v>125</v>
      </c>
      <c r="L30" s="350">
        <f>References!$C$14</f>
        <v>1</v>
      </c>
      <c r="M30" s="351">
        <f>+IFERROR(VLOOKUP($C30,'2180 (Reg.) - Price Out 2020'!$B:$AN,39,FALSE),0)+IFERROR(VLOOKUP($C30,'2180 (Reg EA.) - Price Out 2020'!$B:$AN,39,FALSE),0)</f>
        <v>501.95507020280814</v>
      </c>
      <c r="N30" s="351">
        <f>IF(M30=0,L30*6,L30*M30)</f>
        <v>501.95507020280814</v>
      </c>
      <c r="O30" s="485"/>
    </row>
    <row r="31" spans="1:21" ht="15" customHeight="1">
      <c r="A31" s="186" t="s">
        <v>96</v>
      </c>
      <c r="B31" s="186" t="s">
        <v>332</v>
      </c>
      <c r="C31" s="186" t="s">
        <v>210</v>
      </c>
      <c r="D31" s="186" t="s">
        <v>211</v>
      </c>
      <c r="E31" s="186" t="s">
        <v>211</v>
      </c>
      <c r="F31" s="186" t="s">
        <v>84</v>
      </c>
      <c r="G31" s="189" t="s">
        <v>83</v>
      </c>
      <c r="H31" s="186" t="s">
        <v>602</v>
      </c>
      <c r="I31" s="189" t="s">
        <v>603</v>
      </c>
      <c r="J31" s="185" t="s">
        <v>120</v>
      </c>
      <c r="K31" s="185">
        <f>References!$C$32</f>
        <v>175</v>
      </c>
      <c r="L31" s="198">
        <f>References!$C$11</f>
        <v>4.333333333333333</v>
      </c>
      <c r="M31" s="200">
        <f>+IFERROR(VLOOKUP($C31,'2180 (Reg.) - Price Out 2020'!$B:$AN,39,FALSE),0)+IFERROR(VLOOKUP($C31,'2180 (Reg EA.) - Price Out 2020'!$B:$AN,39,FALSE),0)</f>
        <v>15850.470745841887</v>
      </c>
      <c r="N31" s="200">
        <f t="shared" si="1"/>
        <v>68685.373231981503</v>
      </c>
      <c r="O31" s="204"/>
      <c r="P31" s="449"/>
      <c r="T31" s="188"/>
      <c r="U31" s="188"/>
    </row>
    <row r="32" spans="1:21" ht="15" customHeight="1">
      <c r="A32" s="186" t="s">
        <v>96</v>
      </c>
      <c r="B32" s="186" t="s">
        <v>332</v>
      </c>
      <c r="C32" s="186" t="s">
        <v>212</v>
      </c>
      <c r="D32" s="186" t="s">
        <v>213</v>
      </c>
      <c r="E32" s="186" t="s">
        <v>211</v>
      </c>
      <c r="F32" s="186" t="s">
        <v>84</v>
      </c>
      <c r="G32" s="189" t="s">
        <v>83</v>
      </c>
      <c r="H32" s="186" t="s">
        <v>114</v>
      </c>
      <c r="I32" s="189" t="s">
        <v>603</v>
      </c>
      <c r="J32" s="185" t="s">
        <v>120</v>
      </c>
      <c r="K32" s="185">
        <f>References!$C$32</f>
        <v>175</v>
      </c>
      <c r="L32" s="198">
        <f>References!$C$10</f>
        <v>8.6666666666666661</v>
      </c>
      <c r="M32" s="200">
        <f>+IFERROR(VLOOKUP($C32,'2180 (Reg.) - Price Out 2020'!$B:$AN,39,FALSE),0)+IFERROR(VLOOKUP($C32,'2180 (Reg EA.) - Price Out 2020'!$B:$AN,39,FALSE),0)</f>
        <v>50</v>
      </c>
      <c r="N32" s="200">
        <f t="shared" si="1"/>
        <v>433.33333333333331</v>
      </c>
      <c r="O32" s="204"/>
      <c r="P32" s="449"/>
      <c r="T32" s="188"/>
      <c r="U32" s="188"/>
    </row>
    <row r="33" spans="1:21" ht="15" customHeight="1">
      <c r="A33" s="186" t="s">
        <v>96</v>
      </c>
      <c r="B33" s="186" t="s">
        <v>332</v>
      </c>
      <c r="C33" s="186" t="s">
        <v>214</v>
      </c>
      <c r="D33" s="186" t="s">
        <v>215</v>
      </c>
      <c r="E33" s="186" t="s">
        <v>211</v>
      </c>
      <c r="F33" s="186" t="s">
        <v>84</v>
      </c>
      <c r="G33" s="189" t="s">
        <v>83</v>
      </c>
      <c r="H33" s="186" t="s">
        <v>114</v>
      </c>
      <c r="I33" s="189" t="s">
        <v>603</v>
      </c>
      <c r="J33" s="185" t="s">
        <v>120</v>
      </c>
      <c r="K33" s="185">
        <f>References!$C$32</f>
        <v>175</v>
      </c>
      <c r="L33" s="198">
        <f>References!$C$9</f>
        <v>13</v>
      </c>
      <c r="M33" s="200">
        <f>+IFERROR(VLOOKUP($C33,'2180 (Reg.) - Price Out 2020'!$B:$AN,39,FALSE),0)+IFERROR(VLOOKUP($C33,'2180 (Reg EA.) - Price Out 2020'!$B:$AN,39,FALSE),0)</f>
        <v>16</v>
      </c>
      <c r="N33" s="200">
        <f t="shared" si="1"/>
        <v>208</v>
      </c>
      <c r="O33" s="204"/>
      <c r="T33" s="188"/>
      <c r="U33" s="188"/>
    </row>
    <row r="34" spans="1:21" ht="15" customHeight="1">
      <c r="A34" s="186" t="s">
        <v>96</v>
      </c>
      <c r="B34" s="186" t="s">
        <v>332</v>
      </c>
      <c r="C34" s="186" t="s">
        <v>490</v>
      </c>
      <c r="D34" s="186" t="s">
        <v>664</v>
      </c>
      <c r="E34" s="186" t="s">
        <v>211</v>
      </c>
      <c r="F34" s="186" t="s">
        <v>84</v>
      </c>
      <c r="G34" s="189" t="s">
        <v>83</v>
      </c>
      <c r="H34" s="186" t="s">
        <v>114</v>
      </c>
      <c r="I34" s="189" t="s">
        <v>603</v>
      </c>
      <c r="J34" s="185" t="s">
        <v>120</v>
      </c>
      <c r="K34" s="185">
        <f>References!$C$32</f>
        <v>175</v>
      </c>
      <c r="L34" s="198">
        <f>References!$C$12</f>
        <v>2.1666666666666665</v>
      </c>
      <c r="M34" s="200">
        <f>+IFERROR(VLOOKUP($C34,'2180 (Reg.) - Price Out 2020'!$B:$AN,39,FALSE),0)+IFERROR(VLOOKUP($C34,'2180 (Reg EA.) - Price Out 2020'!$B:$AN,39,FALSE),0)</f>
        <v>223.00748304013436</v>
      </c>
      <c r="N34" s="200">
        <f t="shared" si="1"/>
        <v>483.1828799202911</v>
      </c>
      <c r="O34" s="204"/>
      <c r="T34" s="188"/>
      <c r="U34" s="188"/>
    </row>
    <row r="35" spans="1:21" ht="15" customHeight="1">
      <c r="A35" s="186" t="s">
        <v>96</v>
      </c>
      <c r="B35" s="186" t="s">
        <v>332</v>
      </c>
      <c r="C35" s="186" t="s">
        <v>295</v>
      </c>
      <c r="D35" s="186" t="s">
        <v>296</v>
      </c>
      <c r="E35" s="186" t="s">
        <v>296</v>
      </c>
      <c r="F35" s="186" t="s">
        <v>84</v>
      </c>
      <c r="G35" s="189" t="s">
        <v>83</v>
      </c>
      <c r="H35" s="186" t="s">
        <v>159</v>
      </c>
      <c r="I35" s="189" t="str">
        <f t="shared" si="2"/>
        <v>1 yard Temp</v>
      </c>
      <c r="J35" s="185" t="s">
        <v>120</v>
      </c>
      <c r="K35" s="185">
        <f>References!$C$32</f>
        <v>175</v>
      </c>
      <c r="L35" s="198">
        <f>References!$C$14</f>
        <v>1</v>
      </c>
      <c r="M35" s="200">
        <f>+IFERROR(VLOOKUP($C35,'2180 (Reg.) - Price Out 2020'!$B:$AN,39,FALSE),0)+IFERROR(VLOOKUP($C35,'2180 (Reg EA.) - Price Out 2020'!$B:$AN,39,FALSE),0)</f>
        <v>122</v>
      </c>
      <c r="N35" s="200">
        <f t="shared" si="1"/>
        <v>122</v>
      </c>
      <c r="O35" s="204"/>
      <c r="T35" s="188"/>
      <c r="U35" s="188"/>
    </row>
    <row r="36" spans="1:21" ht="15" customHeight="1">
      <c r="A36" s="186" t="s">
        <v>96</v>
      </c>
      <c r="B36" s="186" t="s">
        <v>332</v>
      </c>
      <c r="C36" s="186" t="s">
        <v>216</v>
      </c>
      <c r="D36" s="186" t="s">
        <v>217</v>
      </c>
      <c r="E36" s="186" t="s">
        <v>217</v>
      </c>
      <c r="F36" s="186" t="s">
        <v>85</v>
      </c>
      <c r="G36" s="189" t="s">
        <v>83</v>
      </c>
      <c r="H36" s="186" t="s">
        <v>114</v>
      </c>
      <c r="I36" s="189" t="str">
        <f t="shared" si="2"/>
        <v>1.5 yard Regular</v>
      </c>
      <c r="J36" s="185" t="s">
        <v>121</v>
      </c>
      <c r="K36" s="185">
        <f>References!$C$33</f>
        <v>250</v>
      </c>
      <c r="L36" s="198">
        <f>References!$C$11</f>
        <v>4.333333333333333</v>
      </c>
      <c r="M36" s="200">
        <f>+IFERROR(VLOOKUP($C36,'2180 (Reg.) - Price Out 2020'!$B:$AN,39,FALSE),0)+IFERROR(VLOOKUP($C36,'2180 (Reg EA.) - Price Out 2020'!$B:$AN,39,FALSE),0)</f>
        <v>3368.4882161028172</v>
      </c>
      <c r="N36" s="200">
        <f t="shared" si="1"/>
        <v>14596.782269778874</v>
      </c>
      <c r="O36" s="204"/>
      <c r="T36" s="188"/>
      <c r="U36" s="188"/>
    </row>
    <row r="37" spans="1:21" ht="15" customHeight="1">
      <c r="A37" s="186" t="s">
        <v>96</v>
      </c>
      <c r="B37" s="186" t="s">
        <v>332</v>
      </c>
      <c r="C37" s="186" t="s">
        <v>218</v>
      </c>
      <c r="D37" s="186" t="s">
        <v>219</v>
      </c>
      <c r="E37" s="186" t="s">
        <v>217</v>
      </c>
      <c r="F37" s="186" t="s">
        <v>85</v>
      </c>
      <c r="G37" s="189" t="s">
        <v>83</v>
      </c>
      <c r="H37" s="186" t="s">
        <v>114</v>
      </c>
      <c r="I37" s="189" t="str">
        <f t="shared" si="2"/>
        <v>1.5 yard Regular</v>
      </c>
      <c r="J37" s="185" t="s">
        <v>121</v>
      </c>
      <c r="K37" s="185">
        <f>References!$C$33</f>
        <v>250</v>
      </c>
      <c r="L37" s="198">
        <f>References!$C$10</f>
        <v>8.6666666666666661</v>
      </c>
      <c r="M37" s="200">
        <f>+IFERROR(VLOOKUP($C37,'2180 (Reg.) - Price Out 2020'!$B:$AN,39,FALSE),0)+IFERROR(VLOOKUP($C37,'2180 (Reg EA.) - Price Out 2020'!$B:$AN,39,FALSE),0)</f>
        <v>257.99999062476076</v>
      </c>
      <c r="N37" s="200">
        <f t="shared" si="1"/>
        <v>2235.9999187479266</v>
      </c>
      <c r="O37" s="204"/>
      <c r="T37" s="188"/>
      <c r="U37" s="188"/>
    </row>
    <row r="38" spans="1:21" ht="15" customHeight="1">
      <c r="A38" s="186" t="s">
        <v>96</v>
      </c>
      <c r="B38" s="186" t="s">
        <v>332</v>
      </c>
      <c r="C38" s="186" t="s">
        <v>220</v>
      </c>
      <c r="D38" s="186" t="s">
        <v>221</v>
      </c>
      <c r="E38" s="186" t="s">
        <v>217</v>
      </c>
      <c r="F38" s="186" t="s">
        <v>85</v>
      </c>
      <c r="G38" s="189" t="s">
        <v>83</v>
      </c>
      <c r="H38" s="186" t="s">
        <v>114</v>
      </c>
      <c r="I38" s="189" t="str">
        <f t="shared" si="2"/>
        <v>1.5 yard Regular</v>
      </c>
      <c r="J38" s="185" t="s">
        <v>121</v>
      </c>
      <c r="K38" s="185">
        <f>References!$C$33</f>
        <v>250</v>
      </c>
      <c r="L38" s="198">
        <f>References!$C$9</f>
        <v>13</v>
      </c>
      <c r="M38" s="200">
        <f>+IFERROR(VLOOKUP($C38,'2180 (Reg.) - Price Out 2020'!$B:$AN,39,FALSE),0)+IFERROR(VLOOKUP($C38,'2180 (Reg EA.) - Price Out 2020'!$B:$AN,39,FALSE),0)</f>
        <v>24</v>
      </c>
      <c r="N38" s="200">
        <f t="shared" si="1"/>
        <v>312</v>
      </c>
      <c r="O38" s="204"/>
      <c r="T38" s="188"/>
      <c r="U38" s="188"/>
    </row>
    <row r="39" spans="1:21" ht="15" customHeight="1">
      <c r="A39" s="186" t="s">
        <v>96</v>
      </c>
      <c r="B39" s="186" t="s">
        <v>332</v>
      </c>
      <c r="C39" s="186" t="s">
        <v>297</v>
      </c>
      <c r="D39" s="186" t="s">
        <v>298</v>
      </c>
      <c r="E39" s="186" t="s">
        <v>298</v>
      </c>
      <c r="F39" s="186" t="s">
        <v>85</v>
      </c>
      <c r="G39" s="189" t="s">
        <v>83</v>
      </c>
      <c r="H39" s="186" t="s">
        <v>159</v>
      </c>
      <c r="I39" s="189" t="str">
        <f>CONCATENATE(F39," ",H39)</f>
        <v>1.5 yard Temp</v>
      </c>
      <c r="J39" s="185" t="s">
        <v>121</v>
      </c>
      <c r="K39" s="185">
        <f>References!$C$33</f>
        <v>250</v>
      </c>
      <c r="L39" s="198">
        <f>References!$C$14</f>
        <v>1</v>
      </c>
      <c r="M39" s="200">
        <f>+IFERROR(VLOOKUP($C39,'2180 (Reg.) - Price Out 2020'!$B:$AN,39,FALSE),0)+IFERROR(VLOOKUP($C39,'2180 (Reg EA.) - Price Out 2020'!$B:$AN,39,FALSE),0)</f>
        <v>435.96550622804216</v>
      </c>
      <c r="N39" s="200">
        <f>IF(M39=0,L39*6,L39*M39)</f>
        <v>435.96550622804216</v>
      </c>
      <c r="O39" s="204"/>
      <c r="T39" s="188"/>
      <c r="U39" s="188"/>
    </row>
    <row r="40" spans="1:21" ht="15" customHeight="1">
      <c r="A40" s="186" t="s">
        <v>96</v>
      </c>
      <c r="B40" s="186" t="s">
        <v>332</v>
      </c>
      <c r="C40" s="186" t="s">
        <v>222</v>
      </c>
      <c r="D40" s="186" t="s">
        <v>223</v>
      </c>
      <c r="E40" s="186" t="s">
        <v>223</v>
      </c>
      <c r="F40" s="186" t="s">
        <v>86</v>
      </c>
      <c r="G40" s="189" t="s">
        <v>83</v>
      </c>
      <c r="H40" s="186" t="s">
        <v>114</v>
      </c>
      <c r="I40" s="189" t="str">
        <f t="shared" si="2"/>
        <v>2 yard Regular</v>
      </c>
      <c r="J40" s="185" t="s">
        <v>125</v>
      </c>
      <c r="K40" s="185">
        <f>References!$C$34</f>
        <v>324</v>
      </c>
      <c r="L40" s="198">
        <f>References!$C$11</f>
        <v>4.333333333333333</v>
      </c>
      <c r="M40" s="200">
        <f>+IFERROR(VLOOKUP($C40,'2180 (Reg.) - Price Out 2020'!$B:$AN,39,FALSE),0)+IFERROR(VLOOKUP($C40,'2180 (Reg EA.) - Price Out 2020'!$B:$AN,39,FALSE),0)</f>
        <v>5085.6865672315898</v>
      </c>
      <c r="N40" s="200">
        <f t="shared" si="1"/>
        <v>22037.975124670222</v>
      </c>
      <c r="O40" s="204"/>
      <c r="T40" s="188"/>
      <c r="U40" s="188"/>
    </row>
    <row r="41" spans="1:21" ht="15" customHeight="1">
      <c r="A41" s="186" t="s">
        <v>96</v>
      </c>
      <c r="B41" s="186" t="s">
        <v>332</v>
      </c>
      <c r="C41" s="186" t="s">
        <v>224</v>
      </c>
      <c r="D41" s="186" t="s">
        <v>225</v>
      </c>
      <c r="E41" s="186" t="s">
        <v>223</v>
      </c>
      <c r="F41" s="186" t="s">
        <v>86</v>
      </c>
      <c r="G41" s="189" t="s">
        <v>83</v>
      </c>
      <c r="H41" s="186" t="s">
        <v>114</v>
      </c>
      <c r="I41" s="189" t="str">
        <f t="shared" si="2"/>
        <v>2 yard Regular</v>
      </c>
      <c r="J41" s="185" t="s">
        <v>125</v>
      </c>
      <c r="K41" s="185">
        <f>References!$C$34</f>
        <v>324</v>
      </c>
      <c r="L41" s="198">
        <f>References!$C$10</f>
        <v>8.6666666666666661</v>
      </c>
      <c r="M41" s="200">
        <f>+IFERROR(VLOOKUP($C41,'2180 (Reg.) - Price Out 2020'!$B:$AN,39,FALSE),0)+IFERROR(VLOOKUP($C41,'2180 (Reg EA.) - Price Out 2020'!$B:$AN,39,FALSE),0)</f>
        <v>442.74041155543182</v>
      </c>
      <c r="N41" s="200">
        <f t="shared" si="1"/>
        <v>3837.083566813742</v>
      </c>
      <c r="O41" s="204"/>
      <c r="S41" s="157"/>
      <c r="T41" s="188"/>
      <c r="U41" s="188"/>
    </row>
    <row r="42" spans="1:21" ht="15" customHeight="1">
      <c r="A42" s="186" t="s">
        <v>96</v>
      </c>
      <c r="B42" s="186" t="s">
        <v>332</v>
      </c>
      <c r="C42" s="186" t="s">
        <v>226</v>
      </c>
      <c r="D42" s="186" t="s">
        <v>227</v>
      </c>
      <c r="E42" s="186" t="s">
        <v>223</v>
      </c>
      <c r="F42" s="186" t="s">
        <v>86</v>
      </c>
      <c r="G42" s="189" t="s">
        <v>83</v>
      </c>
      <c r="H42" s="186" t="s">
        <v>114</v>
      </c>
      <c r="I42" s="189" t="str">
        <f t="shared" si="2"/>
        <v>2 yard Regular</v>
      </c>
      <c r="J42" s="185" t="s">
        <v>125</v>
      </c>
      <c r="K42" s="185">
        <f>References!$C$34</f>
        <v>324</v>
      </c>
      <c r="L42" s="198">
        <f>References!$C$9</f>
        <v>13</v>
      </c>
      <c r="M42" s="200">
        <f>+IFERROR(VLOOKUP($C42,'2180 (Reg.) - Price Out 2020'!$B:$AN,39,FALSE),0)+IFERROR(VLOOKUP($C42,'2180 (Reg EA.) - Price Out 2020'!$B:$AN,39,FALSE),0)</f>
        <v>161.04895135513814</v>
      </c>
      <c r="N42" s="200">
        <f t="shared" si="1"/>
        <v>2093.6363676167957</v>
      </c>
      <c r="O42" s="204"/>
      <c r="S42" s="157"/>
      <c r="T42" s="188"/>
      <c r="U42" s="188"/>
    </row>
    <row r="43" spans="1:21" ht="15" customHeight="1">
      <c r="A43" s="186" t="s">
        <v>96</v>
      </c>
      <c r="B43" s="186" t="s">
        <v>332</v>
      </c>
      <c r="C43" s="186" t="s">
        <v>299</v>
      </c>
      <c r="D43" s="186" t="s">
        <v>300</v>
      </c>
      <c r="E43" s="186" t="s">
        <v>300</v>
      </c>
      <c r="F43" s="186" t="s">
        <v>86</v>
      </c>
      <c r="G43" s="189" t="s">
        <v>83</v>
      </c>
      <c r="H43" s="186" t="s">
        <v>159</v>
      </c>
      <c r="I43" s="189" t="str">
        <f t="shared" si="2"/>
        <v>2 yard Temp</v>
      </c>
      <c r="J43" s="185" t="s">
        <v>125</v>
      </c>
      <c r="K43" s="185">
        <f>References!$C$34</f>
        <v>324</v>
      </c>
      <c r="L43" s="198">
        <f>References!$C$14</f>
        <v>1</v>
      </c>
      <c r="M43" s="200">
        <f>+IFERROR(VLOOKUP($C43,'2180 (Reg.) - Price Out 2020'!$B:$AN,39,FALSE),0)+IFERROR(VLOOKUP($C43,'2180 (Reg EA.) - Price Out 2020'!$B:$AN,39,FALSE),0)</f>
        <v>1572.9242470643378</v>
      </c>
      <c r="N43" s="200">
        <f t="shared" si="1"/>
        <v>1572.9242470643378</v>
      </c>
      <c r="O43" s="204"/>
      <c r="S43" s="157"/>
      <c r="T43" s="188"/>
      <c r="U43" s="188"/>
    </row>
    <row r="44" spans="1:21" ht="15" customHeight="1">
      <c r="A44" s="186" t="s">
        <v>96</v>
      </c>
      <c r="B44" s="186" t="s">
        <v>332</v>
      </c>
      <c r="C44" s="186" t="s">
        <v>228</v>
      </c>
      <c r="D44" s="186" t="s">
        <v>229</v>
      </c>
      <c r="E44" s="186" t="s">
        <v>229</v>
      </c>
      <c r="F44" s="186" t="s">
        <v>89</v>
      </c>
      <c r="G44" s="189" t="s">
        <v>83</v>
      </c>
      <c r="H44" s="186" t="s">
        <v>114</v>
      </c>
      <c r="I44" s="189" t="str">
        <f t="shared" si="2"/>
        <v>3 yard Regular</v>
      </c>
      <c r="J44" s="185" t="s">
        <v>124</v>
      </c>
      <c r="K44" s="185">
        <f>References!$C$35</f>
        <v>473</v>
      </c>
      <c r="L44" s="198">
        <f>References!$C$11</f>
        <v>4.333333333333333</v>
      </c>
      <c r="M44" s="200">
        <f>+IFERROR(VLOOKUP($C44,'2180 (Reg.) - Price Out 2020'!$B:$AN,39,FALSE),0)+IFERROR(VLOOKUP($C44,'2180 (Reg EA.) - Price Out 2020'!$B:$AN,39,FALSE),0)</f>
        <v>1462.5581174350189</v>
      </c>
      <c r="N44" s="200">
        <f t="shared" si="1"/>
        <v>6337.7518422184148</v>
      </c>
      <c r="O44" s="204"/>
      <c r="S44" s="157"/>
      <c r="T44" s="188"/>
      <c r="U44" s="188"/>
    </row>
    <row r="45" spans="1:21" ht="15" customHeight="1">
      <c r="A45" s="186" t="s">
        <v>96</v>
      </c>
      <c r="B45" s="186" t="s">
        <v>332</v>
      </c>
      <c r="C45" s="186" t="s">
        <v>230</v>
      </c>
      <c r="D45" s="186" t="s">
        <v>231</v>
      </c>
      <c r="E45" s="186" t="s">
        <v>229</v>
      </c>
      <c r="F45" s="186" t="s">
        <v>89</v>
      </c>
      <c r="G45" s="189" t="s">
        <v>83</v>
      </c>
      <c r="H45" s="186" t="s">
        <v>114</v>
      </c>
      <c r="I45" s="189" t="str">
        <f t="shared" si="2"/>
        <v>3 yard Regular</v>
      </c>
      <c r="J45" s="185" t="s">
        <v>124</v>
      </c>
      <c r="K45" s="185">
        <f>References!$C$35</f>
        <v>473</v>
      </c>
      <c r="L45" s="198">
        <f>References!$C$10</f>
        <v>8.6666666666666661</v>
      </c>
      <c r="M45" s="200">
        <f>+IFERROR(VLOOKUP($C45,'2180 (Reg.) - Price Out 2020'!$B:$AN,39,FALSE),0)+IFERROR(VLOOKUP($C45,'2180 (Reg EA.) - Price Out 2020'!$B:$AN,39,FALSE),0)</f>
        <v>221.29445011617588</v>
      </c>
      <c r="N45" s="200">
        <f t="shared" si="1"/>
        <v>1917.8852343401909</v>
      </c>
      <c r="O45" s="204"/>
      <c r="S45" s="157"/>
      <c r="T45" s="188"/>
      <c r="U45" s="188"/>
    </row>
    <row r="46" spans="1:21" ht="15" customHeight="1">
      <c r="A46" s="186" t="s">
        <v>96</v>
      </c>
      <c r="B46" s="186" t="s">
        <v>332</v>
      </c>
      <c r="C46" s="186" t="s">
        <v>232</v>
      </c>
      <c r="D46" s="186" t="s">
        <v>233</v>
      </c>
      <c r="E46" s="186" t="s">
        <v>229</v>
      </c>
      <c r="F46" s="186" t="s">
        <v>89</v>
      </c>
      <c r="G46" s="189" t="s">
        <v>83</v>
      </c>
      <c r="H46" s="186" t="s">
        <v>114</v>
      </c>
      <c r="I46" s="189" t="str">
        <f t="shared" si="2"/>
        <v>3 yard Regular</v>
      </c>
      <c r="J46" s="185" t="s">
        <v>124</v>
      </c>
      <c r="K46" s="185">
        <f>References!$C$35</f>
        <v>473</v>
      </c>
      <c r="L46" s="198">
        <f>References!$C$9</f>
        <v>13</v>
      </c>
      <c r="M46" s="200">
        <f>+IFERROR(VLOOKUP($C46,'2180 (Reg.) - Price Out 2020'!$B:$AN,39,FALSE),0)+IFERROR(VLOOKUP($C46,'2180 (Reg EA.) - Price Out 2020'!$B:$AN,39,FALSE),0)</f>
        <v>71.399993776837391</v>
      </c>
      <c r="N46" s="200">
        <f t="shared" si="1"/>
        <v>928.19991909888608</v>
      </c>
      <c r="O46" s="204"/>
      <c r="S46" s="157"/>
      <c r="T46" s="188"/>
      <c r="U46" s="188"/>
    </row>
    <row r="47" spans="1:21" ht="15" customHeight="1">
      <c r="A47" s="186" t="s">
        <v>96</v>
      </c>
      <c r="B47" s="186" t="s">
        <v>332</v>
      </c>
      <c r="C47" s="186" t="s">
        <v>234</v>
      </c>
      <c r="D47" s="186" t="s">
        <v>235</v>
      </c>
      <c r="E47" s="186" t="s">
        <v>235</v>
      </c>
      <c r="F47" s="186" t="s">
        <v>87</v>
      </c>
      <c r="G47" s="189" t="s">
        <v>83</v>
      </c>
      <c r="H47" s="186" t="s">
        <v>114</v>
      </c>
      <c r="I47" s="189" t="str">
        <f t="shared" si="2"/>
        <v>4 yard Regular</v>
      </c>
      <c r="J47" s="185" t="s">
        <v>122</v>
      </c>
      <c r="K47" s="185">
        <f>References!$C$36</f>
        <v>613</v>
      </c>
      <c r="L47" s="198">
        <f>References!$C$11</f>
        <v>4.333333333333333</v>
      </c>
      <c r="M47" s="200">
        <f>+IFERROR(VLOOKUP($C47,'2180 (Reg.) - Price Out 2020'!$B:$AN,39,FALSE),0)+IFERROR(VLOOKUP($C47,'2180 (Reg EA.) - Price Out 2020'!$B:$AN,39,FALSE),0)</f>
        <v>1865.4047043043063</v>
      </c>
      <c r="N47" s="200">
        <f t="shared" si="1"/>
        <v>8083.42038531866</v>
      </c>
      <c r="O47" s="204"/>
      <c r="T47" s="188"/>
      <c r="U47" s="188"/>
    </row>
    <row r="48" spans="1:21" ht="15" customHeight="1">
      <c r="A48" s="186" t="s">
        <v>96</v>
      </c>
      <c r="B48" s="186" t="s">
        <v>332</v>
      </c>
      <c r="C48" s="186" t="s">
        <v>236</v>
      </c>
      <c r="D48" s="186" t="s">
        <v>237</v>
      </c>
      <c r="E48" s="186" t="s">
        <v>235</v>
      </c>
      <c r="F48" s="186" t="s">
        <v>87</v>
      </c>
      <c r="G48" s="189" t="s">
        <v>83</v>
      </c>
      <c r="H48" s="186" t="s">
        <v>114</v>
      </c>
      <c r="I48" s="189" t="str">
        <f t="shared" si="2"/>
        <v>4 yard Regular</v>
      </c>
      <c r="J48" s="185" t="s">
        <v>122</v>
      </c>
      <c r="K48" s="185">
        <f>References!$C$36</f>
        <v>613</v>
      </c>
      <c r="L48" s="198">
        <f>References!$C$10</f>
        <v>8.6666666666666661</v>
      </c>
      <c r="M48" s="200">
        <f>+IFERROR(VLOOKUP($C48,'2180 (Reg.) - Price Out 2020'!$B:$AN,39,FALSE),0)+IFERROR(VLOOKUP($C48,'2180 (Reg EA.) - Price Out 2020'!$B:$AN,39,FALSE),0)</f>
        <v>394.0701659319617</v>
      </c>
      <c r="N48" s="200">
        <f t="shared" si="1"/>
        <v>3415.2747714103343</v>
      </c>
      <c r="O48" s="204"/>
      <c r="S48" s="157"/>
      <c r="T48" s="188"/>
      <c r="U48" s="188"/>
    </row>
    <row r="49" spans="1:21" ht="15" customHeight="1">
      <c r="A49" s="186" t="s">
        <v>96</v>
      </c>
      <c r="B49" s="186" t="s">
        <v>332</v>
      </c>
      <c r="C49" s="186" t="s">
        <v>238</v>
      </c>
      <c r="D49" s="186" t="s">
        <v>239</v>
      </c>
      <c r="E49" s="186" t="s">
        <v>235</v>
      </c>
      <c r="F49" s="186" t="s">
        <v>87</v>
      </c>
      <c r="G49" s="189" t="s">
        <v>83</v>
      </c>
      <c r="H49" s="186" t="s">
        <v>114</v>
      </c>
      <c r="I49" s="189" t="str">
        <f t="shared" si="2"/>
        <v>4 yard Regular</v>
      </c>
      <c r="J49" s="185" t="s">
        <v>122</v>
      </c>
      <c r="K49" s="185">
        <f>References!$C$36</f>
        <v>613</v>
      </c>
      <c r="L49" s="198">
        <f>References!$C$9</f>
        <v>13</v>
      </c>
      <c r="M49" s="200">
        <f>+IFERROR(VLOOKUP($C49,'2180 (Reg.) - Price Out 2020'!$B:$AN,39,FALSE),0)+IFERROR(VLOOKUP($C49,'2180 (Reg EA.) - Price Out 2020'!$B:$AN,39,FALSE),0)</f>
        <v>143.36261101071801</v>
      </c>
      <c r="N49" s="200">
        <f t="shared" si="1"/>
        <v>1863.7139431393341</v>
      </c>
      <c r="O49" s="204"/>
      <c r="T49" s="188"/>
      <c r="U49" s="188"/>
    </row>
    <row r="50" spans="1:21" ht="15" customHeight="1">
      <c r="A50" s="186" t="s">
        <v>96</v>
      </c>
      <c r="B50" s="186" t="s">
        <v>332</v>
      </c>
      <c r="C50" s="186" t="s">
        <v>240</v>
      </c>
      <c r="D50" s="186" t="s">
        <v>241</v>
      </c>
      <c r="E50" s="186" t="s">
        <v>235</v>
      </c>
      <c r="F50" s="186" t="s">
        <v>87</v>
      </c>
      <c r="G50" s="189" t="s">
        <v>83</v>
      </c>
      <c r="H50" s="186" t="s">
        <v>114</v>
      </c>
      <c r="I50" s="189" t="str">
        <f>CONCATENATE(F50," ",H50)</f>
        <v>4 yard Regular</v>
      </c>
      <c r="J50" s="185" t="s">
        <v>122</v>
      </c>
      <c r="K50" s="185">
        <f>References!$C$36</f>
        <v>613</v>
      </c>
      <c r="L50" s="198">
        <f>References!$C$8</f>
        <v>17.333333333333332</v>
      </c>
      <c r="M50" s="200">
        <f>+IFERROR(VLOOKUP($C50,'2180 (Reg.) - Price Out 2020'!$B:$AN,39,FALSE),0)+IFERROR(VLOOKUP($C50,'2180 (Reg EA.) - Price Out 2020'!$B:$AN,39,FALSE),0)</f>
        <v>12</v>
      </c>
      <c r="N50" s="200">
        <f>IF(M50=0,L50*6,L50*M50)</f>
        <v>208</v>
      </c>
      <c r="P50" s="353"/>
      <c r="T50" s="188"/>
      <c r="U50" s="188"/>
    </row>
    <row r="51" spans="1:21" ht="15" customHeight="1">
      <c r="A51" s="186" t="s">
        <v>96</v>
      </c>
      <c r="B51" s="186" t="s">
        <v>332</v>
      </c>
      <c r="C51" s="186" t="s">
        <v>303</v>
      </c>
      <c r="D51" s="186" t="s">
        <v>304</v>
      </c>
      <c r="E51" s="186" t="s">
        <v>304</v>
      </c>
      <c r="F51" s="186" t="s">
        <v>87</v>
      </c>
      <c r="G51" s="189" t="s">
        <v>83</v>
      </c>
      <c r="H51" s="186" t="s">
        <v>159</v>
      </c>
      <c r="I51" s="189" t="str">
        <f t="shared" si="2"/>
        <v>4 yard Temp</v>
      </c>
      <c r="J51" s="185" t="s">
        <v>122</v>
      </c>
      <c r="K51" s="185">
        <f>References!$C$36</f>
        <v>613</v>
      </c>
      <c r="L51" s="198">
        <f>References!$C$14</f>
        <v>1</v>
      </c>
      <c r="M51" s="200">
        <f>+IFERROR(VLOOKUP($C51,'2180 (Reg.) - Price Out 2020'!$B:$AN,39,FALSE),0)+IFERROR(VLOOKUP($C51,'2180 (Reg EA.) - Price Out 2020'!$B:$AN,39,FALSE),0)</f>
        <v>2</v>
      </c>
      <c r="N51" s="200">
        <f t="shared" si="1"/>
        <v>2</v>
      </c>
      <c r="O51" s="204"/>
      <c r="T51" s="188"/>
      <c r="U51" s="188"/>
    </row>
    <row r="52" spans="1:21" ht="15" customHeight="1">
      <c r="A52" s="186" t="s">
        <v>96</v>
      </c>
      <c r="B52" s="186" t="s">
        <v>332</v>
      </c>
      <c r="C52" s="186" t="s">
        <v>244</v>
      </c>
      <c r="D52" s="186" t="s">
        <v>245</v>
      </c>
      <c r="E52" s="186" t="s">
        <v>245</v>
      </c>
      <c r="F52" s="186" t="s">
        <v>88</v>
      </c>
      <c r="G52" s="189" t="s">
        <v>83</v>
      </c>
      <c r="H52" s="186" t="s">
        <v>114</v>
      </c>
      <c r="I52" s="189" t="str">
        <f t="shared" si="2"/>
        <v>6 yard Regular</v>
      </c>
      <c r="J52" s="185" t="s">
        <v>123</v>
      </c>
      <c r="K52" s="185">
        <f>References!$C$37</f>
        <v>840</v>
      </c>
      <c r="L52" s="198">
        <f>References!$C$11</f>
        <v>4.333333333333333</v>
      </c>
      <c r="M52" s="200">
        <f>+IFERROR(VLOOKUP($C52,'2180 (Reg.) - Price Out 2020'!$B:$AN,39,FALSE),0)+IFERROR(VLOOKUP($C52,'2180 (Reg EA.) - Price Out 2020'!$B:$AN,39,FALSE),0)</f>
        <v>1791.8927087593099</v>
      </c>
      <c r="N52" s="200">
        <f t="shared" ref="N52:N86" si="3">IF(M52=0,L52*6,L52*M52)</f>
        <v>7764.8684046236758</v>
      </c>
      <c r="O52" s="204"/>
      <c r="T52" s="188"/>
      <c r="U52" s="188"/>
    </row>
    <row r="53" spans="1:21" ht="15" customHeight="1">
      <c r="A53" s="186" t="s">
        <v>96</v>
      </c>
      <c r="B53" s="186" t="s">
        <v>332</v>
      </c>
      <c r="C53" s="186" t="s">
        <v>246</v>
      </c>
      <c r="D53" s="186" t="s">
        <v>247</v>
      </c>
      <c r="E53" s="186" t="s">
        <v>245</v>
      </c>
      <c r="F53" s="186" t="s">
        <v>88</v>
      </c>
      <c r="G53" s="189" t="s">
        <v>83</v>
      </c>
      <c r="H53" s="186" t="s">
        <v>114</v>
      </c>
      <c r="I53" s="189" t="str">
        <f t="shared" si="2"/>
        <v>6 yard Regular</v>
      </c>
      <c r="J53" s="185" t="s">
        <v>123</v>
      </c>
      <c r="K53" s="185">
        <f>References!$C$37</f>
        <v>840</v>
      </c>
      <c r="L53" s="198">
        <f>References!$C$10</f>
        <v>8.6666666666666661</v>
      </c>
      <c r="M53" s="200">
        <f>+IFERROR(VLOOKUP($C53,'2180 (Reg.) - Price Out 2020'!$B:$AN,39,FALSE),0)+IFERROR(VLOOKUP($C53,'2180 (Reg EA.) - Price Out 2020'!$B:$AN,39,FALSE),0)</f>
        <v>1263.6277796024024</v>
      </c>
      <c r="N53" s="200">
        <f t="shared" si="3"/>
        <v>10951.440756554153</v>
      </c>
      <c r="O53" s="204"/>
      <c r="T53" s="188"/>
      <c r="U53" s="188"/>
    </row>
    <row r="54" spans="1:21" ht="15" customHeight="1">
      <c r="A54" s="186" t="s">
        <v>96</v>
      </c>
      <c r="B54" s="186" t="s">
        <v>332</v>
      </c>
      <c r="C54" s="186" t="s">
        <v>248</v>
      </c>
      <c r="D54" s="186" t="s">
        <v>249</v>
      </c>
      <c r="E54" s="186" t="s">
        <v>245</v>
      </c>
      <c r="F54" s="186" t="s">
        <v>88</v>
      </c>
      <c r="G54" s="189" t="s">
        <v>83</v>
      </c>
      <c r="H54" s="186" t="s">
        <v>114</v>
      </c>
      <c r="I54" s="189" t="str">
        <f t="shared" ref="I54:I78" si="4">CONCATENATE(F54," ",H54)</f>
        <v>6 yard Regular</v>
      </c>
      <c r="J54" s="185" t="s">
        <v>123</v>
      </c>
      <c r="K54" s="185">
        <f>References!$C$37</f>
        <v>840</v>
      </c>
      <c r="L54" s="198">
        <f>References!$C$9</f>
        <v>13</v>
      </c>
      <c r="M54" s="200">
        <f>+IFERROR(VLOOKUP($C54,'2180 (Reg.) - Price Out 2020'!$B:$AN,39,FALSE),0)+IFERROR(VLOOKUP($C54,'2180 (Reg EA.) - Price Out 2020'!$B:$AN,39,FALSE),0)</f>
        <v>630.26315127275166</v>
      </c>
      <c r="N54" s="200">
        <f t="shared" si="3"/>
        <v>8193.4209665457711</v>
      </c>
      <c r="O54" s="204"/>
      <c r="T54" s="188"/>
      <c r="U54" s="188"/>
    </row>
    <row r="55" spans="1:21" ht="15" customHeight="1">
      <c r="A55" s="186" t="s">
        <v>96</v>
      </c>
      <c r="B55" s="186" t="s">
        <v>332</v>
      </c>
      <c r="C55" s="186" t="s">
        <v>250</v>
      </c>
      <c r="D55" s="186" t="s">
        <v>251</v>
      </c>
      <c r="E55" s="186" t="s">
        <v>245</v>
      </c>
      <c r="F55" s="186" t="s">
        <v>88</v>
      </c>
      <c r="G55" s="189" t="s">
        <v>83</v>
      </c>
      <c r="H55" s="186" t="s">
        <v>114</v>
      </c>
      <c r="I55" s="189" t="str">
        <f t="shared" si="4"/>
        <v>6 yard Regular</v>
      </c>
      <c r="J55" s="185" t="s">
        <v>123</v>
      </c>
      <c r="K55" s="185">
        <f>References!$C$37</f>
        <v>840</v>
      </c>
      <c r="L55" s="198">
        <f>References!$C$8</f>
        <v>17.333333333333332</v>
      </c>
      <c r="M55" s="200">
        <f>+IFERROR(VLOOKUP($C55,'2180 (Reg.) - Price Out 2020'!$B:$AN,39,FALSE),0)+IFERROR(VLOOKUP($C55,'2180 (Reg EA.) - Price Out 2020'!$B:$AN,39,FALSE),0)</f>
        <v>22.94120799887699</v>
      </c>
      <c r="N55" s="200">
        <f t="shared" si="3"/>
        <v>397.64760531386781</v>
      </c>
      <c r="O55" s="204"/>
      <c r="P55" s="8"/>
      <c r="T55" s="188"/>
      <c r="U55" s="188"/>
    </row>
    <row r="56" spans="1:21" ht="15" customHeight="1">
      <c r="A56" s="186" t="s">
        <v>96</v>
      </c>
      <c r="B56" s="186" t="s">
        <v>332</v>
      </c>
      <c r="C56" s="186" t="s">
        <v>305</v>
      </c>
      <c r="D56" s="186" t="s">
        <v>306</v>
      </c>
      <c r="E56" s="186" t="s">
        <v>306</v>
      </c>
      <c r="F56" s="186" t="s">
        <v>88</v>
      </c>
      <c r="G56" s="189" t="s">
        <v>83</v>
      </c>
      <c r="H56" s="186" t="s">
        <v>159</v>
      </c>
      <c r="I56" s="189" t="str">
        <f>CONCATENATE(F56," ",H56)</f>
        <v>6 yard Temp</v>
      </c>
      <c r="J56" s="185" t="s">
        <v>123</v>
      </c>
      <c r="K56" s="185">
        <f>References!$C$37</f>
        <v>840</v>
      </c>
      <c r="L56" s="198">
        <f>References!$C$14</f>
        <v>1</v>
      </c>
      <c r="M56" s="200">
        <f>+IFERROR(VLOOKUP($C56,'2180 (Reg.) - Price Out 2020'!$B:$AN,39,FALSE),0)+IFERROR(VLOOKUP($C56,'2180 (Reg EA.) - Price Out 2020'!$B:$AN,39,FALSE),0)</f>
        <v>10</v>
      </c>
      <c r="N56" s="200">
        <f>IF(M56=0,L56*6,L56*M56)</f>
        <v>10</v>
      </c>
      <c r="O56" s="204"/>
      <c r="T56" s="188"/>
      <c r="U56" s="188"/>
    </row>
    <row r="57" spans="1:21" ht="15" customHeight="1">
      <c r="A57" s="186" t="s">
        <v>96</v>
      </c>
      <c r="B57" s="186" t="s">
        <v>332</v>
      </c>
      <c r="C57" s="347" t="s">
        <v>467</v>
      </c>
      <c r="D57" s="347" t="s">
        <v>468</v>
      </c>
      <c r="E57" s="347" t="s">
        <v>468</v>
      </c>
      <c r="F57" s="347" t="s">
        <v>84</v>
      </c>
      <c r="G57" s="348" t="s">
        <v>83</v>
      </c>
      <c r="H57" s="347" t="s">
        <v>611</v>
      </c>
      <c r="I57" s="348" t="str">
        <f>CONCATENATE(F57," ",H57)</f>
        <v>1 yard Special</v>
      </c>
      <c r="J57" s="349" t="s">
        <v>120</v>
      </c>
      <c r="K57" s="349">
        <f>References!$C$32</f>
        <v>175</v>
      </c>
      <c r="L57" s="350">
        <v>1</v>
      </c>
      <c r="M57" s="351">
        <f>+IFERROR(VLOOKUP($C57,'2180 (Reg.) - Price Out 2020'!$B:$AN,39,FALSE),0)+IFERROR(VLOOKUP($C57,'2180 (Reg EA.) - Price Out 2020'!$B:$AN,39,FALSE),0)</f>
        <v>79.641826918254125</v>
      </c>
      <c r="N57" s="351">
        <f>IF(M57=0,L57*6,L57*M57)</f>
        <v>79.641826918254125</v>
      </c>
      <c r="O57" s="204"/>
      <c r="P57" s="8"/>
      <c r="T57" s="188"/>
      <c r="U57" s="188"/>
    </row>
    <row r="58" spans="1:21" ht="15" customHeight="1">
      <c r="A58" s="186" t="s">
        <v>96</v>
      </c>
      <c r="B58" s="186" t="s">
        <v>332</v>
      </c>
      <c r="C58" s="347" t="s">
        <v>465</v>
      </c>
      <c r="D58" s="347" t="s">
        <v>466</v>
      </c>
      <c r="E58" s="347" t="s">
        <v>466</v>
      </c>
      <c r="F58" s="347" t="s">
        <v>85</v>
      </c>
      <c r="G58" s="348" t="s">
        <v>83</v>
      </c>
      <c r="H58" s="347" t="s">
        <v>611</v>
      </c>
      <c r="I58" s="348" t="str">
        <f t="shared" si="4"/>
        <v>1.5 yard Special</v>
      </c>
      <c r="J58" s="349" t="s">
        <v>121</v>
      </c>
      <c r="K58" s="349">
        <f>References!$C$33</f>
        <v>250</v>
      </c>
      <c r="L58" s="350">
        <v>1</v>
      </c>
      <c r="M58" s="351">
        <f>+IFERROR(VLOOKUP($C58,'2180 (Reg.) - Price Out 2020'!$B:$AN,39,FALSE),0)+IFERROR(VLOOKUP($C58,'2180 (Reg EA.) - Price Out 2020'!$B:$AN,39,FALSE),0)</f>
        <v>30.99436063724799</v>
      </c>
      <c r="N58" s="351">
        <f t="shared" si="3"/>
        <v>30.99436063724799</v>
      </c>
      <c r="O58" s="204"/>
      <c r="P58" s="8"/>
      <c r="T58" s="188"/>
      <c r="U58" s="188"/>
    </row>
    <row r="59" spans="1:21" ht="15" customHeight="1">
      <c r="A59" s="186" t="s">
        <v>96</v>
      </c>
      <c r="B59" s="186" t="s">
        <v>332</v>
      </c>
      <c r="C59" s="347" t="s">
        <v>469</v>
      </c>
      <c r="D59" s="347" t="s">
        <v>470</v>
      </c>
      <c r="E59" s="347" t="s">
        <v>470</v>
      </c>
      <c r="F59" s="347" t="s">
        <v>86</v>
      </c>
      <c r="G59" s="348" t="s">
        <v>83</v>
      </c>
      <c r="H59" s="347" t="s">
        <v>611</v>
      </c>
      <c r="I59" s="348" t="str">
        <f t="shared" si="4"/>
        <v>2 yard Special</v>
      </c>
      <c r="J59" s="349" t="s">
        <v>125</v>
      </c>
      <c r="K59" s="349">
        <f>References!$C$34</f>
        <v>324</v>
      </c>
      <c r="L59" s="350">
        <v>1</v>
      </c>
      <c r="M59" s="351">
        <f>+IFERROR(VLOOKUP($C59,'2180 (Reg.) - Price Out 2020'!$B:$AN,39,FALSE),0)+IFERROR(VLOOKUP($C59,'2180 (Reg EA.) - Price Out 2020'!$B:$AN,39,FALSE),0)</f>
        <v>67.002782696686054</v>
      </c>
      <c r="N59" s="351">
        <f t="shared" si="3"/>
        <v>67.002782696686054</v>
      </c>
      <c r="O59" s="204"/>
      <c r="P59" s="8"/>
      <c r="T59" s="188"/>
      <c r="U59" s="188"/>
    </row>
    <row r="60" spans="1:21" ht="15" customHeight="1">
      <c r="A60" s="186" t="s">
        <v>96</v>
      </c>
      <c r="B60" s="186" t="s">
        <v>332</v>
      </c>
      <c r="C60" s="347" t="s">
        <v>471</v>
      </c>
      <c r="D60" s="347" t="s">
        <v>472</v>
      </c>
      <c r="E60" s="347" t="s">
        <v>472</v>
      </c>
      <c r="F60" s="347" t="s">
        <v>89</v>
      </c>
      <c r="G60" s="348" t="s">
        <v>83</v>
      </c>
      <c r="H60" s="347" t="s">
        <v>611</v>
      </c>
      <c r="I60" s="348" t="str">
        <f t="shared" si="4"/>
        <v>3 yard Special</v>
      </c>
      <c r="J60" s="349" t="s">
        <v>124</v>
      </c>
      <c r="K60" s="349">
        <f>References!$C$35</f>
        <v>473</v>
      </c>
      <c r="L60" s="350">
        <v>1</v>
      </c>
      <c r="M60" s="351">
        <f>+IFERROR(VLOOKUP($C60,'2180 (Reg.) - Price Out 2020'!$B:$AN,39,FALSE),0)+IFERROR(VLOOKUP($C60,'2180 (Reg EA.) - Price Out 2020'!$B:$AN,39,FALSE),0)</f>
        <v>23.994556934465493</v>
      </c>
      <c r="N60" s="351">
        <f t="shared" si="3"/>
        <v>23.994556934465493</v>
      </c>
      <c r="O60" s="204"/>
      <c r="P60" s="8"/>
      <c r="T60" s="188"/>
      <c r="U60" s="188"/>
    </row>
    <row r="61" spans="1:21" ht="15" customHeight="1">
      <c r="A61" s="186" t="s">
        <v>96</v>
      </c>
      <c r="B61" s="186" t="s">
        <v>332</v>
      </c>
      <c r="C61" s="347" t="s">
        <v>473</v>
      </c>
      <c r="D61" s="347" t="s">
        <v>474</v>
      </c>
      <c r="E61" s="347" t="s">
        <v>474</v>
      </c>
      <c r="F61" s="347" t="s">
        <v>87</v>
      </c>
      <c r="G61" s="348" t="s">
        <v>83</v>
      </c>
      <c r="H61" s="347" t="s">
        <v>611</v>
      </c>
      <c r="I61" s="348" t="str">
        <f t="shared" si="4"/>
        <v>4 yard Special</v>
      </c>
      <c r="J61" s="349" t="s">
        <v>122</v>
      </c>
      <c r="K61" s="349">
        <f>References!$C$36</f>
        <v>613</v>
      </c>
      <c r="L61" s="350">
        <v>1</v>
      </c>
      <c r="M61" s="351">
        <f>+IFERROR(VLOOKUP($C61,'2180 (Reg.) - Price Out 2020'!$B:$AN,39,FALSE),0)+IFERROR(VLOOKUP($C61,'2180 (Reg EA.) - Price Out 2020'!$B:$AN,39,FALSE),0)</f>
        <v>89.211790187399941</v>
      </c>
      <c r="N61" s="351">
        <f t="shared" si="3"/>
        <v>89.211790187399941</v>
      </c>
      <c r="O61" s="204"/>
      <c r="P61" s="8"/>
      <c r="T61" s="188"/>
      <c r="U61" s="188"/>
    </row>
    <row r="62" spans="1:21" s="8" customFormat="1" ht="15" customHeight="1">
      <c r="A62" s="273" t="s">
        <v>96</v>
      </c>
      <c r="B62" s="273" t="s">
        <v>332</v>
      </c>
      <c r="C62" s="273" t="s">
        <v>496</v>
      </c>
      <c r="D62" s="273" t="s">
        <v>476</v>
      </c>
      <c r="E62" s="273" t="s">
        <v>476</v>
      </c>
      <c r="F62" s="273" t="s">
        <v>88</v>
      </c>
      <c r="G62" s="459" t="s">
        <v>83</v>
      </c>
      <c r="H62" s="273" t="s">
        <v>611</v>
      </c>
      <c r="I62" s="459" t="str">
        <f t="shared" si="4"/>
        <v>6 yard Special</v>
      </c>
      <c r="J62" s="460" t="s">
        <v>123</v>
      </c>
      <c r="K62" s="460">
        <f>References!$C$37</f>
        <v>840</v>
      </c>
      <c r="L62" s="461">
        <v>1</v>
      </c>
      <c r="M62" s="462">
        <f>+IFERROR(VLOOKUP($C62,'2180 (Reg.) - Price Out 2020'!$B:$AN,39,FALSE),0)+IFERROR(VLOOKUP($C62,'2180 (Reg EA.) - Price Out 2020'!$B:$AN,39,FALSE),0)</f>
        <v>3.9785714285714286</v>
      </c>
      <c r="N62" s="462">
        <f>IF(M62=0,L62*6,L62*M62)</f>
        <v>3.9785714285714286</v>
      </c>
      <c r="O62" s="464"/>
      <c r="T62" s="188"/>
      <c r="U62" s="188"/>
    </row>
    <row r="63" spans="1:21" ht="15" customHeight="1">
      <c r="A63" s="186" t="s">
        <v>96</v>
      </c>
      <c r="B63" s="186" t="s">
        <v>332</v>
      </c>
      <c r="C63" s="347" t="s">
        <v>475</v>
      </c>
      <c r="D63" s="347" t="s">
        <v>476</v>
      </c>
      <c r="E63" s="347" t="s">
        <v>476</v>
      </c>
      <c r="F63" s="347" t="s">
        <v>88</v>
      </c>
      <c r="G63" s="348" t="s">
        <v>83</v>
      </c>
      <c r="H63" s="347" t="s">
        <v>611</v>
      </c>
      <c r="I63" s="348" t="str">
        <f t="shared" si="4"/>
        <v>6 yard Special</v>
      </c>
      <c r="J63" s="349" t="s">
        <v>123</v>
      </c>
      <c r="K63" s="349">
        <f>References!$C$37</f>
        <v>840</v>
      </c>
      <c r="L63" s="350">
        <v>1</v>
      </c>
      <c r="M63" s="351">
        <f>+IFERROR(VLOOKUP($C63,'2180 (Reg.) - Price Out 2020'!$B:$AN,39,FALSE),0)+IFERROR(VLOOKUP($C63,'2180 (Reg EA.) - Price Out 2020'!$B:$AN,39,FALSE),0)</f>
        <v>441.98339001819187</v>
      </c>
      <c r="N63" s="351">
        <f t="shared" si="3"/>
        <v>441.98339001819187</v>
      </c>
      <c r="O63" s="453" t="s">
        <v>737</v>
      </c>
      <c r="P63" s="8"/>
      <c r="T63" s="188"/>
      <c r="U63" s="188"/>
    </row>
    <row r="64" spans="1:21" ht="15" customHeight="1">
      <c r="A64" s="186" t="s">
        <v>96</v>
      </c>
      <c r="B64" s="186" t="s">
        <v>337</v>
      </c>
      <c r="C64" s="186" t="s">
        <v>291</v>
      </c>
      <c r="D64" s="186" t="s">
        <v>292</v>
      </c>
      <c r="E64" s="186" t="s">
        <v>292</v>
      </c>
      <c r="F64" s="186" t="s">
        <v>797</v>
      </c>
      <c r="G64" s="189" t="s">
        <v>83</v>
      </c>
      <c r="H64" s="189" t="s">
        <v>792</v>
      </c>
      <c r="I64" s="189" t="str">
        <f>CONCATENATE(F64," ",H64)</f>
        <v>35 Gallon Cart  per PU</v>
      </c>
      <c r="J64" s="185" t="s">
        <v>117</v>
      </c>
      <c r="K64" s="460">
        <f>References!$C$30</f>
        <v>29</v>
      </c>
      <c r="L64" s="198">
        <f>References!$C$14</f>
        <v>1</v>
      </c>
      <c r="M64" s="200">
        <f>+IFERROR(VLOOKUP($C64,'2180 (Reg.) - Price Out 2020'!$B:$AN,39,FALSE),0)+IFERROR(VLOOKUP($C64,'2180 (Reg EA.) - Price Out 2020'!$B:$AN,39,FALSE),0)</f>
        <v>41681.090361445778</v>
      </c>
      <c r="N64" s="200">
        <f>IF(M64=0,L64*6,L64*M64)</f>
        <v>41681.090361445778</v>
      </c>
      <c r="O64" s="346"/>
      <c r="T64" s="188"/>
      <c r="U64" s="188"/>
    </row>
    <row r="65" spans="1:21" ht="15" customHeight="1">
      <c r="A65" s="186" t="s">
        <v>96</v>
      </c>
      <c r="B65" s="186" t="s">
        <v>337</v>
      </c>
      <c r="C65" s="186" t="s">
        <v>287</v>
      </c>
      <c r="D65" s="186" t="s">
        <v>288</v>
      </c>
      <c r="E65" s="186" t="s">
        <v>288</v>
      </c>
      <c r="F65" s="186" t="s">
        <v>104</v>
      </c>
      <c r="G65" s="189" t="s">
        <v>83</v>
      </c>
      <c r="H65" s="186" t="s">
        <v>792</v>
      </c>
      <c r="I65" s="189" t="str">
        <f>CONCATENATE(F65," ",H65)</f>
        <v>65 Gallon Cart per PU</v>
      </c>
      <c r="J65" s="185" t="s">
        <v>118</v>
      </c>
      <c r="K65" s="185">
        <f>References!$C$25</f>
        <v>47</v>
      </c>
      <c r="L65" s="198">
        <f>References!$C$14</f>
        <v>1</v>
      </c>
      <c r="M65" s="200">
        <f>+IFERROR(VLOOKUP($C65,'2180 (Reg.) - Price Out 2020'!$B:$AN,39,FALSE),0)+IFERROR(VLOOKUP($C65,'2180 (Reg EA.) - Price Out 2020'!$B:$AN,39,FALSE),0)</f>
        <v>4701.5502958579873</v>
      </c>
      <c r="N65" s="200">
        <f>IF(M65=0,L65*6,L65*M65)</f>
        <v>4701.5502958579873</v>
      </c>
      <c r="P65" s="8"/>
      <c r="T65" s="188"/>
      <c r="U65" s="188"/>
    </row>
    <row r="66" spans="1:21" ht="15" customHeight="1">
      <c r="A66" s="186" t="s">
        <v>96</v>
      </c>
      <c r="B66" s="186" t="s">
        <v>337</v>
      </c>
      <c r="C66" s="186" t="s">
        <v>289</v>
      </c>
      <c r="D66" s="186" t="s">
        <v>290</v>
      </c>
      <c r="E66" s="186" t="s">
        <v>290</v>
      </c>
      <c r="F66" s="186" t="s">
        <v>796</v>
      </c>
      <c r="G66" s="189" t="s">
        <v>83</v>
      </c>
      <c r="H66" s="186" t="s">
        <v>792</v>
      </c>
      <c r="I66" s="189" t="str">
        <f>CONCATENATE(F66," ",H66)</f>
        <v>95 Gallon  per PU</v>
      </c>
      <c r="J66" s="185" t="s">
        <v>119</v>
      </c>
      <c r="K66" s="185">
        <f>References!$C$26</f>
        <v>68</v>
      </c>
      <c r="L66" s="198">
        <f>References!$C$14</f>
        <v>1</v>
      </c>
      <c r="M66" s="200">
        <f>+IFERROR(VLOOKUP($C66,'2180 (Reg.) - Price Out 2020'!$B:$AN,39,FALSE),0)+IFERROR(VLOOKUP($C66,'2180 (Reg EA.) - Price Out 2020'!$B:$AN,39,FALSE),0)</f>
        <v>2</v>
      </c>
      <c r="N66" s="200">
        <f>IF(M66=0,L66*6,L66*M66)</f>
        <v>2</v>
      </c>
      <c r="P66" s="8"/>
      <c r="T66" s="188"/>
      <c r="U66" s="188"/>
    </row>
    <row r="67" spans="1:21" ht="15" customHeight="1">
      <c r="A67" s="186" t="s">
        <v>96</v>
      </c>
      <c r="B67" s="186" t="s">
        <v>337</v>
      </c>
      <c r="C67" s="186" t="s">
        <v>293</v>
      </c>
      <c r="D67" s="186" t="s">
        <v>294</v>
      </c>
      <c r="E67" s="186" t="s">
        <v>294</v>
      </c>
      <c r="F67" s="186" t="s">
        <v>795</v>
      </c>
      <c r="G67" s="189" t="s">
        <v>83</v>
      </c>
      <c r="H67" s="189" t="s">
        <v>114</v>
      </c>
      <c r="I67" s="189" t="str">
        <f>CONCATENATE(F67," ",H67)</f>
        <v>35 Gallon Distributed Cart Regular</v>
      </c>
      <c r="J67" s="185" t="s">
        <v>117</v>
      </c>
      <c r="K67" s="460">
        <f>References!$C$30</f>
        <v>29</v>
      </c>
      <c r="L67" s="198">
        <f>4.33*4</f>
        <v>17.32</v>
      </c>
      <c r="M67" s="200">
        <f>+IFERROR(VLOOKUP($C67,'2180 (Reg.) - Price Out 2020'!$B:$AN,39,FALSE),0)+IFERROR(VLOOKUP($C67,'2180 (Reg EA.) - Price Out 2020'!$B:$AN,39,FALSE),0)</f>
        <v>48</v>
      </c>
      <c r="N67" s="200">
        <f>IF(M67=0,L67*6,L67*M67)</f>
        <v>831.36</v>
      </c>
      <c r="T67" s="188"/>
      <c r="U67" s="188"/>
    </row>
    <row r="68" spans="1:21" ht="15" customHeight="1">
      <c r="A68" s="186" t="s">
        <v>96</v>
      </c>
      <c r="B68" s="186" t="s">
        <v>337</v>
      </c>
      <c r="C68" s="186" t="s">
        <v>271</v>
      </c>
      <c r="D68" s="186" t="s">
        <v>272</v>
      </c>
      <c r="E68" s="186" t="s">
        <v>272</v>
      </c>
      <c r="F68" s="186" t="s">
        <v>104</v>
      </c>
      <c r="G68" s="189" t="s">
        <v>83</v>
      </c>
      <c r="H68" s="189" t="s">
        <v>80</v>
      </c>
      <c r="I68" s="189" t="str">
        <f t="shared" si="4"/>
        <v>65 Gallon Cart WG-NR</v>
      </c>
      <c r="J68" s="185" t="s">
        <v>118</v>
      </c>
      <c r="K68" s="185">
        <f>References!$C$25</f>
        <v>47</v>
      </c>
      <c r="L68" s="198">
        <f>References!$C$11</f>
        <v>4.333333333333333</v>
      </c>
      <c r="M68" s="200">
        <f>+IFERROR(VLOOKUP($C68,'2180 (Reg.) - Price Out 2020'!$B:$AN,39,FALSE),0)+IFERROR(VLOOKUP($C68,'2180 (Reg EA.) - Price Out 2020'!$B:$AN,39,FALSE),0)</f>
        <v>571.46549871408297</v>
      </c>
      <c r="N68" s="200">
        <f t="shared" si="3"/>
        <v>2476.3504944276929</v>
      </c>
      <c r="P68" s="8"/>
      <c r="T68" s="188"/>
      <c r="U68" s="188"/>
    </row>
    <row r="69" spans="1:21" ht="15" customHeight="1">
      <c r="A69" s="186" t="s">
        <v>96</v>
      </c>
      <c r="B69" s="186" t="s">
        <v>337</v>
      </c>
      <c r="C69" s="186" t="s">
        <v>273</v>
      </c>
      <c r="D69" s="186" t="s">
        <v>274</v>
      </c>
      <c r="E69" s="186" t="s">
        <v>272</v>
      </c>
      <c r="F69" s="186" t="s">
        <v>104</v>
      </c>
      <c r="G69" s="189" t="s">
        <v>83</v>
      </c>
      <c r="H69" s="189" t="s">
        <v>793</v>
      </c>
      <c r="I69" s="189" t="str">
        <f t="shared" si="4"/>
        <v>65 Gallon Cart Minimum</v>
      </c>
      <c r="J69" s="185" t="s">
        <v>118</v>
      </c>
      <c r="K69" s="185">
        <f>References!$C$25</f>
        <v>47</v>
      </c>
      <c r="L69" s="198">
        <f>References!$C$11</f>
        <v>4.333333333333333</v>
      </c>
      <c r="M69" s="200">
        <f>+IFERROR(VLOOKUP($C69,'2180 (Reg.) - Price Out 2020'!$B:$AN,39,FALSE),0)+IFERROR(VLOOKUP($C69,'2180 (Reg EA.) - Price Out 2020'!$B:$AN,39,FALSE),0)</f>
        <v>5759.8313665424575</v>
      </c>
      <c r="N69" s="200">
        <f t="shared" si="3"/>
        <v>24959.269255017316</v>
      </c>
      <c r="T69" s="188"/>
      <c r="U69" s="188"/>
    </row>
    <row r="70" spans="1:21" ht="15" customHeight="1">
      <c r="A70" s="186" t="s">
        <v>96</v>
      </c>
      <c r="B70" s="186" t="s">
        <v>337</v>
      </c>
      <c r="C70" s="186" t="s">
        <v>275</v>
      </c>
      <c r="D70" s="186" t="s">
        <v>276</v>
      </c>
      <c r="E70" s="186" t="s">
        <v>272</v>
      </c>
      <c r="F70" s="186" t="s">
        <v>104</v>
      </c>
      <c r="G70" s="189" t="s">
        <v>83</v>
      </c>
      <c r="H70" s="189" t="s">
        <v>325</v>
      </c>
      <c r="I70" s="189" t="str">
        <f t="shared" si="4"/>
        <v>65 Gallon Cart EOWG-NR</v>
      </c>
      <c r="J70" s="185" t="s">
        <v>118</v>
      </c>
      <c r="K70" s="185">
        <f>References!$C$25</f>
        <v>47</v>
      </c>
      <c r="L70" s="198">
        <f>References!$C$12</f>
        <v>2.1666666666666665</v>
      </c>
      <c r="M70" s="200">
        <f>+IFERROR(VLOOKUP($C70,'2180 (Reg.) - Price Out 2020'!$B:$AN,39,FALSE),0)+IFERROR(VLOOKUP($C70,'2180 (Reg EA.) - Price Out 2020'!$B:$AN,39,FALSE),0)</f>
        <v>115.00096015362459</v>
      </c>
      <c r="N70" s="200">
        <f t="shared" si="3"/>
        <v>249.16874699951993</v>
      </c>
      <c r="P70" s="8"/>
      <c r="T70" s="188"/>
      <c r="U70" s="188"/>
    </row>
    <row r="71" spans="1:21" ht="15" customHeight="1">
      <c r="A71" s="186" t="s">
        <v>96</v>
      </c>
      <c r="B71" s="186" t="s">
        <v>337</v>
      </c>
      <c r="C71" s="186" t="s">
        <v>277</v>
      </c>
      <c r="D71" s="186" t="s">
        <v>278</v>
      </c>
      <c r="E71" s="186" t="s">
        <v>272</v>
      </c>
      <c r="F71" s="186" t="s">
        <v>104</v>
      </c>
      <c r="G71" s="189" t="s">
        <v>83</v>
      </c>
      <c r="H71" s="189" t="s">
        <v>326</v>
      </c>
      <c r="I71" s="189" t="str">
        <f t="shared" si="4"/>
        <v>65 Gallon Cart EOWG-R</v>
      </c>
      <c r="J71" s="185" t="s">
        <v>118</v>
      </c>
      <c r="K71" s="185">
        <f>References!$C$25</f>
        <v>47</v>
      </c>
      <c r="L71" s="198">
        <f>References!$C$12</f>
        <v>2.1666666666666665</v>
      </c>
      <c r="M71" s="200">
        <f>+IFERROR(VLOOKUP($C71,'2180 (Reg.) - Price Out 2020'!$B:$AN,39,FALSE),0)+IFERROR(VLOOKUP($C71,'2180 (Reg EA.) - Price Out 2020'!$B:$AN,39,FALSE),0)</f>
        <v>1132.6858697391583</v>
      </c>
      <c r="N71" s="200">
        <f t="shared" si="3"/>
        <v>2454.152717768176</v>
      </c>
      <c r="T71" s="188"/>
      <c r="U71" s="188"/>
    </row>
    <row r="72" spans="1:21" ht="15" customHeight="1">
      <c r="A72" s="186" t="s">
        <v>96</v>
      </c>
      <c r="B72" s="186" t="s">
        <v>337</v>
      </c>
      <c r="C72" s="186" t="s">
        <v>279</v>
      </c>
      <c r="D72" s="186" t="s">
        <v>280</v>
      </c>
      <c r="E72" s="186" t="s">
        <v>280</v>
      </c>
      <c r="F72" s="186" t="s">
        <v>105</v>
      </c>
      <c r="G72" s="189" t="s">
        <v>83</v>
      </c>
      <c r="H72" s="189" t="s">
        <v>80</v>
      </c>
      <c r="I72" s="189" t="str">
        <f t="shared" si="4"/>
        <v>95 Gallon Cart WG-NR</v>
      </c>
      <c r="J72" s="185" t="s">
        <v>119</v>
      </c>
      <c r="K72" s="185">
        <f>References!$C$26</f>
        <v>68</v>
      </c>
      <c r="L72" s="198">
        <f>References!$C$11</f>
        <v>4.333333333333333</v>
      </c>
      <c r="M72" s="200">
        <f>+IFERROR(VLOOKUP($C72,'2180 (Reg.) - Price Out 2020'!$B:$AN,39,FALSE),0)+IFERROR(VLOOKUP($C72,'2180 (Reg EA.) - Price Out 2020'!$B:$AN,39,FALSE),0)</f>
        <v>1377.8978867521264</v>
      </c>
      <c r="N72" s="200">
        <f t="shared" si="3"/>
        <v>5970.8908425925474</v>
      </c>
      <c r="P72" s="8"/>
      <c r="T72" s="188"/>
      <c r="U72" s="188"/>
    </row>
    <row r="73" spans="1:21" ht="15" customHeight="1">
      <c r="A73" s="186" t="s">
        <v>96</v>
      </c>
      <c r="B73" s="186" t="s">
        <v>337</v>
      </c>
      <c r="C73" s="186" t="s">
        <v>281</v>
      </c>
      <c r="D73" s="186" t="s">
        <v>282</v>
      </c>
      <c r="E73" s="186" t="s">
        <v>280</v>
      </c>
      <c r="F73" s="186" t="s">
        <v>105</v>
      </c>
      <c r="G73" s="189" t="s">
        <v>83</v>
      </c>
      <c r="H73" s="189" t="s">
        <v>793</v>
      </c>
      <c r="I73" s="189" t="str">
        <f t="shared" si="4"/>
        <v>95 Gallon Cart Minimum</v>
      </c>
      <c r="J73" s="185" t="s">
        <v>119</v>
      </c>
      <c r="K73" s="185">
        <f>References!$C$26</f>
        <v>68</v>
      </c>
      <c r="L73" s="198">
        <f>References!$C$11</f>
        <v>4.333333333333333</v>
      </c>
      <c r="M73" s="200">
        <f>+IFERROR(VLOOKUP($C73,'2180 (Reg.) - Price Out 2020'!$B:$AN,39,FALSE),0)+IFERROR(VLOOKUP($C73,'2180 (Reg EA.) - Price Out 2020'!$B:$AN,39,FALSE),0)</f>
        <v>3321.7785902693963</v>
      </c>
      <c r="N73" s="200">
        <f t="shared" si="3"/>
        <v>14394.373891167383</v>
      </c>
      <c r="P73" s="8"/>
      <c r="T73" s="188"/>
      <c r="U73" s="188"/>
    </row>
    <row r="74" spans="1:21" ht="15" customHeight="1">
      <c r="A74" s="186" t="s">
        <v>96</v>
      </c>
      <c r="B74" s="186" t="s">
        <v>337</v>
      </c>
      <c r="C74" s="186" t="s">
        <v>283</v>
      </c>
      <c r="D74" s="186" t="s">
        <v>284</v>
      </c>
      <c r="E74" s="186" t="s">
        <v>280</v>
      </c>
      <c r="F74" s="186" t="s">
        <v>105</v>
      </c>
      <c r="G74" s="189" t="s">
        <v>83</v>
      </c>
      <c r="H74" s="189" t="s">
        <v>325</v>
      </c>
      <c r="I74" s="189" t="str">
        <f t="shared" si="4"/>
        <v>95 Gallon Cart EOWG-NR</v>
      </c>
      <c r="J74" s="185" t="s">
        <v>119</v>
      </c>
      <c r="K74" s="185">
        <f>References!$C$26</f>
        <v>68</v>
      </c>
      <c r="L74" s="198">
        <f>References!$C$12</f>
        <v>2.1666666666666665</v>
      </c>
      <c r="M74" s="200">
        <f>+IFERROR(VLOOKUP($C74,'2180 (Reg.) - Price Out 2020'!$B:$AN,39,FALSE),0)+IFERROR(VLOOKUP($C74,'2180 (Reg EA.) - Price Out 2020'!$B:$AN,39,FALSE),0)</f>
        <v>62</v>
      </c>
      <c r="N74" s="200">
        <f t="shared" si="3"/>
        <v>134.33333333333331</v>
      </c>
      <c r="P74" s="8"/>
      <c r="T74" s="188"/>
      <c r="U74" s="188"/>
    </row>
    <row r="75" spans="1:21" ht="15" customHeight="1">
      <c r="A75" s="186" t="s">
        <v>96</v>
      </c>
      <c r="B75" s="186" t="s">
        <v>337</v>
      </c>
      <c r="C75" s="186" t="s">
        <v>285</v>
      </c>
      <c r="D75" s="186" t="s">
        <v>286</v>
      </c>
      <c r="E75" s="186" t="s">
        <v>280</v>
      </c>
      <c r="F75" s="186" t="s">
        <v>105</v>
      </c>
      <c r="G75" s="189" t="s">
        <v>83</v>
      </c>
      <c r="H75" s="189" t="s">
        <v>326</v>
      </c>
      <c r="I75" s="189" t="str">
        <f t="shared" si="4"/>
        <v>95 Gallon Cart EOWG-R</v>
      </c>
      <c r="J75" s="185" t="s">
        <v>119</v>
      </c>
      <c r="K75" s="185">
        <f>References!$C$26</f>
        <v>68</v>
      </c>
      <c r="L75" s="198">
        <f>References!$C$12</f>
        <v>2.1666666666666665</v>
      </c>
      <c r="M75" s="200">
        <f>+IFERROR(VLOOKUP($C75,'2180 (Reg.) - Price Out 2020'!$B:$AN,39,FALSE),0)+IFERROR(VLOOKUP($C75,'2180 (Reg EA.) - Price Out 2020'!$B:$AN,39,FALSE),0)</f>
        <v>163.51196709050112</v>
      </c>
      <c r="N75" s="200">
        <f t="shared" si="3"/>
        <v>354.27592869608571</v>
      </c>
      <c r="P75" s="8"/>
      <c r="T75" s="188"/>
      <c r="U75" s="188"/>
    </row>
    <row r="76" spans="1:21" s="8" customFormat="1" ht="15" customHeight="1">
      <c r="A76" s="273" t="s">
        <v>96</v>
      </c>
      <c r="B76" s="273" t="s">
        <v>337</v>
      </c>
      <c r="C76" s="273" t="s">
        <v>309</v>
      </c>
      <c r="D76" s="273" t="s">
        <v>310</v>
      </c>
      <c r="E76" s="273" t="s">
        <v>310</v>
      </c>
      <c r="F76" s="273" t="s">
        <v>794</v>
      </c>
      <c r="G76" s="459" t="s">
        <v>83</v>
      </c>
      <c r="H76" s="273" t="s">
        <v>115</v>
      </c>
      <c r="I76" s="459" t="str">
        <f>CONCATENATE(F76," ",H76)</f>
        <v>Can Extra</v>
      </c>
      <c r="J76" s="460" t="s">
        <v>320</v>
      </c>
      <c r="K76" s="460">
        <f>References!$C$30</f>
        <v>29</v>
      </c>
      <c r="L76" s="461">
        <f>References!$C$14</f>
        <v>1</v>
      </c>
      <c r="M76" s="462">
        <f>+IFERROR(VLOOKUP($C76,'2180 (Reg.) - Price Out 2020'!$B:$AN,39,FALSE),0)+IFERROR(VLOOKUP($C76,'2180 (Reg EA.) - Price Out 2020'!$B:$AN,39,FALSE),0)</f>
        <v>4670.7893386233764</v>
      </c>
      <c r="N76" s="462">
        <f>IF(M76=0,L76*6,L76*M76)</f>
        <v>4670.7893386233764</v>
      </c>
      <c r="O76" s="463"/>
      <c r="T76" s="188"/>
      <c r="U76" s="188"/>
    </row>
    <row r="77" spans="1:21" ht="15" customHeight="1">
      <c r="A77" s="186" t="s">
        <v>96</v>
      </c>
      <c r="B77" s="186" t="s">
        <v>335</v>
      </c>
      <c r="C77" s="186" t="s">
        <v>252</v>
      </c>
      <c r="D77" s="186" t="s">
        <v>253</v>
      </c>
      <c r="E77" s="186" t="s">
        <v>253</v>
      </c>
      <c r="F77" s="186" t="s">
        <v>86</v>
      </c>
      <c r="G77" s="189" t="s">
        <v>334</v>
      </c>
      <c r="H77" s="189" t="s">
        <v>334</v>
      </c>
      <c r="I77" s="189" t="str">
        <f t="shared" si="4"/>
        <v>2 yard Compacted</v>
      </c>
      <c r="J77" s="185" t="s">
        <v>125</v>
      </c>
      <c r="K77" s="185">
        <f>References!$C$44</f>
        <v>972</v>
      </c>
      <c r="L77" s="198">
        <f>References!$C$11</f>
        <v>4.333333333333333</v>
      </c>
      <c r="M77" s="200">
        <f>+IFERROR(VLOOKUP($C77,'2180 (Reg.) - Price Out 2020'!$B:$AN,39,FALSE),0)+IFERROR(VLOOKUP($C77,'2180 (Reg EA.) - Price Out 2020'!$B:$AN,39,FALSE),0)</f>
        <v>12</v>
      </c>
      <c r="N77" s="200">
        <f t="shared" si="3"/>
        <v>52</v>
      </c>
      <c r="T77" s="188"/>
      <c r="U77" s="188"/>
    </row>
    <row r="78" spans="1:21" ht="15" customHeight="1">
      <c r="A78" s="186" t="s">
        <v>96</v>
      </c>
      <c r="B78" s="186" t="s">
        <v>335</v>
      </c>
      <c r="C78" s="186" t="s">
        <v>254</v>
      </c>
      <c r="D78" s="186" t="s">
        <v>255</v>
      </c>
      <c r="E78" s="186" t="s">
        <v>800</v>
      </c>
      <c r="F78" s="186" t="s">
        <v>89</v>
      </c>
      <c r="G78" s="189" t="s">
        <v>334</v>
      </c>
      <c r="H78" s="189" t="s">
        <v>334</v>
      </c>
      <c r="I78" s="189" t="str">
        <f t="shared" si="4"/>
        <v>3 yard Compacted</v>
      </c>
      <c r="J78" s="185" t="s">
        <v>124</v>
      </c>
      <c r="K78" s="185">
        <f>References!$C$45</f>
        <v>1419</v>
      </c>
      <c r="L78" s="198">
        <f>References!$C$10</f>
        <v>8.6666666666666661</v>
      </c>
      <c r="M78" s="200">
        <f>+IFERROR(VLOOKUP($C78,'2180 (Reg.) - Price Out 2020'!$B:$AN,39,FALSE),0)+IFERROR(VLOOKUP($C78,'2180 (Reg EA.) - Price Out 2020'!$B:$AN,39,FALSE),0)</f>
        <v>12</v>
      </c>
      <c r="N78" s="200">
        <f t="shared" si="3"/>
        <v>104</v>
      </c>
      <c r="T78" s="188"/>
      <c r="U78" s="188"/>
    </row>
    <row r="79" spans="1:21" ht="15" customHeight="1">
      <c r="A79" s="186" t="s">
        <v>96</v>
      </c>
      <c r="B79" s="186" t="s">
        <v>335</v>
      </c>
      <c r="C79" s="186" t="s">
        <v>256</v>
      </c>
      <c r="D79" s="186" t="s">
        <v>257</v>
      </c>
      <c r="E79" s="186" t="s">
        <v>257</v>
      </c>
      <c r="F79" s="186" t="s">
        <v>87</v>
      </c>
      <c r="G79" s="189" t="s">
        <v>334</v>
      </c>
      <c r="H79" s="189" t="s">
        <v>334</v>
      </c>
      <c r="I79" s="189" t="str">
        <f t="shared" ref="I79:I86" si="5">CONCATENATE(F79," ",H79)</f>
        <v>4 yard Compacted</v>
      </c>
      <c r="J79" s="185" t="s">
        <v>122</v>
      </c>
      <c r="K79" s="185">
        <f>References!$C$46</f>
        <v>1839</v>
      </c>
      <c r="L79" s="198">
        <f>References!$C$11</f>
        <v>4.333333333333333</v>
      </c>
      <c r="M79" s="200">
        <f>+IFERROR(VLOOKUP($C79,'2180 (Reg.) - Price Out 2020'!$B:$AN,39,FALSE),0)+IFERROR(VLOOKUP($C79,'2180 (Reg EA.) - Price Out 2020'!$B:$AN,39,FALSE),0)</f>
        <v>12</v>
      </c>
      <c r="N79" s="200">
        <f t="shared" si="3"/>
        <v>52</v>
      </c>
      <c r="T79" s="188"/>
      <c r="U79" s="188"/>
    </row>
    <row r="80" spans="1:21" ht="15" customHeight="1">
      <c r="A80" s="186" t="s">
        <v>96</v>
      </c>
      <c r="B80" s="186" t="s">
        <v>335</v>
      </c>
      <c r="C80" s="186" t="s">
        <v>258</v>
      </c>
      <c r="D80" s="186" t="s">
        <v>259</v>
      </c>
      <c r="E80" s="186" t="s">
        <v>257</v>
      </c>
      <c r="F80" s="186" t="s">
        <v>87</v>
      </c>
      <c r="G80" s="189" t="s">
        <v>334</v>
      </c>
      <c r="H80" s="189" t="s">
        <v>334</v>
      </c>
      <c r="I80" s="189" t="str">
        <f t="shared" si="5"/>
        <v>4 yard Compacted</v>
      </c>
      <c r="J80" s="185" t="s">
        <v>122</v>
      </c>
      <c r="K80" s="185">
        <f>References!$C$46</f>
        <v>1839</v>
      </c>
      <c r="L80" s="198">
        <f>References!$C$10</f>
        <v>8.6666666666666661</v>
      </c>
      <c r="M80" s="200">
        <f>+IFERROR(VLOOKUP($C80,'2180 (Reg.) - Price Out 2020'!$B:$AN,39,FALSE),0)+IFERROR(VLOOKUP($C80,'2180 (Reg EA.) - Price Out 2020'!$B:$AN,39,FALSE),0)</f>
        <v>24</v>
      </c>
      <c r="N80" s="200">
        <f t="shared" si="3"/>
        <v>208</v>
      </c>
      <c r="P80" s="8"/>
      <c r="T80" s="188"/>
      <c r="U80" s="188"/>
    </row>
    <row r="81" spans="1:21" ht="15" customHeight="1">
      <c r="A81" s="186" t="s">
        <v>96</v>
      </c>
      <c r="B81" s="186" t="s">
        <v>335</v>
      </c>
      <c r="C81" s="186" t="s">
        <v>492</v>
      </c>
      <c r="D81" s="186" t="s">
        <v>665</v>
      </c>
      <c r="E81" s="186" t="s">
        <v>801</v>
      </c>
      <c r="F81" s="186" t="s">
        <v>88</v>
      </c>
      <c r="G81" s="189" t="s">
        <v>334</v>
      </c>
      <c r="H81" s="189" t="s">
        <v>334</v>
      </c>
      <c r="I81" s="189" t="str">
        <f t="shared" si="5"/>
        <v>6 yard Compacted</v>
      </c>
      <c r="J81" s="185" t="s">
        <v>123</v>
      </c>
      <c r="K81" s="185">
        <f>References!C47</f>
        <v>2520</v>
      </c>
      <c r="L81" s="198">
        <f>References!$C$10</f>
        <v>8.6666666666666661</v>
      </c>
      <c r="M81" s="200">
        <f>+IFERROR(VLOOKUP($C81,'2180 (Reg.) - Price Out 2020'!$B:$AN,39,FALSE),0)+IFERROR(VLOOKUP($C81,'2180 (Reg EA.) - Price Out 2020'!$B:$AN,39,FALSE),0)</f>
        <v>12</v>
      </c>
      <c r="N81" s="200">
        <f t="shared" si="3"/>
        <v>104</v>
      </c>
      <c r="P81" s="8"/>
      <c r="T81" s="188"/>
      <c r="U81" s="188"/>
    </row>
    <row r="82" spans="1:21" s="188" customFormat="1" ht="15" customHeight="1">
      <c r="A82" s="190" t="s">
        <v>313</v>
      </c>
      <c r="B82" s="190" t="s">
        <v>330</v>
      </c>
      <c r="C82" s="192" t="s">
        <v>314</v>
      </c>
      <c r="D82" s="192" t="s">
        <v>315</v>
      </c>
      <c r="E82" s="192" t="s">
        <v>315</v>
      </c>
      <c r="F82" s="197" t="s">
        <v>88</v>
      </c>
      <c r="G82" s="196" t="s">
        <v>83</v>
      </c>
      <c r="H82" s="190" t="s">
        <v>114</v>
      </c>
      <c r="I82" s="196" t="str">
        <f t="shared" si="5"/>
        <v>6 yard Regular</v>
      </c>
      <c r="J82" s="193" t="s">
        <v>123</v>
      </c>
      <c r="K82" s="205">
        <f>References!$C$37</f>
        <v>840</v>
      </c>
      <c r="L82" s="199">
        <f>References!$C$11</f>
        <v>4.333333333333333</v>
      </c>
      <c r="M82" s="201">
        <f>+IFERROR(VLOOKUP($C82,'2180 (JBLM Housing) -Price 2020'!$B:$AJ,35,FALSE),0)</f>
        <v>324.13975069676275</v>
      </c>
      <c r="N82" s="201">
        <f t="shared" si="3"/>
        <v>1404.6055863526385</v>
      </c>
      <c r="O82" s="123"/>
    </row>
    <row r="83" spans="1:21" s="188" customFormat="1" ht="15" customHeight="1">
      <c r="A83" s="190" t="s">
        <v>313</v>
      </c>
      <c r="B83" s="190" t="s">
        <v>330</v>
      </c>
      <c r="C83" s="192" t="s">
        <v>316</v>
      </c>
      <c r="D83" s="192" t="s">
        <v>317</v>
      </c>
      <c r="E83" s="192" t="s">
        <v>315</v>
      </c>
      <c r="F83" s="197" t="s">
        <v>88</v>
      </c>
      <c r="G83" s="196" t="s">
        <v>83</v>
      </c>
      <c r="H83" s="190" t="s">
        <v>114</v>
      </c>
      <c r="I83" s="196" t="str">
        <f t="shared" si="5"/>
        <v>6 yard Regular</v>
      </c>
      <c r="J83" s="193" t="s">
        <v>123</v>
      </c>
      <c r="K83" s="205">
        <f>References!$C$37</f>
        <v>840</v>
      </c>
      <c r="L83" s="199">
        <f>References!$C$10</f>
        <v>8.6666666666666661</v>
      </c>
      <c r="M83" s="201">
        <f>+IFERROR(VLOOKUP($C83,'2180 (JBLM Housing) -Price 2020'!$B:$AJ,35,FALSE),0)</f>
        <v>168.07342932990107</v>
      </c>
      <c r="N83" s="201">
        <f t="shared" si="3"/>
        <v>1456.6363875258091</v>
      </c>
      <c r="O83" s="123"/>
    </row>
    <row r="84" spans="1:21" s="188" customFormat="1" ht="15" customHeight="1">
      <c r="A84" s="190" t="s">
        <v>313</v>
      </c>
      <c r="B84" s="190" t="s">
        <v>330</v>
      </c>
      <c r="C84" s="192" t="s">
        <v>784</v>
      </c>
      <c r="D84" s="192" t="s">
        <v>783</v>
      </c>
      <c r="E84" s="192" t="s">
        <v>802</v>
      </c>
      <c r="F84" s="197" t="s">
        <v>87</v>
      </c>
      <c r="G84" s="196" t="s">
        <v>83</v>
      </c>
      <c r="H84" s="190" t="s">
        <v>114</v>
      </c>
      <c r="I84" s="196" t="s">
        <v>785</v>
      </c>
      <c r="J84" s="193" t="s">
        <v>122</v>
      </c>
      <c r="K84" s="205">
        <f>References!$C$36</f>
        <v>613</v>
      </c>
      <c r="L84" s="199">
        <f>References!$C$10</f>
        <v>8.6666666666666661</v>
      </c>
      <c r="M84" s="201">
        <f>+IFERROR(VLOOKUP($C84,'2180 (JBLM Housing) -Price 2020'!$B:$AJ,35,FALSE),0)</f>
        <v>48.018786797533778</v>
      </c>
      <c r="N84" s="201">
        <f t="shared" ref="N84" si="6">IF(M84=0,L84*6,L84*M84)</f>
        <v>416.16281891195939</v>
      </c>
      <c r="O84" s="482">
        <f>4.33*2</f>
        <v>8.66</v>
      </c>
    </row>
    <row r="85" spans="1:21" s="188" customFormat="1" ht="15" customHeight="1">
      <c r="A85" s="190" t="s">
        <v>313</v>
      </c>
      <c r="B85" s="190" t="s">
        <v>329</v>
      </c>
      <c r="C85" s="191" t="s">
        <v>188</v>
      </c>
      <c r="D85" s="191" t="s">
        <v>189</v>
      </c>
      <c r="E85" s="191" t="s">
        <v>189</v>
      </c>
      <c r="F85" s="190" t="s">
        <v>104</v>
      </c>
      <c r="G85" s="196" t="s">
        <v>323</v>
      </c>
      <c r="H85" s="190" t="s">
        <v>79</v>
      </c>
      <c r="I85" s="196" t="str">
        <f t="shared" si="5"/>
        <v>65 Gallon Cart WG-R</v>
      </c>
      <c r="J85" s="193" t="s">
        <v>118</v>
      </c>
      <c r="K85" s="193">
        <f>References!$C$25</f>
        <v>47</v>
      </c>
      <c r="L85" s="199">
        <f>References!$C$11</f>
        <v>4.333333333333333</v>
      </c>
      <c r="M85" s="201">
        <f>+IFERROR(VLOOKUP($C85,'2180 (JBLM Housing) -Price 2020'!$B:$AJ,35,FALSE),0)</f>
        <v>40118.327857869452</v>
      </c>
      <c r="N85" s="201">
        <f t="shared" si="3"/>
        <v>173846.08738410095</v>
      </c>
      <c r="O85" s="123"/>
    </row>
    <row r="86" spans="1:21" s="188" customFormat="1" ht="15" customHeight="1">
      <c r="A86" s="190" t="s">
        <v>313</v>
      </c>
      <c r="B86" s="190" t="s">
        <v>329</v>
      </c>
      <c r="C86" s="194" t="s">
        <v>200</v>
      </c>
      <c r="D86" s="194" t="s">
        <v>201</v>
      </c>
      <c r="E86" s="194" t="s">
        <v>201</v>
      </c>
      <c r="F86" s="190" t="s">
        <v>105</v>
      </c>
      <c r="G86" s="196" t="s">
        <v>323</v>
      </c>
      <c r="H86" s="190" t="s">
        <v>79</v>
      </c>
      <c r="I86" s="196" t="str">
        <f t="shared" si="5"/>
        <v>95 Gallon Cart WG-R</v>
      </c>
      <c r="J86" s="193" t="s">
        <v>119</v>
      </c>
      <c r="K86" s="193">
        <f>References!$C$26</f>
        <v>68</v>
      </c>
      <c r="L86" s="199">
        <f>References!$C$11</f>
        <v>4.333333333333333</v>
      </c>
      <c r="M86" s="201">
        <f>+IFERROR(VLOOKUP($C86,'2180 (JBLM Housing) -Price 2020'!$B:$AJ,35,FALSE),0)</f>
        <v>10558.964725417689</v>
      </c>
      <c r="N86" s="201">
        <f t="shared" si="3"/>
        <v>45755.513810143319</v>
      </c>
      <c r="O86" s="123"/>
    </row>
    <row r="87" spans="1:21">
      <c r="N87" s="123">
        <f>+SUM(N2:N86)</f>
        <v>2989335.8107212125</v>
      </c>
    </row>
  </sheetData>
  <autoFilter ref="A1:N86">
    <sortState ref="A3:O92">
      <sortCondition ref="B1:B105"/>
    </sortState>
  </autoFilter>
  <pageMargins left="0.7" right="0.7" top="0.75" bottom="0.75" header="0.3" footer="0.3"/>
  <pageSetup scale="52" fitToHeight="4"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05"/>
  <sheetViews>
    <sheetView showGridLines="0" zoomScaleNormal="100" workbookViewId="0">
      <pane xSplit="1" ySplit="1" topLeftCell="B2" activePane="bottomRight" state="frozen"/>
      <selection activeCell="S17" sqref="S17:S18"/>
      <selection pane="topRight" activeCell="S17" sqref="S17:S18"/>
      <selection pane="bottomLeft" activeCell="S17" sqref="S17:S18"/>
      <selection pane="bottomRight" activeCell="S17" sqref="S17:S18"/>
    </sheetView>
  </sheetViews>
  <sheetFormatPr defaultRowHeight="15"/>
  <cols>
    <col min="1" max="1" width="7.5703125" style="55" customWidth="1"/>
    <col min="2" max="2" width="29.7109375" style="55" customWidth="1"/>
    <col min="3" max="3" width="38.42578125" style="55" bestFit="1" customWidth="1"/>
    <col min="4" max="5" width="11.140625" style="35" hidden="1" customWidth="1"/>
    <col min="6" max="6" width="11.140625" style="35" customWidth="1"/>
    <col min="7" max="8" width="11.140625" style="35" hidden="1" customWidth="1"/>
    <col min="9" max="9" width="11.140625" style="35" customWidth="1"/>
    <col min="10" max="10" width="44.5703125" style="112" bestFit="1" customWidth="1"/>
    <col min="11" max="11" width="9.140625" style="112"/>
    <col min="12" max="12" width="16" customWidth="1"/>
  </cols>
  <sheetData>
    <row r="1" spans="1:10" ht="30">
      <c r="A1" s="152">
        <v>16</v>
      </c>
      <c r="B1" s="118" t="s">
        <v>106</v>
      </c>
      <c r="C1" s="118" t="s">
        <v>160</v>
      </c>
      <c r="D1" s="119" t="s">
        <v>843</v>
      </c>
      <c r="E1" s="527" t="s">
        <v>849</v>
      </c>
      <c r="F1" s="119" t="s">
        <v>844</v>
      </c>
      <c r="G1" s="501" t="s">
        <v>845</v>
      </c>
      <c r="H1" s="527" t="s">
        <v>849</v>
      </c>
      <c r="I1" s="501" t="s">
        <v>846</v>
      </c>
    </row>
    <row r="2" spans="1:10">
      <c r="A2" s="207"/>
      <c r="B2" s="122" t="s">
        <v>347</v>
      </c>
      <c r="C2" s="110" t="str">
        <f>VLOOKUP(B2,Mapping!$E$2:$I$80,5,FALSE)</f>
        <v>32 Gal Unit Over-Sized</v>
      </c>
      <c r="D2" s="276">
        <f>SUMIFS('DF Calculation'!$K:$K,'DF Calculation'!$B:$B,'To Populate Tariff'!$A2,'DF Calculation'!$C:$C,$B2)</f>
        <v>0</v>
      </c>
      <c r="E2" s="276">
        <f>F2-D2</f>
        <v>0</v>
      </c>
      <c r="F2" s="504">
        <f>SUMIFS('DF Calculation'!$N:$N,'DF Calculation'!$B:$B,'To Populate Tariff'!$A2,'DF Calculation'!$C:$C,$B2)</f>
        <v>0</v>
      </c>
      <c r="G2" s="276">
        <f>SUMIFS('DF Calculation'!$L:$L,'DF Calculation'!$B:$B,'To Populate Tariff'!$A2,'DF Calculation'!$C:$C,$B2)</f>
        <v>0</v>
      </c>
      <c r="H2" s="276">
        <f>I2-G2</f>
        <v>0</v>
      </c>
      <c r="I2" s="504">
        <f>SUMIFS('DF Calculation'!$O:$O,'DF Calculation'!$B:$B,'To Populate Tariff'!$A2,'DF Calculation'!$C:$C,$B2)</f>
        <v>0</v>
      </c>
    </row>
    <row r="3" spans="1:10">
      <c r="B3" s="122" t="s">
        <v>349</v>
      </c>
      <c r="C3" s="110" t="str">
        <f>VLOOKUP(B3,Mapping!$E$2:$I$80,5,FALSE)</f>
        <v>32 Gal Unit Over-Weight</v>
      </c>
      <c r="D3" s="276">
        <f>SUMIFS('DF Calculation'!K:K,'DF Calculation'!B:B,'To Populate Tariff'!A1,'DF Calculation'!C:C,B3)</f>
        <v>7.78</v>
      </c>
      <c r="E3" s="276">
        <f t="shared" ref="E3:E66" si="0">F3-D3</f>
        <v>0</v>
      </c>
      <c r="F3" s="504">
        <f>SUMIFS('DF Calculation'!N:N,'DF Calculation'!B:B,'To Populate Tariff'!A1,'DF Calculation'!C:C,B3)</f>
        <v>7.78</v>
      </c>
      <c r="G3" s="276">
        <f>SUMIFS('DF Calculation'!$L:$L,'DF Calculation'!$B:$B,'To Populate Tariff'!$A1,'DF Calculation'!$C:$C,$B3)</f>
        <v>7.75</v>
      </c>
      <c r="H3" s="276">
        <f t="shared" ref="H3:H66" si="1">I3-G3</f>
        <v>0</v>
      </c>
      <c r="I3" s="504">
        <f>SUMIFS('DF Calculation'!$O:$O,'DF Calculation'!$B:$B,'To Populate Tariff'!$A1,'DF Calculation'!$C:$C,$B3)</f>
        <v>7.75</v>
      </c>
    </row>
    <row r="4" spans="1:10">
      <c r="A4" s="489">
        <v>21</v>
      </c>
      <c r="B4" s="490" t="s">
        <v>164</v>
      </c>
      <c r="C4" s="491" t="str">
        <f>VLOOKUP(B4,Mapping!$E$2:$I$80,5,FALSE)</f>
        <v>32 Gallon Cart MG-R</v>
      </c>
      <c r="D4" s="465">
        <f>SUMIFS('DF Calculation'!K:K,'DF Calculation'!B:B,'To Populate Tariff'!A4,'DF Calculation'!C:C,B4)</f>
        <v>0</v>
      </c>
      <c r="E4" s="465">
        <f t="shared" si="0"/>
        <v>0</v>
      </c>
      <c r="F4" s="465">
        <v>0</v>
      </c>
      <c r="G4" s="465"/>
      <c r="H4" s="465">
        <f t="shared" si="1"/>
        <v>0</v>
      </c>
      <c r="I4" s="465"/>
      <c r="J4" s="8" t="s">
        <v>738</v>
      </c>
    </row>
    <row r="5" spans="1:10">
      <c r="A5" s="489">
        <v>21</v>
      </c>
      <c r="B5" s="490" t="s">
        <v>167</v>
      </c>
      <c r="C5" s="491" t="str">
        <f>VLOOKUP(B5,Mapping!$E$2:$I$80,5,FALSE)</f>
        <v>32 Gallon Cart WG-R</v>
      </c>
      <c r="D5" s="465">
        <f>SUMIFS('DF Calculation'!K:K,'DF Calculation'!B:B,'To Populate Tariff'!A5,'DF Calculation'!C:C,B5)</f>
        <v>0</v>
      </c>
      <c r="E5" s="465">
        <f t="shared" si="0"/>
        <v>0</v>
      </c>
      <c r="F5" s="465">
        <v>0</v>
      </c>
      <c r="G5" s="465"/>
      <c r="H5" s="465">
        <f t="shared" si="1"/>
        <v>0</v>
      </c>
      <c r="I5" s="465"/>
      <c r="J5" s="8" t="s">
        <v>738</v>
      </c>
    </row>
    <row r="6" spans="1:10">
      <c r="A6" s="152">
        <v>21</v>
      </c>
      <c r="B6" s="122" t="s">
        <v>175</v>
      </c>
      <c r="C6" s="110" t="str">
        <f>VLOOKUP(B6,Mapping!$E$2:$I$80,5,FALSE)</f>
        <v>35 Gallon Cart MG-R</v>
      </c>
      <c r="D6" s="276">
        <f>SUMIFS('DF Calculation'!K:K,'DF Calculation'!B:B,'To Populate Tariff'!A6,'DF Calculation'!C:C,B6)</f>
        <v>9.4</v>
      </c>
      <c r="E6" s="276">
        <f t="shared" si="0"/>
        <v>-3.0561648585949897E-2</v>
      </c>
      <c r="F6" s="504">
        <f>SUMIFS('DF Calculation'!N:N,'DF Calculation'!B:B,'To Populate Tariff'!A6,'DF Calculation'!C:C,B6)</f>
        <v>9.3694383514140505</v>
      </c>
      <c r="G6" s="276">
        <f>SUMIFS('DF Calculation'!$L:$L,'DF Calculation'!$B:$B,'To Populate Tariff'!$A6,'DF Calculation'!$C:$C,$B6)</f>
        <v>9.3699999999999992</v>
      </c>
      <c r="H6" s="276">
        <f t="shared" si="1"/>
        <v>-3.0561648585949897E-2</v>
      </c>
      <c r="I6" s="504">
        <f>SUMIFS('DF Calculation'!$O:$O,'DF Calculation'!$B:$B,'To Populate Tariff'!$A6,'DF Calculation'!$C:$C,$B6)</f>
        <v>9.3394383514140493</v>
      </c>
    </row>
    <row r="7" spans="1:10">
      <c r="A7" s="152">
        <v>21</v>
      </c>
      <c r="B7" s="122"/>
      <c r="C7" s="110" t="s">
        <v>786</v>
      </c>
      <c r="D7" s="502">
        <v>10.41</v>
      </c>
      <c r="E7" s="502">
        <f t="shared" si="0"/>
        <v>-4.0561648585949683E-2</v>
      </c>
      <c r="F7" s="526">
        <f>F6+1</f>
        <v>10.36943835141405</v>
      </c>
      <c r="G7" s="502">
        <v>10.37</v>
      </c>
      <c r="H7" s="502">
        <f t="shared" si="1"/>
        <v>-3.0561648585949897E-2</v>
      </c>
      <c r="I7" s="526">
        <f>I6+1</f>
        <v>10.339438351414049</v>
      </c>
      <c r="J7" s="528" t="s">
        <v>669</v>
      </c>
    </row>
    <row r="8" spans="1:10">
      <c r="A8" s="152">
        <v>21</v>
      </c>
      <c r="B8" s="122" t="s">
        <v>177</v>
      </c>
      <c r="C8" s="110" t="str">
        <f>VLOOKUP(B8,Mapping!$E$2:$I$80,5,FALSE)</f>
        <v>35 Gallon Cart EOW-R</v>
      </c>
      <c r="D8" s="276">
        <f>SUMIFS('DF Calculation'!K:K,'DF Calculation'!B:B,'To Populate Tariff'!A8,'DF Calculation'!C:C,B8)</f>
        <v>12.88</v>
      </c>
      <c r="E8" s="276">
        <f t="shared" si="0"/>
        <v>-6.6216905269556037E-2</v>
      </c>
      <c r="F8" s="504">
        <f>SUMIFS('DF Calculation'!N:N,'DF Calculation'!B:B,'To Populate Tariff'!A8,'DF Calculation'!C:C,B8)</f>
        <v>12.813783094730445</v>
      </c>
      <c r="G8" s="276">
        <f>SUMIFS('DF Calculation'!$L:$L,'DF Calculation'!$B:$B,'To Populate Tariff'!$A8,'DF Calculation'!$C:$C,$B8)</f>
        <v>12.83</v>
      </c>
      <c r="H8" s="276">
        <f t="shared" si="1"/>
        <v>-6.6216905269556037E-2</v>
      </c>
      <c r="I8" s="504">
        <f>SUMIFS('DF Calculation'!$O:$O,'DF Calculation'!$B:$B,'To Populate Tariff'!$A8,'DF Calculation'!$C:$C,$B8)</f>
        <v>12.763783094730444</v>
      </c>
    </row>
    <row r="9" spans="1:10">
      <c r="A9" s="152">
        <v>21</v>
      </c>
      <c r="B9" s="122" t="s">
        <v>731</v>
      </c>
      <c r="C9" s="110" t="str">
        <f>VLOOKUP(B9,Mapping!$E$2:$I$80,5,FALSE)</f>
        <v>35 Gallon Cart EOW-NR</v>
      </c>
      <c r="D9" s="276">
        <f>SUMIFS('DF Calculation'!K:K,'DF Calculation'!B:B,'To Populate Tariff'!A9,'DF Calculation'!C:C,B9)</f>
        <v>13.88</v>
      </c>
      <c r="E9" s="276">
        <f t="shared" si="0"/>
        <v>-6.6216905269556037E-2</v>
      </c>
      <c r="F9" s="526">
        <f>F8+1</f>
        <v>13.813783094730445</v>
      </c>
      <c r="G9" s="276">
        <f>SUMIFS('DF Calculation'!$L:$L,'DF Calculation'!$B:$B,'To Populate Tariff'!$A9,'DF Calculation'!$C:$C,$B9)</f>
        <v>13.83</v>
      </c>
      <c r="H9" s="276">
        <f t="shared" si="1"/>
        <v>-6.6216905269556037E-2</v>
      </c>
      <c r="I9" s="526">
        <f>I8+1</f>
        <v>13.763783094730444</v>
      </c>
    </row>
    <row r="10" spans="1:10">
      <c r="A10" s="152">
        <v>21</v>
      </c>
      <c r="B10" s="122" t="s">
        <v>179</v>
      </c>
      <c r="C10" s="110" t="str">
        <f>VLOOKUP(B10,Mapping!$E$2:$I$80,5,FALSE)</f>
        <v>35 Gallon Cart WG-R</v>
      </c>
      <c r="D10" s="276">
        <f>SUMIFS('DF Calculation'!K:K,'DF Calculation'!B:B,'To Populate Tariff'!A10,'DF Calculation'!C:C,B10)</f>
        <v>19.41</v>
      </c>
      <c r="E10" s="276">
        <f t="shared" si="0"/>
        <v>-0.13243381053911207</v>
      </c>
      <c r="F10" s="504">
        <f>SUMIFS('DF Calculation'!N:N,'DF Calculation'!B:B,'To Populate Tariff'!A10,'DF Calculation'!C:C,B10)</f>
        <v>19.277566189460888</v>
      </c>
      <c r="G10" s="276">
        <f>SUMIFS('DF Calculation'!$L:$L,'DF Calculation'!$B:$B,'To Populate Tariff'!$A10,'DF Calculation'!$C:$C,$B10)</f>
        <v>19.34</v>
      </c>
      <c r="H10" s="276">
        <f t="shared" si="1"/>
        <v>-0.13243381053911207</v>
      </c>
      <c r="I10" s="504">
        <f>SUMIFS('DF Calculation'!$O:$O,'DF Calculation'!$B:$B,'To Populate Tariff'!$A10,'DF Calculation'!$C:$C,$B10)</f>
        <v>19.207566189460888</v>
      </c>
    </row>
    <row r="11" spans="1:10">
      <c r="A11" s="152">
        <v>21</v>
      </c>
      <c r="B11" s="122" t="s">
        <v>733</v>
      </c>
      <c r="C11" s="110" t="str">
        <f>VLOOKUP(B11,Mapping!$E$2:$I$80,5,FALSE)</f>
        <v>35 Gallon Cart WG-NR</v>
      </c>
      <c r="D11" s="276">
        <f>SUMIFS('DF Calculation'!K:K,'DF Calculation'!B:B,'To Populate Tariff'!A11,'DF Calculation'!C:C,B11)</f>
        <v>20.420000000000002</v>
      </c>
      <c r="E11" s="276">
        <f t="shared" si="0"/>
        <v>-0.14243381053911364</v>
      </c>
      <c r="F11" s="526">
        <f>F10+1</f>
        <v>20.277566189460888</v>
      </c>
      <c r="G11" s="276">
        <f>SUMIFS('DF Calculation'!$L:$L,'DF Calculation'!$B:$B,'To Populate Tariff'!$A11,'DF Calculation'!$C:$C,$B11)</f>
        <v>20.34</v>
      </c>
      <c r="H11" s="276">
        <f t="shared" si="1"/>
        <v>-0.13243381053911207</v>
      </c>
      <c r="I11" s="526">
        <f>I10+1</f>
        <v>20.207566189460888</v>
      </c>
    </row>
    <row r="12" spans="1:10">
      <c r="A12" s="152">
        <v>21</v>
      </c>
      <c r="B12" s="122" t="s">
        <v>185</v>
      </c>
      <c r="C12" s="110" t="str">
        <f>VLOOKUP(B12,Mapping!$E$2:$I$80,5,FALSE)</f>
        <v>65 Gallon Cart MG-R</v>
      </c>
      <c r="D12" s="276">
        <f>SUMIFS('DF Calculation'!K:K,'DF Calculation'!B:B,'To Populate Tariff'!A12,'DF Calculation'!C:C,B12)</f>
        <v>9.4700000000000006</v>
      </c>
      <c r="E12" s="276">
        <f t="shared" si="0"/>
        <v>-4.2246984809988675E-2</v>
      </c>
      <c r="F12" s="504">
        <f>SUMIFS('DF Calculation'!N:N,'DF Calculation'!B:B,'To Populate Tariff'!A12,'DF Calculation'!C:C,B12)</f>
        <v>9.427753015190012</v>
      </c>
      <c r="G12" s="276">
        <f>SUMIFS('DF Calculation'!$L:$L,'DF Calculation'!$B:$B,'To Populate Tariff'!$A12,'DF Calculation'!$C:$C,$B12)</f>
        <v>9.43</v>
      </c>
      <c r="H12" s="276">
        <f t="shared" si="1"/>
        <v>-4.2246984809988675E-2</v>
      </c>
      <c r="I12" s="504">
        <f>SUMIFS('DF Calculation'!$O:$O,'DF Calculation'!$B:$B,'To Populate Tariff'!$A12,'DF Calculation'!$C:$C,$B12)</f>
        <v>9.387753015190011</v>
      </c>
    </row>
    <row r="13" spans="1:10">
      <c r="A13" s="152">
        <v>21</v>
      </c>
      <c r="B13" s="122" t="s">
        <v>183</v>
      </c>
      <c r="C13" s="110" t="str">
        <f>VLOOKUP(B13,Mapping!$E$2:$I$80,5,FALSE)</f>
        <v>65 Gallon Cart MG-NR</v>
      </c>
      <c r="D13" s="276">
        <f>SUMIFS('DF Calculation'!K:K,'DF Calculation'!B:B,'To Populate Tariff'!A13,'DF Calculation'!C:C,B13)</f>
        <v>11.48</v>
      </c>
      <c r="E13" s="276">
        <f t="shared" si="0"/>
        <v>-5.2246984809988462E-2</v>
      </c>
      <c r="F13" s="526">
        <f>F12+2</f>
        <v>11.427753015190012</v>
      </c>
      <c r="G13" s="276">
        <f>SUMIFS('DF Calculation'!$L:$L,'DF Calculation'!$B:$B,'To Populate Tariff'!$A13,'DF Calculation'!$C:$C,$B13)</f>
        <v>11.44</v>
      </c>
      <c r="H13" s="276">
        <f t="shared" si="1"/>
        <v>-5.2246984809988462E-2</v>
      </c>
      <c r="I13" s="526">
        <f>I12+2</f>
        <v>11.387753015190011</v>
      </c>
    </row>
    <row r="14" spans="1:10">
      <c r="A14" s="152">
        <v>21</v>
      </c>
      <c r="B14" s="122" t="s">
        <v>193</v>
      </c>
      <c r="C14" s="110" t="str">
        <f>VLOOKUP(B14,Mapping!$E$2:$I$80,5,FALSE)</f>
        <v>65 Gallon Cart EOW-R</v>
      </c>
      <c r="D14" s="276">
        <f>SUMIFS('DF Calculation'!K:K,'DF Calculation'!B:B,'To Populate Tariff'!A14,'DF Calculation'!C:C,B14)</f>
        <v>16.7</v>
      </c>
      <c r="E14" s="276">
        <f t="shared" si="0"/>
        <v>-9.1535133754973685E-2</v>
      </c>
      <c r="F14" s="504">
        <f>SUMIFS('DF Calculation'!N:N,'DF Calculation'!B:B,'To Populate Tariff'!A14,'DF Calculation'!C:C,B14)</f>
        <v>16.608464866245026</v>
      </c>
      <c r="G14" s="276">
        <f>SUMIFS('DF Calculation'!$L:$L,'DF Calculation'!$B:$B,'To Populate Tariff'!$A14,'DF Calculation'!$C:$C,$B14)</f>
        <v>16.64</v>
      </c>
      <c r="H14" s="276">
        <f t="shared" si="1"/>
        <v>-9.1535133754973685E-2</v>
      </c>
      <c r="I14" s="504">
        <f>SUMIFS('DF Calculation'!$O:$O,'DF Calculation'!$B:$B,'To Populate Tariff'!$A14,'DF Calculation'!$C:$C,$B14)</f>
        <v>16.548464866245027</v>
      </c>
    </row>
    <row r="15" spans="1:10">
      <c r="A15" s="152">
        <v>21</v>
      </c>
      <c r="B15" s="122" t="s">
        <v>191</v>
      </c>
      <c r="C15" s="110" t="str">
        <f>VLOOKUP(B15,Mapping!$E$2:$I$80,5,FALSE)</f>
        <v>65 Gallon Cart EOWG-NR</v>
      </c>
      <c r="D15" s="276">
        <f>SUMIFS('DF Calculation'!K:K,'DF Calculation'!B:B,'To Populate Tariff'!A15,'DF Calculation'!C:C,B15)</f>
        <v>18.72</v>
      </c>
      <c r="E15" s="276">
        <f t="shared" si="0"/>
        <v>-0.11153513375497326</v>
      </c>
      <c r="F15" s="526">
        <f>F14+2</f>
        <v>18.608464866245026</v>
      </c>
      <c r="G15" s="276">
        <f>SUMIFS('DF Calculation'!$L:$L,'DF Calculation'!$B:$B,'To Populate Tariff'!$A15,'DF Calculation'!$C:$C,$B15)</f>
        <v>18.649999999999999</v>
      </c>
      <c r="H15" s="276">
        <f t="shared" si="1"/>
        <v>-0.1015351337549717</v>
      </c>
      <c r="I15" s="526">
        <f>I14+2</f>
        <v>18.548464866245027</v>
      </c>
    </row>
    <row r="16" spans="1:10">
      <c r="A16" s="152">
        <v>21</v>
      </c>
      <c r="B16" s="122" t="s">
        <v>189</v>
      </c>
      <c r="C16" s="110" t="str">
        <f>VLOOKUP(B16,Mapping!$E$2:$I$80,5,FALSE)</f>
        <v>65 Gallon Cart WG-R</v>
      </c>
      <c r="D16" s="276">
        <f>SUMIFS('DF Calculation'!K:K,'DF Calculation'!B:B,'To Populate Tariff'!A16,'DF Calculation'!C:C,B16)</f>
        <v>26.87</v>
      </c>
      <c r="E16" s="276">
        <f t="shared" si="0"/>
        <v>-0.18307026750995092</v>
      </c>
      <c r="F16" s="504">
        <f>SUMIFS('DF Calculation'!N:N,'DF Calculation'!B:B,'To Populate Tariff'!A16,'DF Calculation'!C:C,B16)</f>
        <v>26.68692973249005</v>
      </c>
      <c r="G16" s="276">
        <f>SUMIFS('DF Calculation'!$L:$L,'DF Calculation'!$B:$B,'To Populate Tariff'!$A16,'DF Calculation'!$C:$C,$B16)</f>
        <v>26.77</v>
      </c>
      <c r="H16" s="276">
        <f t="shared" si="1"/>
        <v>-0.18307026750995092</v>
      </c>
      <c r="I16" s="504">
        <f>SUMIFS('DF Calculation'!$O:$O,'DF Calculation'!$B:$B,'To Populate Tariff'!$A16,'DF Calculation'!$C:$C,$B16)</f>
        <v>26.586929732490049</v>
      </c>
      <c r="J16" s="449"/>
    </row>
    <row r="17" spans="1:12">
      <c r="A17" s="152">
        <v>21</v>
      </c>
      <c r="B17" s="122" t="s">
        <v>187</v>
      </c>
      <c r="C17" s="110" t="str">
        <f>VLOOKUP(B17,Mapping!$E$2:$I$80,5,FALSE)</f>
        <v>65 Gallon Cart WG-NR</v>
      </c>
      <c r="D17" s="276">
        <f>SUMIFS('DF Calculation'!K:K,'DF Calculation'!B:B,'To Populate Tariff'!A17,'DF Calculation'!C:C,B17)</f>
        <v>28.88</v>
      </c>
      <c r="E17" s="276">
        <f t="shared" si="0"/>
        <v>-0.19307026750994893</v>
      </c>
      <c r="F17" s="526">
        <f>F16+2</f>
        <v>28.68692973249005</v>
      </c>
      <c r="G17" s="276">
        <f>SUMIFS('DF Calculation'!$L:$L,'DF Calculation'!$B:$B,'To Populate Tariff'!$A17,'DF Calculation'!$C:$C,$B17)</f>
        <v>28.77</v>
      </c>
      <c r="H17" s="276">
        <f t="shared" si="1"/>
        <v>-0.18307026750995092</v>
      </c>
      <c r="I17" s="526">
        <f>I16+2</f>
        <v>28.586929732490049</v>
      </c>
      <c r="J17" s="449"/>
    </row>
    <row r="18" spans="1:12">
      <c r="A18" s="152">
        <v>21</v>
      </c>
      <c r="B18" s="122" t="s">
        <v>197</v>
      </c>
      <c r="C18" s="110" t="str">
        <f>VLOOKUP(B18,Mapping!$E$2:$I$80,5,FALSE)</f>
        <v>95 Gallon Cart MG-R</v>
      </c>
      <c r="D18" s="276">
        <f>SUMIFS('DF Calculation'!K:K,'DF Calculation'!B:B,'To Populate Tariff'!A18,'DF Calculation'!C:C,B18)</f>
        <v>13</v>
      </c>
      <c r="E18" s="276">
        <f t="shared" si="0"/>
        <v>-6.1123297171898017E-2</v>
      </c>
      <c r="F18" s="504">
        <f>SUMIFS('DF Calculation'!N:N,'DF Calculation'!B:B,'To Populate Tariff'!A18,'DF Calculation'!C:C,B18)</f>
        <v>12.938876702828102</v>
      </c>
      <c r="G18" s="276">
        <f>SUMIFS('DF Calculation'!$L:$L,'DF Calculation'!$B:$B,'To Populate Tariff'!$A18,'DF Calculation'!$C:$C,$B18)</f>
        <v>12.95</v>
      </c>
      <c r="H18" s="276">
        <f t="shared" si="1"/>
        <v>-6.1123297171898017E-2</v>
      </c>
      <c r="I18" s="504">
        <f>SUMIFS('DF Calculation'!$O:$O,'DF Calculation'!$B:$B,'To Populate Tariff'!$A18,'DF Calculation'!$C:$C,$B18)</f>
        <v>12.888876702828101</v>
      </c>
      <c r="J18" s="449"/>
    </row>
    <row r="19" spans="1:12">
      <c r="A19" s="152">
        <v>21</v>
      </c>
      <c r="B19" s="122" t="s">
        <v>195</v>
      </c>
      <c r="C19" s="110" t="str">
        <f>VLOOKUP(B19,Mapping!$E$2:$I$80,5,FALSE)</f>
        <v>95 Gallon Cart MG-NR</v>
      </c>
      <c r="D19" s="276">
        <f>SUMIFS('DF Calculation'!K:K,'DF Calculation'!B:B,'To Populate Tariff'!A19,'DF Calculation'!C:C,B19)</f>
        <v>16.02</v>
      </c>
      <c r="E19" s="276">
        <f t="shared" si="0"/>
        <v>-8.112329717189759E-2</v>
      </c>
      <c r="F19" s="526">
        <f>F18+3</f>
        <v>15.938876702828102</v>
      </c>
      <c r="G19" s="276">
        <f>SUMIFS('DF Calculation'!$L:$L,'DF Calculation'!$B:$B,'To Populate Tariff'!$A19,'DF Calculation'!$C:$C,$B19)</f>
        <v>15.96</v>
      </c>
      <c r="H19" s="276">
        <f t="shared" si="1"/>
        <v>-7.112329717189958E-2</v>
      </c>
      <c r="I19" s="526">
        <f>I18+3</f>
        <v>15.888876702828101</v>
      </c>
      <c r="J19" s="449"/>
    </row>
    <row r="20" spans="1:12">
      <c r="A20" s="152">
        <v>21</v>
      </c>
      <c r="B20" s="122" t="s">
        <v>205</v>
      </c>
      <c r="C20" s="110" t="str">
        <f>VLOOKUP(B20,Mapping!$E$2:$I$80,5,FALSE)</f>
        <v>95 Gallon Cart EOWG-R</v>
      </c>
      <c r="D20" s="276">
        <f>SUMIFS('DF Calculation'!K:K,'DF Calculation'!B:B,'To Populate Tariff'!A20,'DF Calculation'!C:C,B20)</f>
        <v>21.94</v>
      </c>
      <c r="E20" s="276">
        <f t="shared" si="0"/>
        <v>-0.13243381053911207</v>
      </c>
      <c r="F20" s="504">
        <f>SUMIFS('DF Calculation'!N:N,'DF Calculation'!B:B,'To Populate Tariff'!A20,'DF Calculation'!C:C,B20)</f>
        <v>21.807566189460889</v>
      </c>
      <c r="G20" s="276">
        <f>SUMIFS('DF Calculation'!$L:$L,'DF Calculation'!$B:$B,'To Populate Tariff'!$A20,'DF Calculation'!$C:$C,$B20)</f>
        <v>21.86</v>
      </c>
      <c r="H20" s="276">
        <f t="shared" si="1"/>
        <v>-0.13243381053911207</v>
      </c>
      <c r="I20" s="504">
        <f>SUMIFS('DF Calculation'!$O:$O,'DF Calculation'!$B:$B,'To Populate Tariff'!$A20,'DF Calculation'!$C:$C,$B20)</f>
        <v>21.727566189460887</v>
      </c>
      <c r="J20" s="449"/>
    </row>
    <row r="21" spans="1:12">
      <c r="A21" s="152">
        <v>21</v>
      </c>
      <c r="B21" s="122" t="s">
        <v>203</v>
      </c>
      <c r="C21" s="110" t="str">
        <f>VLOOKUP(B21,Mapping!$E$2:$I$80,5,FALSE)</f>
        <v>95 Gallon Cart EOWG-NR</v>
      </c>
      <c r="D21" s="276">
        <f>SUMIFS('DF Calculation'!K:K,'DF Calculation'!B:B,'To Populate Tariff'!A21,'DF Calculation'!C:C,B21)</f>
        <v>24.96</v>
      </c>
      <c r="E21" s="276">
        <f t="shared" si="0"/>
        <v>-0.15243381053911165</v>
      </c>
      <c r="F21" s="526">
        <f>F20+3</f>
        <v>24.807566189460889</v>
      </c>
      <c r="G21" s="276">
        <f>SUMIFS('DF Calculation'!$L:$L,'DF Calculation'!$B:$B,'To Populate Tariff'!$A21,'DF Calculation'!$C:$C,$B21)</f>
        <v>24.87</v>
      </c>
      <c r="H21" s="276">
        <f t="shared" si="1"/>
        <v>-0.14243381053911364</v>
      </c>
      <c r="I21" s="526">
        <f>I20+3</f>
        <v>24.727566189460887</v>
      </c>
      <c r="J21" s="449"/>
    </row>
    <row r="22" spans="1:12">
      <c r="A22" s="152">
        <v>21</v>
      </c>
      <c r="B22" s="122" t="s">
        <v>201</v>
      </c>
      <c r="C22" s="110" t="str">
        <f>VLOOKUP(B22,Mapping!$E$2:$I$80,5,FALSE)</f>
        <v>95 Gallon Cart WG-R</v>
      </c>
      <c r="D22" s="276">
        <f>SUMIFS('DF Calculation'!K:K,'DF Calculation'!B:B,'To Populate Tariff'!A22,'DF Calculation'!C:C,B22)</f>
        <v>35.64</v>
      </c>
      <c r="E22" s="276">
        <f>F22-D22</f>
        <v>-0.26486762107822415</v>
      </c>
      <c r="F22" s="504">
        <f>SUMIFS('DF Calculation'!N:N,'DF Calculation'!B:B,'To Populate Tariff'!A22,'DF Calculation'!C:C,B22)</f>
        <v>35.375132378921776</v>
      </c>
      <c r="G22" s="276">
        <f>SUMIFS('DF Calculation'!$L:$L,'DF Calculation'!$B:$B,'To Populate Tariff'!$A22,'DF Calculation'!$C:$C,$B22)</f>
        <v>35.51</v>
      </c>
      <c r="H22" s="276">
        <f t="shared" si="1"/>
        <v>-0.26486762107822415</v>
      </c>
      <c r="I22" s="504">
        <f>SUMIFS('DF Calculation'!$O:$O,'DF Calculation'!$B:$B,'To Populate Tariff'!$A22,'DF Calculation'!$C:$C,$B22)</f>
        <v>35.245132378921774</v>
      </c>
      <c r="J22" s="449"/>
    </row>
    <row r="23" spans="1:12">
      <c r="A23" s="152">
        <v>21</v>
      </c>
      <c r="B23" s="122" t="s">
        <v>199</v>
      </c>
      <c r="C23" s="110" t="str">
        <f>VLOOKUP(B23,Mapping!$E$2:$I$80,5,FALSE)</f>
        <v>95 Gallon Cart WG-NR</v>
      </c>
      <c r="D23" s="276">
        <f>SUMIFS('DF Calculation'!K:K,'DF Calculation'!B:B,'To Populate Tariff'!A23,'DF Calculation'!C:C,B23)</f>
        <v>38.659999999999997</v>
      </c>
      <c r="E23" s="276">
        <f t="shared" si="0"/>
        <v>-0.28486762107822017</v>
      </c>
      <c r="F23" s="526">
        <f>F22+3</f>
        <v>38.375132378921776</v>
      </c>
      <c r="G23" s="276">
        <f>SUMIFS('DF Calculation'!$L:$L,'DF Calculation'!$B:$B,'To Populate Tariff'!$A23,'DF Calculation'!$C:$C,$B23)</f>
        <v>38.520000000000003</v>
      </c>
      <c r="H23" s="276">
        <f t="shared" si="1"/>
        <v>-0.27486762107822926</v>
      </c>
      <c r="I23" s="526">
        <f>I22+3</f>
        <v>38.245132378921774</v>
      </c>
      <c r="J23" s="449"/>
    </row>
    <row r="24" spans="1:12">
      <c r="A24" s="152">
        <v>22</v>
      </c>
      <c r="B24" s="122" t="s">
        <v>209</v>
      </c>
      <c r="C24" s="110" t="str">
        <f>VLOOKUP(B24,Mapping!$E$2:$I$80,5,FALSE)</f>
        <v>Extra Units Extra</v>
      </c>
      <c r="D24" s="276">
        <f>SUMIFS('DF Calculation'!K:K,'DF Calculation'!B:B,'To Populate Tariff'!A24,'DF Calculation'!C:C,B24)</f>
        <v>4.4400000000000004</v>
      </c>
      <c r="E24" s="276">
        <f t="shared" si="0"/>
        <v>-3.0561648585949008E-2</v>
      </c>
      <c r="F24" s="504">
        <f>SUMIFS('DF Calculation'!N:N,'DF Calculation'!B:B,'To Populate Tariff'!A24,'DF Calculation'!C:C,B24)</f>
        <v>4.4094383514140514</v>
      </c>
      <c r="G24" s="276">
        <f>SUMIFS('DF Calculation'!$L:$L,'DF Calculation'!$B:$B,'To Populate Tariff'!$A24,'DF Calculation'!$C:$C,$B24)</f>
        <v>4.42</v>
      </c>
      <c r="H24" s="276">
        <f t="shared" si="1"/>
        <v>-3.0561648585949008E-2</v>
      </c>
      <c r="I24" s="504">
        <f>SUMIFS('DF Calculation'!$O:$O,'DF Calculation'!$B:$B,'To Populate Tariff'!$A24,'DF Calculation'!$C:$C,$B24)</f>
        <v>4.3894383514140509</v>
      </c>
      <c r="J24" s="449"/>
    </row>
    <row r="25" spans="1:12">
      <c r="A25" s="152">
        <v>22</v>
      </c>
      <c r="B25" s="122" t="s">
        <v>728</v>
      </c>
      <c r="C25" s="110" t="str">
        <f>VLOOKUP(B25,Mapping!$E$2:$I$80,5,FALSE)</f>
        <v>65 Gallon Extra</v>
      </c>
      <c r="D25" s="276">
        <f>SUMIFS('DF Calculation'!K:K,'DF Calculation'!B:B,'To Populate Tariff'!A25,'DF Calculation'!C:C,B25)</f>
        <v>9.36</v>
      </c>
      <c r="E25" s="276">
        <f t="shared" si="0"/>
        <v>-4.2246984809988675E-2</v>
      </c>
      <c r="F25" s="504">
        <f>SUMIFS('DF Calculation'!N:N,'DF Calculation'!B:B,'To Populate Tariff'!A25,'DF Calculation'!C:C,B25)</f>
        <v>9.3177530151900108</v>
      </c>
      <c r="G25" s="276">
        <f>SUMIFS('DF Calculation'!$L:$L,'DF Calculation'!$B:$B,'To Populate Tariff'!$A25,'DF Calculation'!$C:$C,$B25)</f>
        <v>9.33</v>
      </c>
      <c r="H25" s="276">
        <f t="shared" si="1"/>
        <v>-4.2246984809988675E-2</v>
      </c>
      <c r="I25" s="504">
        <f>SUMIFS('DF Calculation'!$O:$O,'DF Calculation'!$B:$B,'To Populate Tariff'!$A25,'DF Calculation'!$C:$C,$B25)</f>
        <v>9.2877530151900114</v>
      </c>
      <c r="J25" s="528"/>
    </row>
    <row r="26" spans="1:12">
      <c r="A26" s="152">
        <v>22</v>
      </c>
      <c r="B26" s="122" t="s">
        <v>729</v>
      </c>
      <c r="C26" s="110" t="str">
        <f>VLOOKUP(B26,Mapping!$E$2:$I$80,5,FALSE)</f>
        <v>95 Gallon Extra</v>
      </c>
      <c r="D26" s="276">
        <f>SUMIFS('DF Calculation'!K:K,'DF Calculation'!B:B,'To Populate Tariff'!A26,'DF Calculation'!C:C,B26)</f>
        <v>12.35</v>
      </c>
      <c r="E26" s="276">
        <f t="shared" si="0"/>
        <v>-6.1123297171898017E-2</v>
      </c>
      <c r="F26" s="504">
        <f>SUMIFS('DF Calculation'!N:N,'DF Calculation'!B:B,'To Populate Tariff'!A26,'DF Calculation'!C:C,B26)</f>
        <v>12.288876702828102</v>
      </c>
      <c r="G26" s="276">
        <f>SUMIFS('DF Calculation'!$L:$L,'DF Calculation'!$B:$B,'To Populate Tariff'!$A26,'DF Calculation'!$C:$C,$B26)</f>
        <v>12.3</v>
      </c>
      <c r="H26" s="276">
        <f t="shared" si="1"/>
        <v>-6.1123297171898017E-2</v>
      </c>
      <c r="I26" s="504">
        <f>SUMIFS('DF Calculation'!$O:$O,'DF Calculation'!$B:$B,'To Populate Tariff'!$A26,'DF Calculation'!$C:$C,$B26)</f>
        <v>12.238876702828103</v>
      </c>
      <c r="J26" s="528"/>
    </row>
    <row r="27" spans="1:12">
      <c r="A27" s="152">
        <v>22</v>
      </c>
      <c r="B27" s="122"/>
      <c r="C27" s="110" t="s">
        <v>668</v>
      </c>
      <c r="D27" s="502">
        <v>5.14</v>
      </c>
      <c r="E27" s="502">
        <f t="shared" si="0"/>
        <v>-3.0561648585949008E-2</v>
      </c>
      <c r="F27" s="502">
        <f>D27+(References!$C28*'DF Calculation'!$D$83*References!$D$62)</f>
        <v>5.1094383514140507</v>
      </c>
      <c r="G27" s="502">
        <v>5.12</v>
      </c>
      <c r="H27" s="502">
        <f t="shared" si="1"/>
        <v>-3.0561648585949008E-2</v>
      </c>
      <c r="I27" s="502">
        <f>G27+(References!$C28*'DF Calculation'!$D$83*References!$D$62)</f>
        <v>5.0894383514140511</v>
      </c>
      <c r="J27" s="528" t="s">
        <v>669</v>
      </c>
      <c r="L27" s="361"/>
    </row>
    <row r="28" spans="1:12">
      <c r="A28" s="152">
        <v>22</v>
      </c>
      <c r="B28" s="122" t="s">
        <v>361</v>
      </c>
      <c r="C28" s="110" t="str">
        <f>VLOOKUP(B28,Mapping!$E$2:$I$80,5,FALSE)</f>
        <v>Extra Units On Call</v>
      </c>
      <c r="D28" s="276">
        <f>SUMIFS('DF Calculation'!K:K,'DF Calculation'!B:B,'To Populate Tariff'!A28,'DF Calculation'!C:C,B28)</f>
        <v>7.89</v>
      </c>
      <c r="E28" s="276">
        <f t="shared" si="0"/>
        <v>-3.0561648585949008E-2</v>
      </c>
      <c r="F28" s="504">
        <f>SUMIFS('DF Calculation'!N:N,'DF Calculation'!B:B,'To Populate Tariff'!A28,'DF Calculation'!C:C,B28)</f>
        <v>7.8594383514140507</v>
      </c>
      <c r="G28" s="276">
        <f>SUMIFS('DF Calculation'!$L:$L,'DF Calculation'!$B:$B,'To Populate Tariff'!$A28,'DF Calculation'!$C:$C,$B28)</f>
        <v>7.86</v>
      </c>
      <c r="H28" s="276">
        <f t="shared" si="1"/>
        <v>-3.0561648585949008E-2</v>
      </c>
      <c r="I28" s="504">
        <f>SUMIFS('DF Calculation'!$O:$O,'DF Calculation'!$B:$B,'To Populate Tariff'!$A28,'DF Calculation'!$C:$C,$B28)</f>
        <v>7.8294383514140513</v>
      </c>
      <c r="J28" s="528"/>
    </row>
    <row r="29" spans="1:12">
      <c r="A29" s="152">
        <v>24.1</v>
      </c>
      <c r="B29" s="267" t="s">
        <v>189</v>
      </c>
      <c r="C29" s="110" t="str">
        <f>VLOOKUP(B29,Mapping!$E$2:$I$80,5,FALSE)</f>
        <v>65 Gallon Cart WG-R</v>
      </c>
      <c r="D29" s="276">
        <f>SUMIFS('DF Calculation'!K:K,'DF Calculation'!B:B,'To Populate Tariff'!A29,'DF Calculation'!C:C,B29)</f>
        <v>22.25</v>
      </c>
      <c r="E29" s="276">
        <f t="shared" si="0"/>
        <v>0.21680570524743814</v>
      </c>
      <c r="F29" s="504">
        <f>SUMIFS('DF Calculation'!N:N,'DF Calculation'!B:B,'To Populate Tariff'!A29,'DF Calculation'!C:C,B29)</f>
        <v>22.466805705247438</v>
      </c>
      <c r="G29" s="276">
        <f>SUMIFS('DF Calculation'!$L:$L,'DF Calculation'!$B:$B,'To Populate Tariff'!$A29,'DF Calculation'!$C:$C,$B29)</f>
        <v>22.17</v>
      </c>
      <c r="H29" s="276">
        <f t="shared" si="1"/>
        <v>0.21680570524743814</v>
      </c>
      <c r="I29" s="504">
        <f>SUMIFS('DF Calculation'!$O:$O,'DF Calculation'!$B:$B,'To Populate Tariff'!$A29,'DF Calculation'!$C:$C,$B29)</f>
        <v>22.38680570524744</v>
      </c>
    </row>
    <row r="30" spans="1:12">
      <c r="A30" s="152">
        <v>24.1</v>
      </c>
      <c r="B30" s="268" t="s">
        <v>201</v>
      </c>
      <c r="C30" s="110" t="str">
        <f>VLOOKUP(B30,Mapping!$E$2:$I$80,5,FALSE)</f>
        <v>95 Gallon Cart WG-R</v>
      </c>
      <c r="D30" s="276">
        <f>SUMIFS('DF Calculation'!K:K,'DF Calculation'!B:B,'To Populate Tariff'!A30,'DF Calculation'!C:C,B30)</f>
        <v>29.12</v>
      </c>
      <c r="E30" s="276">
        <f t="shared" si="0"/>
        <v>0.31367633950693019</v>
      </c>
      <c r="F30" s="504">
        <f>SUMIFS('DF Calculation'!N:N,'DF Calculation'!B:B,'To Populate Tariff'!A30,'DF Calculation'!C:C,B30)</f>
        <v>29.433676339506931</v>
      </c>
      <c r="G30" s="276">
        <f>SUMIFS('DF Calculation'!$L:$L,'DF Calculation'!$B:$B,'To Populate Tariff'!$A30,'DF Calculation'!$C:$C,$B30)</f>
        <v>29.01</v>
      </c>
      <c r="H30" s="276">
        <f t="shared" si="1"/>
        <v>0.31367633950693019</v>
      </c>
      <c r="I30" s="504">
        <f>SUMIFS('DF Calculation'!$O:$O,'DF Calculation'!$B:$B,'To Populate Tariff'!$A30,'DF Calculation'!$C:$C,$B30)</f>
        <v>29.323676339506932</v>
      </c>
    </row>
    <row r="31" spans="1:12">
      <c r="A31" s="152">
        <v>24.2</v>
      </c>
      <c r="B31" s="269"/>
      <c r="C31" s="266" t="s">
        <v>670</v>
      </c>
      <c r="D31" s="502">
        <v>3.73</v>
      </c>
      <c r="E31" s="502">
        <f t="shared" si="0"/>
        <v>3.6193423789261381E-2</v>
      </c>
      <c r="F31" s="502">
        <f>D31+(References!$C$28*'DF Calculation'!$D$87*References!$D$74)</f>
        <v>3.7661934237892614</v>
      </c>
      <c r="G31" s="502">
        <v>3.72</v>
      </c>
      <c r="H31" s="502">
        <f t="shared" si="1"/>
        <v>3.6193423789261381E-2</v>
      </c>
      <c r="I31" s="502">
        <f>G31+(References!$C$28*'DF Calculation'!$D$87*References!$D$74)</f>
        <v>3.7561934237892616</v>
      </c>
      <c r="J31" s="528" t="s">
        <v>669</v>
      </c>
    </row>
    <row r="32" spans="1:12">
      <c r="A32" s="152">
        <v>24.2</v>
      </c>
      <c r="B32" s="269"/>
      <c r="C32" s="110" t="s">
        <v>666</v>
      </c>
      <c r="D32" s="502">
        <v>8.27</v>
      </c>
      <c r="E32" s="502">
        <f t="shared" si="0"/>
        <v>5.0032085826332562E-2</v>
      </c>
      <c r="F32" s="502">
        <f>D32+(References!$C$25*'DF Calculation'!$D$87*References!$D$74)</f>
        <v>8.3200320858263321</v>
      </c>
      <c r="G32" s="502">
        <v>8.24</v>
      </c>
      <c r="H32" s="502">
        <f t="shared" si="1"/>
        <v>5.0032085826332562E-2</v>
      </c>
      <c r="I32" s="502">
        <f>G32+(References!$C$25*'DF Calculation'!$D$87*References!$D$74)</f>
        <v>8.2900320858263328</v>
      </c>
      <c r="J32" s="528" t="s">
        <v>669</v>
      </c>
    </row>
    <row r="33" spans="1:13">
      <c r="A33" s="152">
        <v>24.2</v>
      </c>
      <c r="B33" s="269"/>
      <c r="C33" s="110" t="s">
        <v>667</v>
      </c>
      <c r="D33" s="502">
        <v>10.82</v>
      </c>
      <c r="E33" s="502">
        <f t="shared" si="0"/>
        <v>7.2386847578522762E-2</v>
      </c>
      <c r="F33" s="502">
        <f>D33+(References!$C$26*'DF Calculation'!$D$87*References!$D$74)</f>
        <v>10.892386847578523</v>
      </c>
      <c r="G33" s="502">
        <v>10.78</v>
      </c>
      <c r="H33" s="502">
        <f t="shared" si="1"/>
        <v>7.2386847578522762E-2</v>
      </c>
      <c r="I33" s="502">
        <f>G33+(References!$C$26*'DF Calculation'!$D$87*References!$D$74)</f>
        <v>10.852386847578522</v>
      </c>
      <c r="J33" s="528" t="s">
        <v>669</v>
      </c>
    </row>
    <row r="34" spans="1:13">
      <c r="A34" s="152">
        <v>24.3</v>
      </c>
      <c r="B34" s="269"/>
      <c r="C34" s="110" t="s">
        <v>671</v>
      </c>
      <c r="D34" s="502">
        <v>27.94</v>
      </c>
      <c r="E34" s="502">
        <f t="shared" si="0"/>
        <v>0.1862896812682564</v>
      </c>
      <c r="F34" s="502">
        <f>D34+(References!$C$32*'DF Calculation'!$D$87*References!$D$74)</f>
        <v>28.126289681268258</v>
      </c>
      <c r="G34" s="502">
        <v>27.84</v>
      </c>
      <c r="H34" s="502">
        <f t="shared" si="1"/>
        <v>0.1862896812682564</v>
      </c>
      <c r="I34" s="502">
        <f>G34+(References!$C$32*'DF Calculation'!$D$87*References!$D$74)</f>
        <v>28.026289681268256</v>
      </c>
      <c r="J34" s="528" t="s">
        <v>669</v>
      </c>
    </row>
    <row r="35" spans="1:13">
      <c r="A35" s="152">
        <v>24.3</v>
      </c>
      <c r="B35" s="269"/>
      <c r="C35" s="110" t="s">
        <v>672</v>
      </c>
      <c r="D35" s="502">
        <v>14.83</v>
      </c>
      <c r="E35" s="502">
        <f t="shared" si="0"/>
        <v>0.1862896812682564</v>
      </c>
      <c r="F35" s="502">
        <f>D35+(References!$C$32*'DF Calculation'!$D$87*References!$D$74)</f>
        <v>15.016289681268256</v>
      </c>
      <c r="G35" s="502">
        <v>14.78</v>
      </c>
      <c r="H35" s="502">
        <f t="shared" si="1"/>
        <v>0.1862896812682564</v>
      </c>
      <c r="I35" s="502">
        <f>G35+(References!$C$32*'DF Calculation'!$D$87*References!$D$74)</f>
        <v>14.966289681268256</v>
      </c>
      <c r="J35" s="528" t="s">
        <v>669</v>
      </c>
      <c r="L35" s="361"/>
      <c r="M35" s="466"/>
    </row>
    <row r="36" spans="1:13">
      <c r="A36" s="152">
        <v>24.3</v>
      </c>
      <c r="B36" s="269"/>
      <c r="C36" s="110" t="s">
        <v>606</v>
      </c>
      <c r="D36" s="502">
        <v>19.809999999999999</v>
      </c>
      <c r="E36" s="502">
        <f t="shared" si="0"/>
        <v>0.1862896812682564</v>
      </c>
      <c r="F36" s="502">
        <f>D36+(References!$C$32*'DF Calculation'!$D$87*References!$D$74)</f>
        <v>19.996289681268255</v>
      </c>
      <c r="G36" s="502">
        <v>19.739999999999998</v>
      </c>
      <c r="H36" s="502">
        <f t="shared" si="1"/>
        <v>0.1862896812682564</v>
      </c>
      <c r="I36" s="502">
        <f>G36+(References!$C$32*'DF Calculation'!$D$87*References!$D$74)</f>
        <v>19.926289681268255</v>
      </c>
      <c r="J36" s="528" t="s">
        <v>669</v>
      </c>
      <c r="L36" s="361"/>
    </row>
    <row r="37" spans="1:13">
      <c r="A37" s="152">
        <v>24.3</v>
      </c>
      <c r="B37" s="269"/>
      <c r="C37" s="110" t="s">
        <v>687</v>
      </c>
      <c r="D37" s="502">
        <v>34.78</v>
      </c>
      <c r="E37" s="502">
        <f t="shared" si="0"/>
        <v>0.1862896812682564</v>
      </c>
      <c r="F37" s="502">
        <f>D37+(References!$C$32*'DF Calculation'!$D$87*References!$D$74)</f>
        <v>34.966289681268258</v>
      </c>
      <c r="G37" s="502">
        <v>34.65</v>
      </c>
      <c r="H37" s="502">
        <f t="shared" si="1"/>
        <v>0.1862896812682564</v>
      </c>
      <c r="I37" s="502">
        <f>G37+(References!$C$32*'DF Calculation'!$D$87*References!$D$74)</f>
        <v>34.836289681268255</v>
      </c>
      <c r="J37" s="528" t="s">
        <v>669</v>
      </c>
      <c r="L37" s="361"/>
    </row>
    <row r="38" spans="1:13">
      <c r="A38" s="152">
        <v>24.3</v>
      </c>
      <c r="B38" s="269"/>
      <c r="C38" s="110" t="s">
        <v>673</v>
      </c>
      <c r="D38" s="502">
        <v>38.28</v>
      </c>
      <c r="E38" s="502">
        <f t="shared" si="0"/>
        <v>0.26612811609751219</v>
      </c>
      <c r="F38" s="502">
        <f>D38+(References!$C$33*'DF Calculation'!$D$87*References!$D$74)</f>
        <v>38.546128116097513</v>
      </c>
      <c r="G38" s="502">
        <v>38.14</v>
      </c>
      <c r="H38" s="502">
        <f t="shared" si="1"/>
        <v>0.26612811609751219</v>
      </c>
      <c r="I38" s="502">
        <f>G38+(References!$C$33*'DF Calculation'!$D$87*References!$D$74)</f>
        <v>38.406128116097513</v>
      </c>
      <c r="J38" s="528" t="s">
        <v>669</v>
      </c>
    </row>
    <row r="39" spans="1:13">
      <c r="A39" s="152">
        <v>24.3</v>
      </c>
      <c r="B39" s="269"/>
      <c r="C39" s="110" t="s">
        <v>674</v>
      </c>
      <c r="D39" s="502">
        <v>20.39</v>
      </c>
      <c r="E39" s="502">
        <f t="shared" si="0"/>
        <v>0.26612811609750864</v>
      </c>
      <c r="F39" s="502">
        <f>D39+(References!$C$33*'DF Calculation'!$D$87*References!$D$74)</f>
        <v>20.656128116097509</v>
      </c>
      <c r="G39" s="502">
        <v>20.309999999999999</v>
      </c>
      <c r="H39" s="502">
        <f t="shared" si="1"/>
        <v>0.26612811609750864</v>
      </c>
      <c r="I39" s="502">
        <f>G39+(References!$C$33*'DF Calculation'!$D$87*References!$D$74)</f>
        <v>20.576128116097507</v>
      </c>
      <c r="J39" s="528" t="s">
        <v>669</v>
      </c>
    </row>
    <row r="40" spans="1:13">
      <c r="A40" s="152">
        <v>24.3</v>
      </c>
      <c r="B40" s="269"/>
      <c r="C40" s="110" t="s">
        <v>607</v>
      </c>
      <c r="D40" s="502">
        <v>25.36</v>
      </c>
      <c r="E40" s="502">
        <f t="shared" si="0"/>
        <v>0.26612811609750864</v>
      </c>
      <c r="F40" s="502">
        <f>D40+(References!$C$33*'DF Calculation'!$D$87*References!$D$74)</f>
        <v>25.626128116097508</v>
      </c>
      <c r="G40" s="502">
        <v>25.27</v>
      </c>
      <c r="H40" s="502">
        <f t="shared" si="1"/>
        <v>0.26612811609750864</v>
      </c>
      <c r="I40" s="502">
        <f>G40+(References!$C$33*'DF Calculation'!$D$87*References!$D$74)</f>
        <v>25.536128116097508</v>
      </c>
      <c r="J40" s="528" t="s">
        <v>669</v>
      </c>
    </row>
    <row r="41" spans="1:13">
      <c r="A41" s="152">
        <v>24.3</v>
      </c>
      <c r="B41" s="269"/>
      <c r="C41" s="110" t="s">
        <v>688</v>
      </c>
      <c r="D41" s="502">
        <v>40.32</v>
      </c>
      <c r="E41" s="502">
        <f t="shared" si="0"/>
        <v>0.26612811609751219</v>
      </c>
      <c r="F41" s="502">
        <f>D41+(References!$C$33*'DF Calculation'!$D$87*References!$D$74)</f>
        <v>40.586128116097512</v>
      </c>
      <c r="G41" s="502">
        <v>40.17</v>
      </c>
      <c r="H41" s="502">
        <f t="shared" si="1"/>
        <v>0.26612811609751219</v>
      </c>
      <c r="I41" s="502">
        <f>G41+(References!$C$33*'DF Calculation'!$D$87*References!$D$74)</f>
        <v>40.436128116097514</v>
      </c>
      <c r="J41" s="528" t="s">
        <v>669</v>
      </c>
    </row>
    <row r="42" spans="1:13">
      <c r="A42" s="152">
        <v>24.3</v>
      </c>
      <c r="B42" s="269"/>
      <c r="C42" s="110" t="s">
        <v>675</v>
      </c>
      <c r="D42" s="502">
        <v>45.87</v>
      </c>
      <c r="E42" s="502">
        <f t="shared" si="0"/>
        <v>0.34490203846237222</v>
      </c>
      <c r="F42" s="502">
        <f>D42+(References!$C$34*'DF Calculation'!$D$87*References!$D$74)</f>
        <v>46.21490203846237</v>
      </c>
      <c r="G42" s="502">
        <v>45.7</v>
      </c>
      <c r="H42" s="502">
        <f t="shared" si="1"/>
        <v>0.34490203846237222</v>
      </c>
      <c r="I42" s="502">
        <f>G42+(References!$C$34*'DF Calculation'!$D$87*References!$D$74)</f>
        <v>46.044902038462375</v>
      </c>
      <c r="J42" s="528" t="s">
        <v>669</v>
      </c>
    </row>
    <row r="43" spans="1:13">
      <c r="A43" s="152">
        <v>24.3</v>
      </c>
      <c r="B43" s="269"/>
      <c r="C43" s="110" t="s">
        <v>676</v>
      </c>
      <c r="D43" s="502">
        <v>26.92</v>
      </c>
      <c r="E43" s="502">
        <f t="shared" si="0"/>
        <v>0.34490203846237222</v>
      </c>
      <c r="F43" s="502">
        <f>D43+(References!$C$34*'DF Calculation'!$D$87*References!$D$74)</f>
        <v>27.264902038462374</v>
      </c>
      <c r="G43" s="502">
        <v>26.82</v>
      </c>
      <c r="H43" s="502">
        <f t="shared" si="1"/>
        <v>0.34490203846237222</v>
      </c>
      <c r="I43" s="502">
        <f>G43+(References!$C$34*'DF Calculation'!$D$87*References!$D$74)</f>
        <v>27.164902038462373</v>
      </c>
      <c r="J43" s="528" t="s">
        <v>669</v>
      </c>
    </row>
    <row r="44" spans="1:13">
      <c r="A44" s="152">
        <v>24.3</v>
      </c>
      <c r="B44" s="269"/>
      <c r="C44" s="110" t="s">
        <v>608</v>
      </c>
      <c r="D44" s="502">
        <v>31.9</v>
      </c>
      <c r="E44" s="502">
        <f t="shared" si="0"/>
        <v>0.34490203846237222</v>
      </c>
      <c r="F44" s="502">
        <f>D44+(References!$C$34*'DF Calculation'!$D$87*References!$D$74)</f>
        <v>32.244902038462371</v>
      </c>
      <c r="G44" s="502">
        <v>31.78</v>
      </c>
      <c r="H44" s="502">
        <f t="shared" si="1"/>
        <v>0.34490203846237222</v>
      </c>
      <c r="I44" s="502">
        <f>G44+(References!$C$34*'DF Calculation'!$D$87*References!$D$74)</f>
        <v>32.124902038462373</v>
      </c>
      <c r="J44" s="528" t="s">
        <v>669</v>
      </c>
    </row>
    <row r="45" spans="1:13">
      <c r="A45" s="152">
        <v>24.3</v>
      </c>
      <c r="B45" s="269"/>
      <c r="C45" s="110" t="s">
        <v>689</v>
      </c>
      <c r="D45" s="502">
        <v>46.85</v>
      </c>
      <c r="E45" s="502">
        <f t="shared" si="0"/>
        <v>0.34490203846237222</v>
      </c>
      <c r="F45" s="502">
        <f>D45+(References!$C$34*'DF Calculation'!$D$87*References!$D$74)</f>
        <v>47.194902038462374</v>
      </c>
      <c r="G45" s="502">
        <v>46.68</v>
      </c>
      <c r="H45" s="502">
        <f t="shared" si="1"/>
        <v>0.34490203846237222</v>
      </c>
      <c r="I45" s="502">
        <f>G45+(References!$C$34*'DF Calculation'!$D$87*References!$D$74)</f>
        <v>47.024902038462372</v>
      </c>
      <c r="J45" s="528" t="s">
        <v>669</v>
      </c>
    </row>
    <row r="46" spans="1:13">
      <c r="A46" s="152">
        <v>24.3</v>
      </c>
      <c r="B46" s="269"/>
      <c r="C46" s="110" t="s">
        <v>677</v>
      </c>
      <c r="D46" s="502">
        <v>61.17</v>
      </c>
      <c r="E46" s="502">
        <f t="shared" si="0"/>
        <v>0.50351439565648803</v>
      </c>
      <c r="F46" s="502">
        <f>D46+(References!$C$35*'DF Calculation'!$D$87*References!$D$74)</f>
        <v>61.67351439565649</v>
      </c>
      <c r="G46" s="502">
        <v>60.94</v>
      </c>
      <c r="H46" s="502">
        <f t="shared" si="1"/>
        <v>0.50351439565648803</v>
      </c>
      <c r="I46" s="502">
        <f>G46+(References!$C$35*'DF Calculation'!$D$87*References!$D$74)</f>
        <v>61.443514395656486</v>
      </c>
      <c r="J46" s="528" t="s">
        <v>669</v>
      </c>
    </row>
    <row r="47" spans="1:13">
      <c r="A47" s="152">
        <v>24.3</v>
      </c>
      <c r="B47" s="269"/>
      <c r="C47" s="110" t="s">
        <v>678</v>
      </c>
      <c r="D47" s="502">
        <v>37.479999999999997</v>
      </c>
      <c r="E47" s="502">
        <f t="shared" si="0"/>
        <v>0.50351439565648803</v>
      </c>
      <c r="F47" s="502">
        <f>D47+(References!$C$35*'DF Calculation'!$D$87*References!$D$74)</f>
        <v>37.983514395656485</v>
      </c>
      <c r="G47" s="502">
        <v>37.340000000000003</v>
      </c>
      <c r="H47" s="502">
        <f t="shared" si="1"/>
        <v>0.50351439565648803</v>
      </c>
      <c r="I47" s="502">
        <f>G47+(References!$C$35*'DF Calculation'!$D$87*References!$D$74)</f>
        <v>37.843514395656491</v>
      </c>
      <c r="J47" s="528" t="s">
        <v>669</v>
      </c>
    </row>
    <row r="48" spans="1:13">
      <c r="A48" s="152">
        <v>24.3</v>
      </c>
      <c r="B48" s="269"/>
      <c r="C48" s="110" t="s">
        <v>609</v>
      </c>
      <c r="D48" s="502">
        <v>42.46</v>
      </c>
      <c r="E48" s="502">
        <f t="shared" si="0"/>
        <v>0.50351439565648803</v>
      </c>
      <c r="F48" s="502">
        <f>D48+(References!$C$35*'DF Calculation'!$D$87*References!$D$74)</f>
        <v>42.963514395656489</v>
      </c>
      <c r="G48" s="502">
        <v>42.3</v>
      </c>
      <c r="H48" s="502">
        <f t="shared" si="1"/>
        <v>0.50351439565648803</v>
      </c>
      <c r="I48" s="502">
        <f>G48+(References!$C$35*'DF Calculation'!$D$87*References!$D$74)</f>
        <v>42.803514395656485</v>
      </c>
      <c r="J48" s="528" t="s">
        <v>669</v>
      </c>
    </row>
    <row r="49" spans="1:10">
      <c r="A49" s="152">
        <v>24.3</v>
      </c>
      <c r="B49" s="269"/>
      <c r="C49" s="110" t="s">
        <v>690</v>
      </c>
      <c r="D49" s="502">
        <v>57.42</v>
      </c>
      <c r="E49" s="502">
        <f t="shared" si="0"/>
        <v>0.50351439565648803</v>
      </c>
      <c r="F49" s="502">
        <f>D49+(References!$C$35*'DF Calculation'!$D$87*References!$D$74)</f>
        <v>57.92351439565649</v>
      </c>
      <c r="G49" s="502">
        <v>57.21</v>
      </c>
      <c r="H49" s="502">
        <f t="shared" si="1"/>
        <v>0.50351439565648803</v>
      </c>
      <c r="I49" s="502">
        <f>G49+(References!$C$35*'DF Calculation'!$D$87*References!$D$74)</f>
        <v>57.713514395656489</v>
      </c>
      <c r="J49" s="528" t="s">
        <v>669</v>
      </c>
    </row>
    <row r="50" spans="1:10">
      <c r="A50" s="152">
        <v>24.3</v>
      </c>
      <c r="B50" s="267" t="s">
        <v>802</v>
      </c>
      <c r="C50" s="110" t="s">
        <v>679</v>
      </c>
      <c r="D50" s="502">
        <f>+'DF Calculation'!K34</f>
        <v>76.48</v>
      </c>
      <c r="E50" s="502">
        <f t="shared" si="0"/>
        <v>0.65254614067109173</v>
      </c>
      <c r="F50" s="502">
        <f>+'DF Calculation'!N34</f>
        <v>77.132546140671096</v>
      </c>
      <c r="G50" s="503">
        <f>+'DF Calculation'!L34</f>
        <v>76.2</v>
      </c>
      <c r="H50" s="502">
        <f t="shared" si="1"/>
        <v>0.65254614067109173</v>
      </c>
      <c r="I50" s="503">
        <f>+'DF Calculation'!O34</f>
        <v>76.852546140671095</v>
      </c>
      <c r="J50" s="528" t="s">
        <v>669</v>
      </c>
    </row>
    <row r="51" spans="1:10">
      <c r="A51" s="152">
        <v>24.3</v>
      </c>
      <c r="B51" s="267" t="s">
        <v>802</v>
      </c>
      <c r="C51" s="110" t="s">
        <v>680</v>
      </c>
      <c r="D51" s="502">
        <f>+'DF Calculation'!K35</f>
        <v>51.22</v>
      </c>
      <c r="E51" s="502">
        <f t="shared" si="0"/>
        <v>0.65254614067109173</v>
      </c>
      <c r="F51" s="502">
        <f>+'DF Calculation'!N35</f>
        <v>51.872546140671091</v>
      </c>
      <c r="G51" s="503">
        <f>+'DF Calculation'!L35</f>
        <v>51.03</v>
      </c>
      <c r="H51" s="502">
        <f t="shared" si="1"/>
        <v>0.65254614067109173</v>
      </c>
      <c r="I51" s="503">
        <f>+'DF Calculation'!O35</f>
        <v>51.682546140671093</v>
      </c>
      <c r="J51" s="528" t="s">
        <v>669</v>
      </c>
    </row>
    <row r="52" spans="1:10">
      <c r="A52" s="152">
        <v>24.3</v>
      </c>
      <c r="B52" s="269"/>
      <c r="C52" s="110" t="s">
        <v>610</v>
      </c>
      <c r="D52" s="502">
        <v>56.86</v>
      </c>
      <c r="E52" s="502">
        <f t="shared" si="0"/>
        <v>0.65254614067109173</v>
      </c>
      <c r="F52" s="502">
        <f>D52+(References!$C$36*'DF Calculation'!$D$87*References!$D$74)</f>
        <v>57.512546140671091</v>
      </c>
      <c r="G52" s="502">
        <v>56.65</v>
      </c>
      <c r="H52" s="502">
        <f t="shared" si="1"/>
        <v>0.65254614067109173</v>
      </c>
      <c r="I52" s="502">
        <f>G52+(References!$C$36*'DF Calculation'!$D$87*References!$D$74)</f>
        <v>57.30254614067109</v>
      </c>
      <c r="J52" s="528" t="s">
        <v>669</v>
      </c>
    </row>
    <row r="53" spans="1:10">
      <c r="A53" s="152">
        <v>24.3</v>
      </c>
      <c r="B53" s="269"/>
      <c r="C53" s="110" t="s">
        <v>691</v>
      </c>
      <c r="D53" s="502">
        <v>71.16</v>
      </c>
      <c r="E53" s="502">
        <f t="shared" si="0"/>
        <v>0.65254614067109173</v>
      </c>
      <c r="F53" s="502">
        <f>D53+(References!$C$36*'DF Calculation'!$D$87*References!$D$74)</f>
        <v>71.812546140671088</v>
      </c>
      <c r="G53" s="502">
        <v>70.900000000000006</v>
      </c>
      <c r="H53" s="502">
        <f t="shared" si="1"/>
        <v>0.65254614067109173</v>
      </c>
      <c r="I53" s="502">
        <f>G53+(References!$C$36*'DF Calculation'!$D$87*References!$D$74)</f>
        <v>71.552546140671097</v>
      </c>
      <c r="J53" s="528" t="s">
        <v>669</v>
      </c>
    </row>
    <row r="54" spans="1:10">
      <c r="A54" s="152">
        <v>24.3</v>
      </c>
      <c r="B54" s="267" t="s">
        <v>315</v>
      </c>
      <c r="C54" s="110" t="s">
        <v>681</v>
      </c>
      <c r="D54" s="502">
        <f>+'DF Calculation'!K32</f>
        <v>100.97</v>
      </c>
      <c r="E54" s="502">
        <f t="shared" si="0"/>
        <v>0.89419047008763641</v>
      </c>
      <c r="F54" s="502">
        <f>+'DF Calculation'!N32</f>
        <v>101.86419047008764</v>
      </c>
      <c r="G54" s="503">
        <f>+'DF Calculation'!L32</f>
        <v>100.6</v>
      </c>
      <c r="H54" s="502">
        <f t="shared" si="1"/>
        <v>0.89419047008763641</v>
      </c>
      <c r="I54" s="503">
        <f>+'DF Calculation'!O32</f>
        <v>101.49419047008763</v>
      </c>
      <c r="J54" s="528" t="s">
        <v>669</v>
      </c>
    </row>
    <row r="55" spans="1:10">
      <c r="A55" s="152">
        <v>24.3</v>
      </c>
      <c r="B55" s="267" t="s">
        <v>315</v>
      </c>
      <c r="C55" s="110" t="s">
        <v>682</v>
      </c>
      <c r="D55" s="502">
        <f>+'DF Calculation'!K33</f>
        <v>69.400000000000006</v>
      </c>
      <c r="E55" s="502">
        <f t="shared" si="0"/>
        <v>0.89419047008763641</v>
      </c>
      <c r="F55" s="502">
        <f>+'DF Calculation'!N33</f>
        <v>70.294190470087642</v>
      </c>
      <c r="G55" s="503">
        <f>+'DF Calculation'!L33</f>
        <v>69.14</v>
      </c>
      <c r="H55" s="502">
        <f t="shared" si="1"/>
        <v>0.89419047008763641</v>
      </c>
      <c r="I55" s="503">
        <f>+'DF Calculation'!O33</f>
        <v>70.034190470087637</v>
      </c>
      <c r="J55" s="528" t="s">
        <v>669</v>
      </c>
    </row>
    <row r="56" spans="1:10">
      <c r="A56" s="152">
        <v>24.3</v>
      </c>
      <c r="B56" s="269"/>
      <c r="C56" s="110" t="s">
        <v>685</v>
      </c>
      <c r="D56" s="502">
        <v>74.38</v>
      </c>
      <c r="E56" s="502">
        <f t="shared" si="0"/>
        <v>0.89419047008763641</v>
      </c>
      <c r="F56" s="502">
        <f>D56+(References!$C$37*'DF Calculation'!$D$87*References!$D$74)</f>
        <v>75.274190470087632</v>
      </c>
      <c r="G56" s="502">
        <v>74.099999999999994</v>
      </c>
      <c r="H56" s="502">
        <f t="shared" si="1"/>
        <v>0.89419047008763641</v>
      </c>
      <c r="I56" s="502">
        <f>G56+(References!$C$37*'DF Calculation'!$D$87*References!$D$74)</f>
        <v>74.994190470087631</v>
      </c>
      <c r="J56" s="528" t="s">
        <v>669</v>
      </c>
    </row>
    <row r="57" spans="1:10">
      <c r="A57" s="152">
        <v>24.3</v>
      </c>
      <c r="B57" s="269"/>
      <c r="C57" s="110" t="s">
        <v>692</v>
      </c>
      <c r="D57" s="502">
        <v>89.33</v>
      </c>
      <c r="E57" s="502">
        <f t="shared" si="0"/>
        <v>0.89419047008763641</v>
      </c>
      <c r="F57" s="502">
        <f>D57+(References!$C$37*'DF Calculation'!$D$87*References!$D$74)</f>
        <v>90.224190470087635</v>
      </c>
      <c r="G57" s="502">
        <v>89</v>
      </c>
      <c r="H57" s="502">
        <f t="shared" si="1"/>
        <v>0.89419047008763641</v>
      </c>
      <c r="I57" s="502">
        <f>G57+(References!$C$37*'DF Calculation'!$D$87*References!$D$74)</f>
        <v>89.894190470087636</v>
      </c>
      <c r="J57" s="528" t="s">
        <v>669</v>
      </c>
    </row>
    <row r="58" spans="1:10">
      <c r="A58" s="152">
        <v>24.3</v>
      </c>
      <c r="B58" s="269"/>
      <c r="C58" s="110" t="s">
        <v>683</v>
      </c>
      <c r="D58" s="502">
        <v>130.93</v>
      </c>
      <c r="E58" s="502">
        <f t="shared" si="0"/>
        <v>1.0432222151022472</v>
      </c>
      <c r="F58" s="502">
        <f>D58+(References!$C$38*'DF Calculation'!$D$87*References!$D$74)</f>
        <v>131.97322221510225</v>
      </c>
      <c r="G58" s="502">
        <v>130.44999999999999</v>
      </c>
      <c r="H58" s="502">
        <f t="shared" si="1"/>
        <v>1.0432222151022472</v>
      </c>
      <c r="I58" s="502">
        <f>G58+(References!$C$38*'DF Calculation'!$D$87*References!$D$74)</f>
        <v>131.49322221510224</v>
      </c>
      <c r="J58" s="528" t="s">
        <v>669</v>
      </c>
    </row>
    <row r="59" spans="1:10">
      <c r="A59" s="152">
        <v>24.3</v>
      </c>
      <c r="B59" s="269"/>
      <c r="C59" s="110" t="s">
        <v>684</v>
      </c>
      <c r="D59" s="502">
        <v>93.03</v>
      </c>
      <c r="E59" s="502">
        <f t="shared" si="0"/>
        <v>1.043222215102233</v>
      </c>
      <c r="F59" s="502">
        <f>D59+(References!$C$38*'DF Calculation'!$D$87*References!$D$74)</f>
        <v>94.073222215102234</v>
      </c>
      <c r="G59" s="502">
        <v>92.69</v>
      </c>
      <c r="H59" s="502">
        <f t="shared" si="1"/>
        <v>1.043222215102233</v>
      </c>
      <c r="I59" s="502">
        <f>G59+(References!$C$38*'DF Calculation'!$D$87*References!$D$74)</f>
        <v>93.733222215102231</v>
      </c>
      <c r="J59" s="528" t="s">
        <v>669</v>
      </c>
    </row>
    <row r="60" spans="1:10">
      <c r="A60" s="152">
        <v>24.3</v>
      </c>
      <c r="B60" s="269"/>
      <c r="C60" s="110" t="s">
        <v>686</v>
      </c>
      <c r="D60" s="502">
        <v>98.01</v>
      </c>
      <c r="E60" s="502">
        <f t="shared" si="0"/>
        <v>1.043222215102233</v>
      </c>
      <c r="F60" s="502">
        <f>D60+(References!$C$38*'DF Calculation'!$D$87*References!$D$74)</f>
        <v>99.053222215102238</v>
      </c>
      <c r="G60" s="502">
        <v>97.65</v>
      </c>
      <c r="H60" s="502">
        <f t="shared" si="1"/>
        <v>1.043222215102233</v>
      </c>
      <c r="I60" s="502">
        <f>G60+(References!$C$38*'DF Calculation'!$D$87*References!$D$74)</f>
        <v>98.693222215102239</v>
      </c>
      <c r="J60" s="528" t="s">
        <v>669</v>
      </c>
    </row>
    <row r="61" spans="1:10">
      <c r="A61" s="152">
        <v>24.3</v>
      </c>
      <c r="B61" s="269"/>
      <c r="C61" s="110" t="s">
        <v>693</v>
      </c>
      <c r="D61" s="502">
        <v>112.97</v>
      </c>
      <c r="E61" s="502">
        <f t="shared" si="0"/>
        <v>1.043222215102233</v>
      </c>
      <c r="F61" s="502">
        <f>D61+(References!$C$38*'DF Calculation'!$D$87*References!$D$74)</f>
        <v>114.01322221510223</v>
      </c>
      <c r="G61" s="502">
        <v>112.55</v>
      </c>
      <c r="H61" s="502">
        <f t="shared" si="1"/>
        <v>1.043222215102233</v>
      </c>
      <c r="I61" s="502">
        <f>G61+(References!$C$38*'DF Calculation'!$D$87*References!$D$74)</f>
        <v>113.59322221510223</v>
      </c>
      <c r="J61" s="528" t="s">
        <v>669</v>
      </c>
    </row>
    <row r="62" spans="1:10">
      <c r="A62" s="152">
        <v>26</v>
      </c>
      <c r="B62" s="122" t="s">
        <v>207</v>
      </c>
      <c r="C62" s="110" t="str">
        <f>VLOOKUP(B62,Mapping!$E$2:$I$80,5,FALSE)</f>
        <v>Bulky Extra</v>
      </c>
      <c r="D62" s="276">
        <f>SUMIFS('DF Calculation'!K:K,'DF Calculation'!B:B,'To Populate Tariff'!A62,'DF Calculation'!C:C,B62)</f>
        <v>32.159999999999997</v>
      </c>
      <c r="E62" s="276">
        <f t="shared" si="0"/>
        <v>-0.11235900215422134</v>
      </c>
      <c r="F62" s="276">
        <f>SUMIFS('DF Calculation'!N:N,'DF Calculation'!B:B,'To Populate Tariff'!A62,'DF Calculation'!C:C,B62)</f>
        <v>32.047640997845775</v>
      </c>
      <c r="G62" s="276">
        <f>SUMIFS('DF Calculation'!$L:$L,'DF Calculation'!$B:$B,'To Populate Tariff'!$A62,'DF Calculation'!$C:$C,$B62)</f>
        <v>32.04</v>
      </c>
      <c r="H62" s="276">
        <f t="shared" si="1"/>
        <v>-0.1123590021542249</v>
      </c>
      <c r="I62" s="276">
        <f>SUMIFS('DF Calculation'!$O:$O,'DF Calculation'!$B:$B,'To Populate Tariff'!$A62,'DF Calculation'!$C:$C,$B62)</f>
        <v>31.927640997845774</v>
      </c>
      <c r="J62" s="528"/>
    </row>
    <row r="63" spans="1:10">
      <c r="A63" s="270">
        <v>26</v>
      </c>
      <c r="B63" s="122" t="s">
        <v>312</v>
      </c>
      <c r="C63" s="110" t="str">
        <f>VLOOKUP(B63,Mapping!$E$2:$I$80,5,FALSE)</f>
        <v>Extra Yardage Extra</v>
      </c>
      <c r="D63" s="276">
        <f>SUMIFS('DF Calculation'!K:K,'DF Calculation'!B:B,'To Populate Tariff'!A63,'DF Calculation'!C:C,B63)</f>
        <v>32.229999999999997</v>
      </c>
      <c r="E63" s="276">
        <f t="shared" si="0"/>
        <v>-0.10999999999999943</v>
      </c>
      <c r="F63" s="276">
        <f>SUMIFS('DF Calculation'!N:N,'DF Calculation'!B:B,'To Populate Tariff'!A63,'DF Calculation'!C:C,B63)</f>
        <v>32.119999999999997</v>
      </c>
      <c r="G63" s="276">
        <f>SUMIFS('DF Calculation'!$L:$L,'DF Calculation'!$B:$B,'To Populate Tariff'!$A63,'DF Calculation'!$C:$C,$B63)</f>
        <v>32.11</v>
      </c>
      <c r="H63" s="276">
        <f t="shared" si="1"/>
        <v>-0.1123590021542249</v>
      </c>
      <c r="I63" s="276">
        <f>SUMIFS('DF Calculation'!$O:$O,'DF Calculation'!$B:$B,'To Populate Tariff'!$A63,'DF Calculation'!$C:$C,$B63)</f>
        <v>31.997640997845775</v>
      </c>
      <c r="J63" s="528"/>
    </row>
    <row r="64" spans="1:10">
      <c r="A64" s="270">
        <v>33</v>
      </c>
      <c r="B64" s="122" t="s">
        <v>211</v>
      </c>
      <c r="C64" s="266" t="s">
        <v>605</v>
      </c>
      <c r="D64" s="276">
        <f>+'DF Calculation'!K40</f>
        <v>31.95</v>
      </c>
      <c r="E64" s="276">
        <f t="shared" si="0"/>
        <v>-0.16000000000000014</v>
      </c>
      <c r="F64" s="276">
        <f>+'DF Calculation'!N40</f>
        <v>31.79</v>
      </c>
      <c r="G64" s="502">
        <f>+'DF Calculation'!L40</f>
        <v>31.83</v>
      </c>
      <c r="H64" s="276">
        <f t="shared" si="1"/>
        <v>-0.15730260301591414</v>
      </c>
      <c r="I64" s="276">
        <f>+'DF Calculation'!O40</f>
        <v>31.672697396984084</v>
      </c>
      <c r="J64" s="528"/>
    </row>
    <row r="65" spans="1:10">
      <c r="A65" s="270">
        <v>33</v>
      </c>
      <c r="B65" s="122" t="s">
        <v>211</v>
      </c>
      <c r="C65" s="266" t="s">
        <v>604</v>
      </c>
      <c r="D65" s="276">
        <f>+'DF Calculation'!K41</f>
        <v>18.84</v>
      </c>
      <c r="E65" s="276">
        <f t="shared" si="0"/>
        <v>-0.16000000000000014</v>
      </c>
      <c r="F65" s="276">
        <f>+'DF Calculation'!N41</f>
        <v>18.68</v>
      </c>
      <c r="G65" s="502">
        <f>+'DF Calculation'!L41</f>
        <v>18.77</v>
      </c>
      <c r="H65" s="276">
        <f t="shared" si="1"/>
        <v>-0.15730260301591414</v>
      </c>
      <c r="I65" s="276">
        <f>+'DF Calculation'!O41</f>
        <v>18.612697396984085</v>
      </c>
      <c r="J65" s="528"/>
    </row>
    <row r="66" spans="1:10">
      <c r="A66" s="270">
        <v>33</v>
      </c>
      <c r="B66" s="122" t="s">
        <v>296</v>
      </c>
      <c r="C66" s="266" t="str">
        <f>VLOOKUP(B66,Mapping!$E$2:$I$80,5,FALSE)</f>
        <v>1 yard Temp</v>
      </c>
      <c r="D66" s="276">
        <f>+'DF Calculation'!K43</f>
        <v>23.62</v>
      </c>
      <c r="E66" s="276">
        <f t="shared" si="0"/>
        <v>-0.16000000000000014</v>
      </c>
      <c r="F66" s="276">
        <f>+'DF Calculation'!N43</f>
        <v>23.46</v>
      </c>
      <c r="G66" s="502">
        <f>+'DF Calculation'!L43</f>
        <v>23.53</v>
      </c>
      <c r="H66" s="276">
        <f t="shared" si="1"/>
        <v>-0.15730260301591414</v>
      </c>
      <c r="I66" s="276">
        <f>+'DF Calculation'!O43</f>
        <v>23.372697396984087</v>
      </c>
      <c r="J66" s="528"/>
    </row>
    <row r="67" spans="1:10">
      <c r="A67" s="270">
        <v>33</v>
      </c>
      <c r="B67" s="492" t="s">
        <v>468</v>
      </c>
      <c r="C67" s="266" t="str">
        <f>VLOOKUP(B67,Mapping!$E$2:$I$80,5,FALSE)</f>
        <v>1 yard Special</v>
      </c>
      <c r="D67" s="276">
        <f>+'DF Calculation'!K42</f>
        <v>63.96</v>
      </c>
      <c r="E67" s="276">
        <f t="shared" ref="E67:E102" si="2">F67-D67</f>
        <v>-0.16000000000000369</v>
      </c>
      <c r="F67" s="276">
        <f>+'DF Calculation'!N42</f>
        <v>63.8</v>
      </c>
      <c r="G67" s="502">
        <f>+'DF Calculation'!L42</f>
        <v>63.72</v>
      </c>
      <c r="H67" s="276">
        <f t="shared" ref="H67:H102" si="3">I67-G67</f>
        <v>-0.15730260301591414</v>
      </c>
      <c r="I67" s="276">
        <f>+'DF Calculation'!O42</f>
        <v>63.562697396984085</v>
      </c>
      <c r="J67" s="528"/>
    </row>
    <row r="68" spans="1:10">
      <c r="A68" s="270">
        <v>33</v>
      </c>
      <c r="B68" s="122" t="s">
        <v>217</v>
      </c>
      <c r="C68" s="266" t="s">
        <v>605</v>
      </c>
      <c r="D68" s="276">
        <f>+'DF Calculation'!K44</f>
        <v>43.72</v>
      </c>
      <c r="E68" s="276">
        <f t="shared" si="2"/>
        <v>-0.21999999999999886</v>
      </c>
      <c r="F68" s="276">
        <f>+'DF Calculation'!N44</f>
        <v>43.5</v>
      </c>
      <c r="G68" s="502">
        <f>+'DF Calculation'!L44</f>
        <v>43.56</v>
      </c>
      <c r="H68" s="276">
        <f t="shared" si="3"/>
        <v>-0.22471800430844979</v>
      </c>
      <c r="I68" s="276">
        <f>+'DF Calculation'!O44</f>
        <v>43.335281995691552</v>
      </c>
      <c r="J68" s="528"/>
    </row>
    <row r="69" spans="1:10">
      <c r="A69" s="270">
        <v>33</v>
      </c>
      <c r="B69" s="122" t="s">
        <v>217</v>
      </c>
      <c r="C69" s="266" t="s">
        <v>604</v>
      </c>
      <c r="D69" s="276">
        <f>+'DF Calculation'!K45</f>
        <v>25.83</v>
      </c>
      <c r="E69" s="276">
        <f t="shared" si="2"/>
        <v>-0.21999999999999886</v>
      </c>
      <c r="F69" s="276">
        <f>+'DF Calculation'!N45</f>
        <v>25.61</v>
      </c>
      <c r="G69" s="502">
        <f>+'DF Calculation'!L45</f>
        <v>25.73</v>
      </c>
      <c r="H69" s="276">
        <f t="shared" si="3"/>
        <v>-0.22471800430844979</v>
      </c>
      <c r="I69" s="276">
        <f>+'DF Calculation'!O45</f>
        <v>25.505281995691551</v>
      </c>
      <c r="J69" s="528"/>
    </row>
    <row r="70" spans="1:10">
      <c r="A70" s="270">
        <v>33</v>
      </c>
      <c r="B70" s="122" t="s">
        <v>298</v>
      </c>
      <c r="C70" s="266" t="str">
        <f>VLOOKUP(B70,Mapping!$E$2:$I$80,5,FALSE)</f>
        <v>1.5 yard Temp</v>
      </c>
      <c r="D70" s="276">
        <f>+'DF Calculation'!K47</f>
        <v>31.55</v>
      </c>
      <c r="E70" s="276">
        <f t="shared" si="2"/>
        <v>-0.22000000000000242</v>
      </c>
      <c r="F70" s="276">
        <f>+'DF Calculation'!N47</f>
        <v>31.33</v>
      </c>
      <c r="G70" s="502">
        <f>+'DF Calculation'!L47</f>
        <v>31.43</v>
      </c>
      <c r="H70" s="276">
        <f t="shared" si="3"/>
        <v>-0.22471800430844979</v>
      </c>
      <c r="I70" s="276">
        <f>+'DF Calculation'!O47</f>
        <v>31.20528199569155</v>
      </c>
      <c r="J70" s="528"/>
    </row>
    <row r="71" spans="1:10">
      <c r="A71" s="270">
        <v>33</v>
      </c>
      <c r="B71" s="492" t="s">
        <v>466</v>
      </c>
      <c r="C71" s="266" t="str">
        <f>VLOOKUP(B71,Mapping!$E$2:$I$80,5,FALSE)</f>
        <v>1.5 yard Special</v>
      </c>
      <c r="D71" s="276">
        <f>+'DF Calculation'!K46</f>
        <v>71.31</v>
      </c>
      <c r="E71" s="276">
        <f t="shared" si="2"/>
        <v>-0.21999999999999886</v>
      </c>
      <c r="F71" s="276">
        <f>+'DF Calculation'!N46</f>
        <v>71.09</v>
      </c>
      <c r="G71" s="502">
        <f>+'DF Calculation'!L46</f>
        <v>71.05</v>
      </c>
      <c r="H71" s="276">
        <f t="shared" si="3"/>
        <v>-0.22471800430844269</v>
      </c>
      <c r="I71" s="276">
        <f>+'DF Calculation'!O46</f>
        <v>70.825281995691554</v>
      </c>
      <c r="J71" s="528"/>
    </row>
    <row r="72" spans="1:10">
      <c r="A72" s="270">
        <v>33</v>
      </c>
      <c r="B72" s="122" t="s">
        <v>223</v>
      </c>
      <c r="C72" s="266" t="s">
        <v>605</v>
      </c>
      <c r="D72" s="276">
        <f>+'DF Calculation'!K48</f>
        <v>52.96</v>
      </c>
      <c r="E72" s="276">
        <f t="shared" si="2"/>
        <v>-0.28999999999999915</v>
      </c>
      <c r="F72" s="276">
        <f>+'DF Calculation'!N48</f>
        <v>52.67</v>
      </c>
      <c r="G72" s="502">
        <f>+'DF Calculation'!L48</f>
        <v>52.76</v>
      </c>
      <c r="H72" s="276">
        <f t="shared" si="3"/>
        <v>-0.29123453358374718</v>
      </c>
      <c r="I72" s="276">
        <f>+'DF Calculation'!O48</f>
        <v>52.468765466416251</v>
      </c>
      <c r="J72" s="528"/>
    </row>
    <row r="73" spans="1:10">
      <c r="A73" s="270">
        <v>33</v>
      </c>
      <c r="B73" s="122" t="s">
        <v>223</v>
      </c>
      <c r="C73" s="266" t="s">
        <v>604</v>
      </c>
      <c r="D73" s="276">
        <f>+'DF Calculation'!K49</f>
        <v>34</v>
      </c>
      <c r="E73" s="276">
        <f t="shared" si="2"/>
        <v>-0.28999999999999915</v>
      </c>
      <c r="F73" s="276">
        <f>+'DF Calculation'!N49</f>
        <v>33.71</v>
      </c>
      <c r="G73" s="502">
        <f>+'DF Calculation'!L49</f>
        <v>33.869999999999997</v>
      </c>
      <c r="H73" s="276">
        <f t="shared" si="3"/>
        <v>-0.29123453358374718</v>
      </c>
      <c r="I73" s="276">
        <f>+'DF Calculation'!O49</f>
        <v>33.57876546641625</v>
      </c>
      <c r="J73" s="528"/>
    </row>
    <row r="74" spans="1:10">
      <c r="A74" s="270">
        <v>33</v>
      </c>
      <c r="B74" s="122" t="s">
        <v>300</v>
      </c>
      <c r="C74" s="266" t="str">
        <f>VLOOKUP(B74,Mapping!$E$2:$I$80,5,FALSE)</f>
        <v>2 yard Temp</v>
      </c>
      <c r="D74" s="276">
        <f>+'DF Calculation'!K51</f>
        <v>38.5</v>
      </c>
      <c r="E74" s="276">
        <f t="shared" si="2"/>
        <v>-0.28999999999999915</v>
      </c>
      <c r="F74" s="276">
        <f>+'DF Calculation'!N51</f>
        <v>38.21</v>
      </c>
      <c r="G74" s="502">
        <f>+'DF Calculation'!L51</f>
        <v>38.36</v>
      </c>
      <c r="H74" s="276">
        <f t="shared" si="3"/>
        <v>-0.29123453358374718</v>
      </c>
      <c r="I74" s="276">
        <f>+'DF Calculation'!O51</f>
        <v>38.068765466416252</v>
      </c>
      <c r="J74" s="528"/>
    </row>
    <row r="75" spans="1:10">
      <c r="A75" s="270">
        <v>33</v>
      </c>
      <c r="B75" s="492" t="s">
        <v>470</v>
      </c>
      <c r="C75" s="266" t="str">
        <f>VLOOKUP(B75,Mapping!$E$2:$I$80,5,FALSE)</f>
        <v>2 yard Special</v>
      </c>
      <c r="D75" s="276">
        <f>+'DF Calculation'!K50</f>
        <v>79.73</v>
      </c>
      <c r="E75" s="276">
        <f t="shared" si="2"/>
        <v>-0.29000000000000625</v>
      </c>
      <c r="F75" s="276">
        <f>+'DF Calculation'!N50</f>
        <v>79.44</v>
      </c>
      <c r="G75" s="502">
        <f>+'DF Calculation'!L50</f>
        <v>79.44</v>
      </c>
      <c r="H75" s="276">
        <f t="shared" si="3"/>
        <v>-0.29123453358374718</v>
      </c>
      <c r="I75" s="276">
        <f>+'DF Calculation'!O50</f>
        <v>79.148765466416251</v>
      </c>
      <c r="J75" s="528"/>
    </row>
    <row r="76" spans="1:10">
      <c r="A76" s="270">
        <v>33</v>
      </c>
      <c r="B76" s="122" t="s">
        <v>229</v>
      </c>
      <c r="C76" s="266" t="s">
        <v>605</v>
      </c>
      <c r="D76" s="276">
        <f>+'DF Calculation'!K52</f>
        <v>71.900000000000006</v>
      </c>
      <c r="E76" s="276">
        <f t="shared" si="2"/>
        <v>-0.43000000000000682</v>
      </c>
      <c r="F76" s="276">
        <f>+'DF Calculation'!N52</f>
        <v>71.47</v>
      </c>
      <c r="G76" s="502">
        <f>+'DF Calculation'!L52</f>
        <v>71.63</v>
      </c>
      <c r="H76" s="276">
        <f t="shared" si="3"/>
        <v>-0.42516646415158732</v>
      </c>
      <c r="I76" s="276">
        <f>+'DF Calculation'!O52</f>
        <v>71.204833535848408</v>
      </c>
      <c r="J76" s="528"/>
    </row>
    <row r="77" spans="1:10">
      <c r="A77" s="270">
        <v>33</v>
      </c>
      <c r="B77" s="122" t="s">
        <v>229</v>
      </c>
      <c r="C77" s="266" t="s">
        <v>604</v>
      </c>
      <c r="D77" s="276">
        <f>+'DF Calculation'!K53</f>
        <v>48.21</v>
      </c>
      <c r="E77" s="276">
        <f t="shared" si="2"/>
        <v>-0.42999999999999972</v>
      </c>
      <c r="F77" s="276">
        <f>+'DF Calculation'!N53</f>
        <v>47.78</v>
      </c>
      <c r="G77" s="502">
        <f>+'DF Calculation'!L53</f>
        <v>48.03</v>
      </c>
      <c r="H77" s="276">
        <f t="shared" si="3"/>
        <v>-0.42516646415158732</v>
      </c>
      <c r="I77" s="276">
        <f>+'DF Calculation'!O53</f>
        <v>47.604833535848414</v>
      </c>
      <c r="J77" s="528"/>
    </row>
    <row r="78" spans="1:10">
      <c r="A78" s="270">
        <v>33</v>
      </c>
      <c r="B78" s="122"/>
      <c r="C78" s="266" t="s">
        <v>609</v>
      </c>
      <c r="D78" s="502">
        <v>54.1</v>
      </c>
      <c r="E78" s="502">
        <f t="shared" si="2"/>
        <v>-0.42516646415158732</v>
      </c>
      <c r="F78" s="502">
        <f>D78+(References!$C$35*'DF Calculation'!$D$83*References!$D$62)</f>
        <v>53.674833535848414</v>
      </c>
      <c r="G78" s="502">
        <v>53.9</v>
      </c>
      <c r="H78" s="502">
        <f t="shared" si="3"/>
        <v>-0.42516646415158732</v>
      </c>
      <c r="I78" s="502">
        <f>G78+(References!$C$35*'DF Calculation'!$D$83*References!$D$62)</f>
        <v>53.474833535848411</v>
      </c>
      <c r="J78" s="528" t="s">
        <v>669</v>
      </c>
    </row>
    <row r="79" spans="1:10">
      <c r="A79" s="270">
        <v>33</v>
      </c>
      <c r="B79" s="492" t="s">
        <v>472</v>
      </c>
      <c r="C79" s="266" t="str">
        <f>VLOOKUP(B79,Mapping!$E$2:$I$80,5,FALSE)</f>
        <v>3 yard Special</v>
      </c>
      <c r="D79" s="276">
        <f>+'DF Calculation'!K54</f>
        <v>92.43</v>
      </c>
      <c r="E79" s="276">
        <f t="shared" si="2"/>
        <v>-0.43000000000000682</v>
      </c>
      <c r="F79" s="276">
        <f>+'DF Calculation'!N54</f>
        <v>92</v>
      </c>
      <c r="G79" s="502">
        <f>+'DF Calculation'!L54</f>
        <v>92.09</v>
      </c>
      <c r="H79" s="276">
        <f t="shared" si="3"/>
        <v>-0.42516646415158732</v>
      </c>
      <c r="I79" s="276">
        <f>+'DF Calculation'!O54</f>
        <v>91.664833535848416</v>
      </c>
      <c r="J79" s="528"/>
    </row>
    <row r="80" spans="1:10">
      <c r="A80" s="270">
        <v>33</v>
      </c>
      <c r="B80" s="122" t="s">
        <v>235</v>
      </c>
      <c r="C80" s="266" t="s">
        <v>605</v>
      </c>
      <c r="D80" s="276">
        <f>+'DF Calculation'!K55</f>
        <v>90.04</v>
      </c>
      <c r="E80" s="276">
        <f t="shared" si="2"/>
        <v>-0.55000000000001137</v>
      </c>
      <c r="F80" s="276">
        <f>+'DF Calculation'!N55</f>
        <v>89.49</v>
      </c>
      <c r="G80" s="502">
        <f>+'DF Calculation'!L55</f>
        <v>89.71</v>
      </c>
      <c r="H80" s="276">
        <f t="shared" si="3"/>
        <v>-0.55100854656431864</v>
      </c>
      <c r="I80" s="276">
        <f>+'DF Calculation'!O55</f>
        <v>89.158991453435675</v>
      </c>
      <c r="J80" s="528"/>
    </row>
    <row r="81" spans="1:14">
      <c r="A81" s="270">
        <v>33</v>
      </c>
      <c r="B81" s="122" t="s">
        <v>235</v>
      </c>
      <c r="C81" s="266" t="s">
        <v>604</v>
      </c>
      <c r="D81" s="276">
        <f>+'DF Calculation'!K56</f>
        <v>64.78</v>
      </c>
      <c r="E81" s="276">
        <f t="shared" si="2"/>
        <v>-0.54999999999999716</v>
      </c>
      <c r="F81" s="276">
        <f>+'DF Calculation'!N56</f>
        <v>64.23</v>
      </c>
      <c r="G81" s="502">
        <f>+'DF Calculation'!L56</f>
        <v>64.540000000000006</v>
      </c>
      <c r="H81" s="276">
        <f t="shared" si="3"/>
        <v>-0.55100854656431864</v>
      </c>
      <c r="I81" s="276">
        <f>+'DF Calculation'!O56</f>
        <v>63.988991453435688</v>
      </c>
      <c r="J81" s="528"/>
    </row>
    <row r="82" spans="1:14">
      <c r="A82" s="270">
        <v>33</v>
      </c>
      <c r="B82" s="122" t="s">
        <v>304</v>
      </c>
      <c r="C82" s="266" t="str">
        <f>VLOOKUP(B82,Mapping!$E$2:$I$80,5,FALSE)</f>
        <v>4 yard Temp</v>
      </c>
      <c r="D82" s="276">
        <f>+'DF Calculation'!K58</f>
        <v>69.73</v>
      </c>
      <c r="E82" s="276">
        <f t="shared" si="2"/>
        <v>-0.54999999999999716</v>
      </c>
      <c r="F82" s="276">
        <f>+'DF Calculation'!N58</f>
        <v>69.180000000000007</v>
      </c>
      <c r="G82" s="502">
        <f>+'DF Calculation'!L58</f>
        <v>69.47</v>
      </c>
      <c r="H82" s="276">
        <f t="shared" si="3"/>
        <v>-0.55100854656431864</v>
      </c>
      <c r="I82" s="276">
        <f>+'DF Calculation'!O58</f>
        <v>68.91899145343568</v>
      </c>
      <c r="J82" s="528"/>
    </row>
    <row r="83" spans="1:14">
      <c r="A83" s="270">
        <v>33</v>
      </c>
      <c r="B83" s="492" t="s">
        <v>474</v>
      </c>
      <c r="C83" s="266" t="str">
        <f>VLOOKUP(B83,Mapping!$E$2:$I$80,5,FALSE)</f>
        <v>4 yard Special</v>
      </c>
      <c r="D83" s="276">
        <f>+'DF Calculation'!K57</f>
        <v>106.89</v>
      </c>
      <c r="E83" s="276">
        <f t="shared" si="2"/>
        <v>-0.54999999999999716</v>
      </c>
      <c r="F83" s="276">
        <f>+'DF Calculation'!N57</f>
        <v>106.34</v>
      </c>
      <c r="G83" s="502">
        <f>+'DF Calculation'!L57</f>
        <v>106.49</v>
      </c>
      <c r="H83" s="276">
        <f t="shared" si="3"/>
        <v>-0.55100854656431864</v>
      </c>
      <c r="I83" s="276">
        <f>+'DF Calculation'!O57</f>
        <v>105.93899145343568</v>
      </c>
      <c r="J83" s="528"/>
    </row>
    <row r="84" spans="1:14">
      <c r="A84" s="270">
        <v>33</v>
      </c>
      <c r="B84" s="122" t="s">
        <v>245</v>
      </c>
      <c r="C84" s="266" t="s">
        <v>605</v>
      </c>
      <c r="D84" s="276">
        <f>+'DF Calculation'!K59</f>
        <v>120.99</v>
      </c>
      <c r="E84" s="276">
        <f t="shared" si="2"/>
        <v>-0.75999999999999091</v>
      </c>
      <c r="F84" s="276">
        <f>+'DF Calculation'!N59</f>
        <v>120.23</v>
      </c>
      <c r="G84" s="502">
        <f>+'DF Calculation'!L59</f>
        <v>120.54</v>
      </c>
      <c r="H84" s="276">
        <f t="shared" si="3"/>
        <v>-0.75505249447638789</v>
      </c>
      <c r="I84" s="276">
        <f>+'DF Calculation'!O59</f>
        <v>119.78494750552362</v>
      </c>
      <c r="J84" s="528"/>
    </row>
    <row r="85" spans="1:14">
      <c r="A85" s="270">
        <v>33</v>
      </c>
      <c r="B85" s="122" t="s">
        <v>245</v>
      </c>
      <c r="C85" s="266" t="s">
        <v>604</v>
      </c>
      <c r="D85" s="276">
        <f>+'DF Calculation'!K60</f>
        <v>89.41</v>
      </c>
      <c r="E85" s="276">
        <f t="shared" si="2"/>
        <v>-0.75999999999999091</v>
      </c>
      <c r="F85" s="276">
        <f>+'DF Calculation'!N60</f>
        <v>88.65</v>
      </c>
      <c r="G85" s="502">
        <f>+'DF Calculation'!L60</f>
        <v>89.08</v>
      </c>
      <c r="H85" s="276">
        <f t="shared" si="3"/>
        <v>-0.75505249447638789</v>
      </c>
      <c r="I85" s="276">
        <f>+'DF Calculation'!O60</f>
        <v>88.32494750552361</v>
      </c>
      <c r="J85" s="528"/>
    </row>
    <row r="86" spans="1:14">
      <c r="A86" s="270">
        <v>33</v>
      </c>
      <c r="B86" s="122" t="s">
        <v>306</v>
      </c>
      <c r="C86" s="266" t="str">
        <f>VLOOKUP(B86,Mapping!$E$2:$I$80,5,FALSE)</f>
        <v>6 yard Temp</v>
      </c>
      <c r="D86" s="276">
        <f>'DF Calculation'!K62</f>
        <v>127.31</v>
      </c>
      <c r="E86" s="276">
        <f t="shared" si="2"/>
        <v>-0.76000000000000512</v>
      </c>
      <c r="F86" s="276">
        <f>'DF Calculation'!N62</f>
        <v>126.55</v>
      </c>
      <c r="G86" s="502">
        <f>'DF Calculation'!L62</f>
        <v>126.84</v>
      </c>
      <c r="H86" s="276">
        <f t="shared" si="3"/>
        <v>-0.75505249447638789</v>
      </c>
      <c r="I86" s="276">
        <f>'DF Calculation'!O62</f>
        <v>126.08494750552362</v>
      </c>
      <c r="J86" s="528"/>
    </row>
    <row r="87" spans="1:14">
      <c r="A87" s="270">
        <v>33</v>
      </c>
      <c r="B87" s="492" t="s">
        <v>476</v>
      </c>
      <c r="C87" s="266" t="str">
        <f>VLOOKUP(B87,Mapping!$E$2:$I$80,5,FALSE)</f>
        <v>6 yard Special</v>
      </c>
      <c r="D87" s="276">
        <f>+'DF Calculation'!K61</f>
        <v>127.31</v>
      </c>
      <c r="E87" s="276">
        <f t="shared" si="2"/>
        <v>-0.76000000000000512</v>
      </c>
      <c r="F87" s="276">
        <f>+'DF Calculation'!N61</f>
        <v>126.55</v>
      </c>
      <c r="G87" s="502">
        <f>+'DF Calculation'!L61</f>
        <v>126.84</v>
      </c>
      <c r="H87" s="276">
        <f t="shared" si="3"/>
        <v>-0.75505249447638789</v>
      </c>
      <c r="I87" s="276">
        <f>+'DF Calculation'!O61</f>
        <v>126.08494750552362</v>
      </c>
      <c r="J87" s="528"/>
    </row>
    <row r="88" spans="1:14">
      <c r="A88" s="270">
        <v>34</v>
      </c>
      <c r="B88" s="122" t="s">
        <v>292</v>
      </c>
      <c r="C88" s="110" t="str">
        <f>VLOOKUP(B88,Mapping!$E$2:$I$80,5,FALSE)</f>
        <v>35 Gallon Cart  per PU</v>
      </c>
      <c r="D88" s="276">
        <f>SUMIFS('DF Calculation'!K:K,'DF Calculation'!B:B,'To Populate Tariff'!A88,'DF Calculation'!C:C,B88)</f>
        <v>3.34</v>
      </c>
      <c r="E88" s="276">
        <f t="shared" si="2"/>
        <v>-2.9999999999999805E-2</v>
      </c>
      <c r="F88" s="276">
        <f>SUMIFS('DF Calculation'!N:N,'DF Calculation'!B:B,'To Populate Tariff'!A88,'DF Calculation'!C:C,B88)</f>
        <v>3.31</v>
      </c>
      <c r="G88" s="502">
        <f>SUMIFS('DF Calculation'!$L:$L,'DF Calculation'!$B:$B,'To Populate Tariff'!$A88,'DF Calculation'!$C:$C,$B88)</f>
        <v>3.33</v>
      </c>
      <c r="H88" s="276">
        <f t="shared" si="3"/>
        <v>-2.6067288499779906E-2</v>
      </c>
      <c r="I88" s="276">
        <f>SUMIFS('DF Calculation'!$O:$O,'DF Calculation'!$B:$B,'To Populate Tariff'!$A88,'DF Calculation'!$C:$C,$B88)</f>
        <v>3.3039327115002202</v>
      </c>
    </row>
    <row r="89" spans="1:14">
      <c r="A89" s="270"/>
      <c r="B89" s="122"/>
      <c r="C89" s="356" t="s">
        <v>798</v>
      </c>
      <c r="D89" s="502">
        <v>17.98</v>
      </c>
      <c r="E89" s="502">
        <f t="shared" si="2"/>
        <v>-0.1129582501657147</v>
      </c>
      <c r="F89" s="276">
        <f>D89+(References!$C$30*'DF Calculation'!$D$83*References!$D$62*References!$C$11)</f>
        <v>17.867041749834286</v>
      </c>
      <c r="G89" s="502">
        <v>17.91</v>
      </c>
      <c r="H89" s="502">
        <f t="shared" si="3"/>
        <v>-0.1129582501657147</v>
      </c>
      <c r="I89" s="276">
        <f>G89+(References!$C$30*'DF Calculation'!$D$83*References!$D$62*References!$C$11)</f>
        <v>17.797041749834285</v>
      </c>
      <c r="J89" s="528" t="s">
        <v>818</v>
      </c>
    </row>
    <row r="90" spans="1:14">
      <c r="A90" s="270"/>
      <c r="B90" s="122"/>
      <c r="C90" s="110" t="s">
        <v>819</v>
      </c>
      <c r="D90" s="502">
        <v>3.18</v>
      </c>
      <c r="E90" s="502">
        <f t="shared" si="2"/>
        <v>-2.6067288499779906E-2</v>
      </c>
      <c r="F90" s="276">
        <f>D90+(References!$C$30*'DF Calculation'!$D$83*References!$D$62)</f>
        <v>3.1539327115002203</v>
      </c>
      <c r="G90" s="502">
        <v>3.17</v>
      </c>
      <c r="H90" s="502">
        <f t="shared" si="3"/>
        <v>-2.6067288499779906E-2</v>
      </c>
      <c r="I90" s="276">
        <f>G90+(References!$C$30*'DF Calculation'!$D$83*References!$D$62)</f>
        <v>3.14393271150022</v>
      </c>
      <c r="J90" s="529" t="s">
        <v>669</v>
      </c>
    </row>
    <row r="91" spans="1:14">
      <c r="A91" s="270">
        <v>34</v>
      </c>
      <c r="B91" s="122" t="s">
        <v>294</v>
      </c>
      <c r="C91" s="110" t="str">
        <f>VLOOKUP(B91,Mapping!$E$2:$I$80,5,FALSE)</f>
        <v>35 Gallon Distributed Cart Regular</v>
      </c>
      <c r="D91" s="276">
        <f>SUMIFS('DF Calculation'!K:K,'DF Calculation'!B:B,'To Populate Tariff'!A91,'DF Calculation'!C:C,B91)</f>
        <v>3.38</v>
      </c>
      <c r="E91" s="276">
        <f t="shared" si="2"/>
        <v>-2.9999999999999805E-2</v>
      </c>
      <c r="F91" s="276">
        <f>SUMIFS('DF Calculation'!N:N,'DF Calculation'!B:B,'To Populate Tariff'!A91,'DF Calculation'!C:C,B91)</f>
        <v>3.35</v>
      </c>
      <c r="G91" s="502">
        <v>3.37</v>
      </c>
      <c r="H91" s="276">
        <f t="shared" si="3"/>
        <v>-2.6067288499779906E-2</v>
      </c>
      <c r="I91" s="276">
        <f>SUMIFS('DF Calculation'!$O:$O,'DF Calculation'!$B:$B,'To Populate Tariff'!$A91,'DF Calculation'!$C:$C,$B91)</f>
        <v>3.3439327115002202</v>
      </c>
      <c r="J91" s="530"/>
      <c r="N91" s="360"/>
    </row>
    <row r="92" spans="1:14">
      <c r="A92" s="270"/>
      <c r="B92" s="122"/>
      <c r="C92" s="110" t="s">
        <v>820</v>
      </c>
      <c r="D92" s="502">
        <v>12.34</v>
      </c>
      <c r="E92" s="502">
        <f t="shared" si="2"/>
        <v>-2.6067288499779906E-2</v>
      </c>
      <c r="F92" s="276">
        <f>D92+(References!$C$30*'DF Calculation'!$D$83*References!$D$62)</f>
        <v>12.31393271150022</v>
      </c>
      <c r="G92" s="502">
        <v>12.3</v>
      </c>
      <c r="H92" s="502">
        <f t="shared" si="3"/>
        <v>-2.6067288499779906E-2</v>
      </c>
      <c r="I92" s="276">
        <f>G92+(References!$C$30*'DF Calculation'!$D$83*References!$D$62)</f>
        <v>12.273932711500221</v>
      </c>
      <c r="J92" s="529" t="s">
        <v>669</v>
      </c>
      <c r="N92" s="360"/>
    </row>
    <row r="93" spans="1:14">
      <c r="A93" s="270"/>
      <c r="B93" s="122"/>
      <c r="C93" s="110" t="s">
        <v>821</v>
      </c>
      <c r="D93" s="502">
        <v>4.3499999999999996</v>
      </c>
      <c r="E93" s="502">
        <f t="shared" si="2"/>
        <v>-2.6067288499779906E-2</v>
      </c>
      <c r="F93" s="276">
        <f>D93+(References!$C$30*'DF Calculation'!$D$83*References!$D$62)</f>
        <v>4.3239327115002197</v>
      </c>
      <c r="G93" s="502">
        <v>4.33</v>
      </c>
      <c r="H93" s="502">
        <f t="shared" si="3"/>
        <v>-2.6067288499779906E-2</v>
      </c>
      <c r="I93" s="276">
        <f>G93+(References!$C$30*'DF Calculation'!$D$83*References!$D$62)</f>
        <v>4.3039327115002202</v>
      </c>
      <c r="J93" s="529" t="s">
        <v>669</v>
      </c>
      <c r="N93" s="360"/>
    </row>
    <row r="94" spans="1:14">
      <c r="A94" s="270">
        <v>34</v>
      </c>
      <c r="B94" s="122" t="s">
        <v>310</v>
      </c>
      <c r="C94" s="110" t="str">
        <f>VLOOKUP(B94,Mapping!$E$2:$I$80,5,FALSE)</f>
        <v>Can Extra</v>
      </c>
      <c r="D94" s="276">
        <f>SUMIFS('DF Calculation'!K:K,'DF Calculation'!B:B,'To Populate Tariff'!A94,'DF Calculation'!C:C,B94)</f>
        <v>3.34</v>
      </c>
      <c r="E94" s="276">
        <f t="shared" si="2"/>
        <v>-2.6067288499779906E-2</v>
      </c>
      <c r="F94" s="276">
        <f>SUMIFS('DF Calculation'!N:N,'DF Calculation'!B:B,'To Populate Tariff'!A94,'DF Calculation'!C:C,B94)</f>
        <v>3.31393271150022</v>
      </c>
      <c r="G94" s="276">
        <f>SUMIFS('DF Calculation'!$L:$L,'DF Calculation'!$B:$B,'To Populate Tariff'!$A94,'DF Calculation'!$C:$C,$B94)</f>
        <v>3.33</v>
      </c>
      <c r="H94" s="276">
        <f t="shared" si="3"/>
        <v>-2.6067288499779906E-2</v>
      </c>
      <c r="I94" s="276">
        <f>SUMIFS('DF Calculation'!$O:$O,'DF Calculation'!$B:$B,'To Populate Tariff'!$A94,'DF Calculation'!$C:$C,$B94)</f>
        <v>3.3039327115002202</v>
      </c>
    </row>
    <row r="95" spans="1:14">
      <c r="A95" s="270">
        <v>34</v>
      </c>
      <c r="B95" s="122" t="s">
        <v>288</v>
      </c>
      <c r="C95" s="110" t="str">
        <f>VLOOKUP(B95,Mapping!$E$2:$I$80,5,FALSE)</f>
        <v>65 Gallon Cart per PU</v>
      </c>
      <c r="D95" s="276">
        <f>SUMIFS('DF Calculation'!K:K,'DF Calculation'!B:B,'To Populate Tariff'!A95,'DF Calculation'!C:C,B95)</f>
        <v>6.81</v>
      </c>
      <c r="E95" s="276">
        <f t="shared" si="2"/>
        <v>-4.0000000000000036E-2</v>
      </c>
      <c r="F95" s="276">
        <f>SUMIFS('DF Calculation'!N:N,'DF Calculation'!B:B,'To Populate Tariff'!A95,'DF Calculation'!C:C,B95)</f>
        <v>6.77</v>
      </c>
      <c r="G95" s="276">
        <f>SUMIFS('DF Calculation'!$L:$L,'DF Calculation'!$B:$B,'To Populate Tariff'!$A95,'DF Calculation'!$C:$C,$B95)</f>
        <v>6.78</v>
      </c>
      <c r="H95" s="276">
        <f t="shared" si="3"/>
        <v>-4.2246984809988675E-2</v>
      </c>
      <c r="I95" s="276">
        <f>SUMIFS('DF Calculation'!$O:$O,'DF Calculation'!$B:$B,'To Populate Tariff'!$A95,'DF Calculation'!$C:$C,$B95)</f>
        <v>6.7377530151900116</v>
      </c>
      <c r="J95" s="528"/>
    </row>
    <row r="96" spans="1:14">
      <c r="A96" s="270">
        <v>34</v>
      </c>
      <c r="B96" s="122" t="s">
        <v>272</v>
      </c>
      <c r="C96" s="110" t="str">
        <f>+Mapping!I69</f>
        <v>65 Gallon Cart Minimum</v>
      </c>
      <c r="D96" s="276">
        <f>SUMIFS('DF Calculation'!K:K,'DF Calculation'!B:B,'To Populate Tariff'!A96,'DF Calculation'!C:C,B96)</f>
        <v>21.06</v>
      </c>
      <c r="E96" s="276">
        <f t="shared" si="2"/>
        <v>-0.17999999999999972</v>
      </c>
      <c r="F96" s="276">
        <f>SUMIFS('DF Calculation'!N:N,'DF Calculation'!B:B,'To Populate Tariff'!A96,'DF Calculation'!C:C,B96)</f>
        <v>20.88</v>
      </c>
      <c r="G96" s="276">
        <f>SUMIFS('DF Calculation'!$L:$L,'DF Calculation'!$B:$B,'To Populate Tariff'!$A96,'DF Calculation'!$C:$C,$B96)</f>
        <v>20.98</v>
      </c>
      <c r="H96" s="276">
        <f t="shared" si="3"/>
        <v>-0.18307026750995092</v>
      </c>
      <c r="I96" s="276">
        <f>SUMIFS('DF Calculation'!$O:$O,'DF Calculation'!$B:$B,'To Populate Tariff'!$A96,'DF Calculation'!$C:$C,$B96)</f>
        <v>20.79692973249005</v>
      </c>
      <c r="J96" s="528"/>
      <c r="N96" s="360"/>
    </row>
    <row r="97" spans="1:14">
      <c r="A97" s="270">
        <v>34</v>
      </c>
      <c r="B97" s="122" t="s">
        <v>290</v>
      </c>
      <c r="C97" s="110" t="str">
        <f>VLOOKUP(B97,Mapping!$E$2:$I$80,5,FALSE)</f>
        <v>95 Gallon  per PU</v>
      </c>
      <c r="D97" s="276">
        <f>SUMIFS('DF Calculation'!K:K,'DF Calculation'!B:B,'To Populate Tariff'!A97,'DF Calculation'!C:C,B97)</f>
        <v>8.69</v>
      </c>
      <c r="E97" s="276">
        <f t="shared" si="2"/>
        <v>-5.9999999999998721E-2</v>
      </c>
      <c r="F97" s="276">
        <f>SUMIFS('DF Calculation'!N:N,'DF Calculation'!B:B,'To Populate Tariff'!A97,'DF Calculation'!C:C,B97)</f>
        <v>8.6300000000000008</v>
      </c>
      <c r="G97" s="276">
        <f>SUMIFS('DF Calculation'!$L:$L,'DF Calculation'!$B:$B,'To Populate Tariff'!$A97,'DF Calculation'!$C:$C,$B97)</f>
        <v>8.66</v>
      </c>
      <c r="H97" s="276">
        <f t="shared" si="3"/>
        <v>-6.1123297171898017E-2</v>
      </c>
      <c r="I97" s="276">
        <f>SUMIFS('DF Calculation'!$O:$O,'DF Calculation'!$B:$B,'To Populate Tariff'!$A97,'DF Calculation'!$C:$C,$B97)</f>
        <v>8.5988767028281021</v>
      </c>
      <c r="J97" s="528"/>
      <c r="K97" s="531"/>
      <c r="N97" s="360"/>
    </row>
    <row r="98" spans="1:14">
      <c r="A98" s="270">
        <v>34</v>
      </c>
      <c r="B98" s="122" t="s">
        <v>280</v>
      </c>
      <c r="C98" s="110" t="str">
        <f>+Mapping!I73</f>
        <v>95 Gallon Cart Minimum</v>
      </c>
      <c r="D98" s="276">
        <f>SUMIFS('DF Calculation'!K:K,'DF Calculation'!B:B,'To Populate Tariff'!A98,'DF Calculation'!C:C,B98)</f>
        <v>27.06</v>
      </c>
      <c r="E98" s="276">
        <f t="shared" si="2"/>
        <v>-0.26486762107822415</v>
      </c>
      <c r="F98" s="276">
        <f>SUMIFS('DF Calculation'!N:N,'DF Calculation'!B:B,'To Populate Tariff'!A98,'DF Calculation'!C:C,B98)</f>
        <v>26.795132378921775</v>
      </c>
      <c r="G98" s="276">
        <f>SUMIFS('DF Calculation'!$L:$L,'DF Calculation'!$B:$B,'To Populate Tariff'!$A98,'DF Calculation'!$C:$C,$B98)</f>
        <v>26.96</v>
      </c>
      <c r="H98" s="276">
        <f t="shared" si="3"/>
        <v>-0.26486762107822415</v>
      </c>
      <c r="I98" s="276">
        <f>SUMIFS('DF Calculation'!$O:$O,'DF Calculation'!$B:$B,'To Populate Tariff'!$A98,'DF Calculation'!$C:$C,$B98)</f>
        <v>26.695132378921777</v>
      </c>
      <c r="J98" s="528"/>
    </row>
    <row r="99" spans="1:14">
      <c r="A99" s="270">
        <v>35</v>
      </c>
      <c r="B99" s="122" t="s">
        <v>253</v>
      </c>
      <c r="C99" s="110" t="str">
        <f>VLOOKUP(B99,Mapping!$E$2:$I$80,5,FALSE)</f>
        <v>2 yard Compacted</v>
      </c>
      <c r="D99" s="276">
        <f>SUMIFS('DF Calculation'!K:K,'DF Calculation'!B:B,'To Populate Tariff'!A99,'DF Calculation'!C:C,B99)</f>
        <v>105.16</v>
      </c>
      <c r="E99" s="276">
        <f t="shared" si="2"/>
        <v>-1.8930244682943709</v>
      </c>
      <c r="F99" s="276">
        <f>SUMIFS('DF Calculation'!N:N,'DF Calculation'!B:B,'To Populate Tariff'!A99,'DF Calculation'!C:C,B99)</f>
        <v>103.26697553170563</v>
      </c>
      <c r="G99" s="276">
        <f>SUMIFS('DF Calculation'!$L:$L,'DF Calculation'!$B:$B,'To Populate Tariff'!$A99,'DF Calculation'!$C:$C,$B99)</f>
        <v>104.77</v>
      </c>
      <c r="H99" s="276">
        <f t="shared" si="3"/>
        <v>-1.8930244682943709</v>
      </c>
      <c r="I99" s="276">
        <f>SUMIFS('DF Calculation'!$O:$O,'DF Calculation'!$B:$B,'To Populate Tariff'!$A99,'DF Calculation'!$C:$C,$B99)</f>
        <v>102.87697553170563</v>
      </c>
      <c r="J99" s="528"/>
    </row>
    <row r="100" spans="1:14">
      <c r="A100" s="270">
        <v>35</v>
      </c>
      <c r="B100" s="122" t="s">
        <v>800</v>
      </c>
      <c r="C100" s="110" t="str">
        <f>VLOOKUP(B100,Mapping!$E$2:$I$80,5,FALSE)</f>
        <v>3 yard Compacted</v>
      </c>
      <c r="D100" s="276">
        <f>SUMIFS('DF Calculation'!K:K,'DF Calculation'!B:B,'To Populate Tariff'!A100,'DF Calculation'!C:C,B100)</f>
        <v>147.02000000000001</v>
      </c>
      <c r="E100" s="276">
        <f t="shared" si="2"/>
        <v>-1.2754993924547477</v>
      </c>
      <c r="F100" s="276">
        <f>SUMIFS('DF Calculation'!N:N,'DF Calculation'!B:B,'To Populate Tariff'!A100,'DF Calculation'!C:C,B100)</f>
        <v>145.74450060754526</v>
      </c>
      <c r="G100" s="276">
        <f>SUMIFS('DF Calculation'!$L:$L,'DF Calculation'!$B:$B,'To Populate Tariff'!$A100,'DF Calculation'!$C:$C,$B100)</f>
        <v>146.47999999999999</v>
      </c>
      <c r="H100" s="276">
        <f t="shared" si="3"/>
        <v>-1.2754993924547477</v>
      </c>
      <c r="I100" s="276">
        <f>SUMIFS('DF Calculation'!$O:$O,'DF Calculation'!$B:$B,'To Populate Tariff'!$A100,'DF Calculation'!$C:$C,$B100)</f>
        <v>145.20450060754524</v>
      </c>
      <c r="J100" s="528"/>
    </row>
    <row r="101" spans="1:14">
      <c r="A101" s="270">
        <v>35</v>
      </c>
      <c r="B101" s="122" t="s">
        <v>257</v>
      </c>
      <c r="C101" s="110" t="str">
        <f>VLOOKUP(B101,Mapping!$E$2:$I$80,5,FALSE)</f>
        <v>4 yard Compacted</v>
      </c>
      <c r="D101" s="276">
        <f>SUMIFS('DF Calculation'!K:K,'DF Calculation'!B:B,'To Populate Tariff'!A101,'DF Calculation'!C:C,B101)</f>
        <v>193.63</v>
      </c>
      <c r="E101" s="276">
        <f t="shared" si="2"/>
        <v>-1.6530256396929417</v>
      </c>
      <c r="F101" s="276">
        <f>SUMIFS('DF Calculation'!N:N,'DF Calculation'!B:B,'To Populate Tariff'!A101,'DF Calculation'!C:C,B101)</f>
        <v>191.97697436030705</v>
      </c>
      <c r="G101" s="276">
        <f>SUMIFS('DF Calculation'!$L:$L,'DF Calculation'!$B:$B,'To Populate Tariff'!$A101,'DF Calculation'!$C:$C,$B101)</f>
        <v>192.91</v>
      </c>
      <c r="H101" s="276">
        <f t="shared" si="3"/>
        <v>-1.6530256396929417</v>
      </c>
      <c r="I101" s="276">
        <f>SUMIFS('DF Calculation'!$O:$O,'DF Calculation'!$B:$B,'To Populate Tariff'!$A101,'DF Calculation'!$C:$C,$B101)</f>
        <v>191.25697436030705</v>
      </c>
      <c r="J101" s="528"/>
    </row>
    <row r="102" spans="1:14">
      <c r="A102" s="270">
        <v>35</v>
      </c>
      <c r="B102" s="122" t="s">
        <v>801</v>
      </c>
      <c r="C102" s="110" t="str">
        <f>VLOOKUP(B102,Mapping!$E$2:$I$81,5,FALSE)</f>
        <v>6 yard Compacted</v>
      </c>
      <c r="D102" s="276">
        <f>SUMIFS('DF Calculation'!K:K,'DF Calculation'!B:B,'To Populate Tariff'!A102,'DF Calculation'!C:C,B102)</f>
        <v>265.75</v>
      </c>
      <c r="E102" s="276">
        <f t="shared" si="2"/>
        <v>-2.2651574834291637</v>
      </c>
      <c r="F102" s="276">
        <f>SUMIFS('DF Calculation'!N:N,'DF Calculation'!B:B,'To Populate Tariff'!A102,'DF Calculation'!C:C,B102)</f>
        <v>263.48484251657084</v>
      </c>
      <c r="G102" s="276">
        <f>SUMIFS('DF Calculation'!$L:$L,'DF Calculation'!$B:$B,'To Populate Tariff'!$A102,'DF Calculation'!$C:$C,$B102)</f>
        <v>264.77</v>
      </c>
      <c r="H102" s="276">
        <f t="shared" si="3"/>
        <v>-2.2651574834291637</v>
      </c>
      <c r="I102" s="276">
        <f>SUMIFS('DF Calculation'!$O:$O,'DF Calculation'!$B:$B,'To Populate Tariff'!$A102,'DF Calculation'!$C:$C,$B102)</f>
        <v>262.50484251657082</v>
      </c>
      <c r="J102" s="528"/>
    </row>
    <row r="103" spans="1:14">
      <c r="A103" s="270"/>
      <c r="B103" s="122"/>
      <c r="C103" s="266"/>
      <c r="D103" s="276"/>
      <c r="E103" s="276"/>
      <c r="F103" s="276"/>
      <c r="G103" s="276"/>
      <c r="H103" s="276"/>
      <c r="I103" s="276"/>
      <c r="J103" s="449"/>
    </row>
    <row r="104" spans="1:14">
      <c r="A104" s="270"/>
      <c r="B104" s="122"/>
      <c r="C104" s="266"/>
      <c r="D104" s="276"/>
      <c r="E104" s="276"/>
      <c r="F104" s="276"/>
      <c r="G104" s="276"/>
      <c r="H104" s="276"/>
      <c r="I104" s="276"/>
      <c r="J104" s="449"/>
    </row>
    <row r="105" spans="1:14">
      <c r="A105" s="152"/>
      <c r="B105" s="122"/>
      <c r="C105" s="266"/>
      <c r="D105" s="276"/>
      <c r="E105" s="276"/>
      <c r="F105" s="276"/>
      <c r="G105" s="276"/>
      <c r="H105" s="276"/>
      <c r="I105" s="276"/>
      <c r="J105" s="449"/>
    </row>
  </sheetData>
  <pageMargins left="0.7" right="0.7" top="0.75" bottom="0.75" header="0.3" footer="0.3"/>
  <pageSetup scale="86" fitToHeight="4"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sheetData>
    <row r="1" spans="1:16">
      <c r="A1" t="s">
        <v>823</v>
      </c>
      <c r="K1" t="s">
        <v>833</v>
      </c>
      <c r="P1" t="s">
        <v>837</v>
      </c>
    </row>
    <row r="2" spans="1:16">
      <c r="A2" t="s">
        <v>824</v>
      </c>
      <c r="B2" t="s">
        <v>825</v>
      </c>
      <c r="C2" t="s">
        <v>826</v>
      </c>
      <c r="D2" t="s">
        <v>827</v>
      </c>
      <c r="E2" t="s">
        <v>828</v>
      </c>
      <c r="F2" t="s">
        <v>829</v>
      </c>
      <c r="G2" t="s">
        <v>830</v>
      </c>
      <c r="H2" t="s">
        <v>831</v>
      </c>
      <c r="I2" t="s">
        <v>832</v>
      </c>
      <c r="K2" t="s">
        <v>824</v>
      </c>
      <c r="L2" t="s">
        <v>834</v>
      </c>
      <c r="M2" t="s">
        <v>835</v>
      </c>
      <c r="N2" t="s">
        <v>836</v>
      </c>
      <c r="P2" t="s">
        <v>838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AB145"/>
  <sheetViews>
    <sheetView view="pageBreakPreview" zoomScale="85" zoomScaleNormal="80" zoomScaleSheetLayoutView="85" workbookViewId="0">
      <pane xSplit="1" ySplit="8" topLeftCell="B9" activePane="bottomRight" state="frozen"/>
      <selection activeCell="S17" sqref="S17:S18"/>
      <selection pane="topRight" activeCell="S17" sqref="S17:S18"/>
      <selection pane="bottomLeft" activeCell="S17" sqref="S17:S18"/>
      <selection pane="bottomRight" activeCell="S17" sqref="S17:S18"/>
    </sheetView>
  </sheetViews>
  <sheetFormatPr defaultRowHeight="15"/>
  <cols>
    <col min="1" max="1" width="18.5703125" customWidth="1"/>
    <col min="2" max="14" width="17.140625" customWidth="1"/>
    <col min="15" max="15" width="9.7109375" customWidth="1"/>
    <col min="16" max="16" width="17.85546875" customWidth="1"/>
    <col min="17" max="19" width="16.28515625" bestFit="1" customWidth="1"/>
    <col min="20" max="20" width="15.140625" bestFit="1" customWidth="1"/>
    <col min="257" max="257" width="21.28515625" customWidth="1"/>
    <col min="258" max="269" width="15.7109375" customWidth="1"/>
    <col min="270" max="270" width="16.28515625" bestFit="1" customWidth="1"/>
    <col min="271" max="271" width="18" bestFit="1" customWidth="1"/>
    <col min="272" max="272" width="17.85546875" customWidth="1"/>
    <col min="273" max="275" width="16.28515625" bestFit="1" customWidth="1"/>
    <col min="276" max="276" width="15.140625" bestFit="1" customWidth="1"/>
    <col min="513" max="513" width="21.28515625" customWidth="1"/>
    <col min="514" max="525" width="15.7109375" customWidth="1"/>
    <col min="526" max="526" width="16.28515625" bestFit="1" customWidth="1"/>
    <col min="527" max="527" width="18" bestFit="1" customWidth="1"/>
    <col min="528" max="528" width="17.85546875" customWidth="1"/>
    <col min="529" max="531" width="16.28515625" bestFit="1" customWidth="1"/>
    <col min="532" max="532" width="15.140625" bestFit="1" customWidth="1"/>
    <col min="769" max="769" width="21.28515625" customWidth="1"/>
    <col min="770" max="781" width="15.7109375" customWidth="1"/>
    <col min="782" max="782" width="16.28515625" bestFit="1" customWidth="1"/>
    <col min="783" max="783" width="18" bestFit="1" customWidth="1"/>
    <col min="784" max="784" width="17.85546875" customWidth="1"/>
    <col min="785" max="787" width="16.28515625" bestFit="1" customWidth="1"/>
    <col min="788" max="788" width="15.140625" bestFit="1" customWidth="1"/>
    <col min="1025" max="1025" width="21.28515625" customWidth="1"/>
    <col min="1026" max="1037" width="15.7109375" customWidth="1"/>
    <col min="1038" max="1038" width="16.28515625" bestFit="1" customWidth="1"/>
    <col min="1039" max="1039" width="18" bestFit="1" customWidth="1"/>
    <col min="1040" max="1040" width="17.85546875" customWidth="1"/>
    <col min="1041" max="1043" width="16.28515625" bestFit="1" customWidth="1"/>
    <col min="1044" max="1044" width="15.140625" bestFit="1" customWidth="1"/>
    <col min="1281" max="1281" width="21.28515625" customWidth="1"/>
    <col min="1282" max="1293" width="15.7109375" customWidth="1"/>
    <col min="1294" max="1294" width="16.28515625" bestFit="1" customWidth="1"/>
    <col min="1295" max="1295" width="18" bestFit="1" customWidth="1"/>
    <col min="1296" max="1296" width="17.85546875" customWidth="1"/>
    <col min="1297" max="1299" width="16.28515625" bestFit="1" customWidth="1"/>
    <col min="1300" max="1300" width="15.140625" bestFit="1" customWidth="1"/>
    <col min="1537" max="1537" width="21.28515625" customWidth="1"/>
    <col min="1538" max="1549" width="15.7109375" customWidth="1"/>
    <col min="1550" max="1550" width="16.28515625" bestFit="1" customWidth="1"/>
    <col min="1551" max="1551" width="18" bestFit="1" customWidth="1"/>
    <col min="1552" max="1552" width="17.85546875" customWidth="1"/>
    <col min="1553" max="1555" width="16.28515625" bestFit="1" customWidth="1"/>
    <col min="1556" max="1556" width="15.140625" bestFit="1" customWidth="1"/>
    <col min="1793" max="1793" width="21.28515625" customWidth="1"/>
    <col min="1794" max="1805" width="15.7109375" customWidth="1"/>
    <col min="1806" max="1806" width="16.28515625" bestFit="1" customWidth="1"/>
    <col min="1807" max="1807" width="18" bestFit="1" customWidth="1"/>
    <col min="1808" max="1808" width="17.85546875" customWidth="1"/>
    <col min="1809" max="1811" width="16.28515625" bestFit="1" customWidth="1"/>
    <col min="1812" max="1812" width="15.140625" bestFit="1" customWidth="1"/>
    <col min="2049" max="2049" width="21.28515625" customWidth="1"/>
    <col min="2050" max="2061" width="15.7109375" customWidth="1"/>
    <col min="2062" max="2062" width="16.28515625" bestFit="1" customWidth="1"/>
    <col min="2063" max="2063" width="18" bestFit="1" customWidth="1"/>
    <col min="2064" max="2064" width="17.85546875" customWidth="1"/>
    <col min="2065" max="2067" width="16.28515625" bestFit="1" customWidth="1"/>
    <col min="2068" max="2068" width="15.140625" bestFit="1" customWidth="1"/>
    <col min="2305" max="2305" width="21.28515625" customWidth="1"/>
    <col min="2306" max="2317" width="15.7109375" customWidth="1"/>
    <col min="2318" max="2318" width="16.28515625" bestFit="1" customWidth="1"/>
    <col min="2319" max="2319" width="18" bestFit="1" customWidth="1"/>
    <col min="2320" max="2320" width="17.85546875" customWidth="1"/>
    <col min="2321" max="2323" width="16.28515625" bestFit="1" customWidth="1"/>
    <col min="2324" max="2324" width="15.140625" bestFit="1" customWidth="1"/>
    <col min="2561" max="2561" width="21.28515625" customWidth="1"/>
    <col min="2562" max="2573" width="15.7109375" customWidth="1"/>
    <col min="2574" max="2574" width="16.28515625" bestFit="1" customWidth="1"/>
    <col min="2575" max="2575" width="18" bestFit="1" customWidth="1"/>
    <col min="2576" max="2576" width="17.85546875" customWidth="1"/>
    <col min="2577" max="2579" width="16.28515625" bestFit="1" customWidth="1"/>
    <col min="2580" max="2580" width="15.140625" bestFit="1" customWidth="1"/>
    <col min="2817" max="2817" width="21.28515625" customWidth="1"/>
    <col min="2818" max="2829" width="15.7109375" customWidth="1"/>
    <col min="2830" max="2830" width="16.28515625" bestFit="1" customWidth="1"/>
    <col min="2831" max="2831" width="18" bestFit="1" customWidth="1"/>
    <col min="2832" max="2832" width="17.85546875" customWidth="1"/>
    <col min="2833" max="2835" width="16.28515625" bestFit="1" customWidth="1"/>
    <col min="2836" max="2836" width="15.140625" bestFit="1" customWidth="1"/>
    <col min="3073" max="3073" width="21.28515625" customWidth="1"/>
    <col min="3074" max="3085" width="15.7109375" customWidth="1"/>
    <col min="3086" max="3086" width="16.28515625" bestFit="1" customWidth="1"/>
    <col min="3087" max="3087" width="18" bestFit="1" customWidth="1"/>
    <col min="3088" max="3088" width="17.85546875" customWidth="1"/>
    <col min="3089" max="3091" width="16.28515625" bestFit="1" customWidth="1"/>
    <col min="3092" max="3092" width="15.140625" bestFit="1" customWidth="1"/>
    <col min="3329" max="3329" width="21.28515625" customWidth="1"/>
    <col min="3330" max="3341" width="15.7109375" customWidth="1"/>
    <col min="3342" max="3342" width="16.28515625" bestFit="1" customWidth="1"/>
    <col min="3343" max="3343" width="18" bestFit="1" customWidth="1"/>
    <col min="3344" max="3344" width="17.85546875" customWidth="1"/>
    <col min="3345" max="3347" width="16.28515625" bestFit="1" customWidth="1"/>
    <col min="3348" max="3348" width="15.140625" bestFit="1" customWidth="1"/>
    <col min="3585" max="3585" width="21.28515625" customWidth="1"/>
    <col min="3586" max="3597" width="15.7109375" customWidth="1"/>
    <col min="3598" max="3598" width="16.28515625" bestFit="1" customWidth="1"/>
    <col min="3599" max="3599" width="18" bestFit="1" customWidth="1"/>
    <col min="3600" max="3600" width="17.85546875" customWidth="1"/>
    <col min="3601" max="3603" width="16.28515625" bestFit="1" customWidth="1"/>
    <col min="3604" max="3604" width="15.140625" bestFit="1" customWidth="1"/>
    <col min="3841" max="3841" width="21.28515625" customWidth="1"/>
    <col min="3842" max="3853" width="15.7109375" customWidth="1"/>
    <col min="3854" max="3854" width="16.28515625" bestFit="1" customWidth="1"/>
    <col min="3855" max="3855" width="18" bestFit="1" customWidth="1"/>
    <col min="3856" max="3856" width="17.85546875" customWidth="1"/>
    <col min="3857" max="3859" width="16.28515625" bestFit="1" customWidth="1"/>
    <col min="3860" max="3860" width="15.140625" bestFit="1" customWidth="1"/>
    <col min="4097" max="4097" width="21.28515625" customWidth="1"/>
    <col min="4098" max="4109" width="15.7109375" customWidth="1"/>
    <col min="4110" max="4110" width="16.28515625" bestFit="1" customWidth="1"/>
    <col min="4111" max="4111" width="18" bestFit="1" customWidth="1"/>
    <col min="4112" max="4112" width="17.85546875" customWidth="1"/>
    <col min="4113" max="4115" width="16.28515625" bestFit="1" customWidth="1"/>
    <col min="4116" max="4116" width="15.140625" bestFit="1" customWidth="1"/>
    <col min="4353" max="4353" width="21.28515625" customWidth="1"/>
    <col min="4354" max="4365" width="15.7109375" customWidth="1"/>
    <col min="4366" max="4366" width="16.28515625" bestFit="1" customWidth="1"/>
    <col min="4367" max="4367" width="18" bestFit="1" customWidth="1"/>
    <col min="4368" max="4368" width="17.85546875" customWidth="1"/>
    <col min="4369" max="4371" width="16.28515625" bestFit="1" customWidth="1"/>
    <col min="4372" max="4372" width="15.140625" bestFit="1" customWidth="1"/>
    <col min="4609" max="4609" width="21.28515625" customWidth="1"/>
    <col min="4610" max="4621" width="15.7109375" customWidth="1"/>
    <col min="4622" max="4622" width="16.28515625" bestFit="1" customWidth="1"/>
    <col min="4623" max="4623" width="18" bestFit="1" customWidth="1"/>
    <col min="4624" max="4624" width="17.85546875" customWidth="1"/>
    <col min="4625" max="4627" width="16.28515625" bestFit="1" customWidth="1"/>
    <col min="4628" max="4628" width="15.140625" bestFit="1" customWidth="1"/>
    <col min="4865" max="4865" width="21.28515625" customWidth="1"/>
    <col min="4866" max="4877" width="15.7109375" customWidth="1"/>
    <col min="4878" max="4878" width="16.28515625" bestFit="1" customWidth="1"/>
    <col min="4879" max="4879" width="18" bestFit="1" customWidth="1"/>
    <col min="4880" max="4880" width="17.85546875" customWidth="1"/>
    <col min="4881" max="4883" width="16.28515625" bestFit="1" customWidth="1"/>
    <col min="4884" max="4884" width="15.140625" bestFit="1" customWidth="1"/>
    <col min="5121" max="5121" width="21.28515625" customWidth="1"/>
    <col min="5122" max="5133" width="15.7109375" customWidth="1"/>
    <col min="5134" max="5134" width="16.28515625" bestFit="1" customWidth="1"/>
    <col min="5135" max="5135" width="18" bestFit="1" customWidth="1"/>
    <col min="5136" max="5136" width="17.85546875" customWidth="1"/>
    <col min="5137" max="5139" width="16.28515625" bestFit="1" customWidth="1"/>
    <col min="5140" max="5140" width="15.140625" bestFit="1" customWidth="1"/>
    <col min="5377" max="5377" width="21.28515625" customWidth="1"/>
    <col min="5378" max="5389" width="15.7109375" customWidth="1"/>
    <col min="5390" max="5390" width="16.28515625" bestFit="1" customWidth="1"/>
    <col min="5391" max="5391" width="18" bestFit="1" customWidth="1"/>
    <col min="5392" max="5392" width="17.85546875" customWidth="1"/>
    <col min="5393" max="5395" width="16.28515625" bestFit="1" customWidth="1"/>
    <col min="5396" max="5396" width="15.140625" bestFit="1" customWidth="1"/>
    <col min="5633" max="5633" width="21.28515625" customWidth="1"/>
    <col min="5634" max="5645" width="15.7109375" customWidth="1"/>
    <col min="5646" max="5646" width="16.28515625" bestFit="1" customWidth="1"/>
    <col min="5647" max="5647" width="18" bestFit="1" customWidth="1"/>
    <col min="5648" max="5648" width="17.85546875" customWidth="1"/>
    <col min="5649" max="5651" width="16.28515625" bestFit="1" customWidth="1"/>
    <col min="5652" max="5652" width="15.140625" bestFit="1" customWidth="1"/>
    <col min="5889" max="5889" width="21.28515625" customWidth="1"/>
    <col min="5890" max="5901" width="15.7109375" customWidth="1"/>
    <col min="5902" max="5902" width="16.28515625" bestFit="1" customWidth="1"/>
    <col min="5903" max="5903" width="18" bestFit="1" customWidth="1"/>
    <col min="5904" max="5904" width="17.85546875" customWidth="1"/>
    <col min="5905" max="5907" width="16.28515625" bestFit="1" customWidth="1"/>
    <col min="5908" max="5908" width="15.140625" bestFit="1" customWidth="1"/>
    <col min="6145" max="6145" width="21.28515625" customWidth="1"/>
    <col min="6146" max="6157" width="15.7109375" customWidth="1"/>
    <col min="6158" max="6158" width="16.28515625" bestFit="1" customWidth="1"/>
    <col min="6159" max="6159" width="18" bestFit="1" customWidth="1"/>
    <col min="6160" max="6160" width="17.85546875" customWidth="1"/>
    <col min="6161" max="6163" width="16.28515625" bestFit="1" customWidth="1"/>
    <col min="6164" max="6164" width="15.140625" bestFit="1" customWidth="1"/>
    <col min="6401" max="6401" width="21.28515625" customWidth="1"/>
    <col min="6402" max="6413" width="15.7109375" customWidth="1"/>
    <col min="6414" max="6414" width="16.28515625" bestFit="1" customWidth="1"/>
    <col min="6415" max="6415" width="18" bestFit="1" customWidth="1"/>
    <col min="6416" max="6416" width="17.85546875" customWidth="1"/>
    <col min="6417" max="6419" width="16.28515625" bestFit="1" customWidth="1"/>
    <col min="6420" max="6420" width="15.140625" bestFit="1" customWidth="1"/>
    <col min="6657" max="6657" width="21.28515625" customWidth="1"/>
    <col min="6658" max="6669" width="15.7109375" customWidth="1"/>
    <col min="6670" max="6670" width="16.28515625" bestFit="1" customWidth="1"/>
    <col min="6671" max="6671" width="18" bestFit="1" customWidth="1"/>
    <col min="6672" max="6672" width="17.85546875" customWidth="1"/>
    <col min="6673" max="6675" width="16.28515625" bestFit="1" customWidth="1"/>
    <col min="6676" max="6676" width="15.140625" bestFit="1" customWidth="1"/>
    <col min="6913" max="6913" width="21.28515625" customWidth="1"/>
    <col min="6914" max="6925" width="15.7109375" customWidth="1"/>
    <col min="6926" max="6926" width="16.28515625" bestFit="1" customWidth="1"/>
    <col min="6927" max="6927" width="18" bestFit="1" customWidth="1"/>
    <col min="6928" max="6928" width="17.85546875" customWidth="1"/>
    <col min="6929" max="6931" width="16.28515625" bestFit="1" customWidth="1"/>
    <col min="6932" max="6932" width="15.140625" bestFit="1" customWidth="1"/>
    <col min="7169" max="7169" width="21.28515625" customWidth="1"/>
    <col min="7170" max="7181" width="15.7109375" customWidth="1"/>
    <col min="7182" max="7182" width="16.28515625" bestFit="1" customWidth="1"/>
    <col min="7183" max="7183" width="18" bestFit="1" customWidth="1"/>
    <col min="7184" max="7184" width="17.85546875" customWidth="1"/>
    <col min="7185" max="7187" width="16.28515625" bestFit="1" customWidth="1"/>
    <col min="7188" max="7188" width="15.140625" bestFit="1" customWidth="1"/>
    <col min="7425" max="7425" width="21.28515625" customWidth="1"/>
    <col min="7426" max="7437" width="15.7109375" customWidth="1"/>
    <col min="7438" max="7438" width="16.28515625" bestFit="1" customWidth="1"/>
    <col min="7439" max="7439" width="18" bestFit="1" customWidth="1"/>
    <col min="7440" max="7440" width="17.85546875" customWidth="1"/>
    <col min="7441" max="7443" width="16.28515625" bestFit="1" customWidth="1"/>
    <col min="7444" max="7444" width="15.140625" bestFit="1" customWidth="1"/>
    <col min="7681" max="7681" width="21.28515625" customWidth="1"/>
    <col min="7682" max="7693" width="15.7109375" customWidth="1"/>
    <col min="7694" max="7694" width="16.28515625" bestFit="1" customWidth="1"/>
    <col min="7695" max="7695" width="18" bestFit="1" customWidth="1"/>
    <col min="7696" max="7696" width="17.85546875" customWidth="1"/>
    <col min="7697" max="7699" width="16.28515625" bestFit="1" customWidth="1"/>
    <col min="7700" max="7700" width="15.140625" bestFit="1" customWidth="1"/>
    <col min="7937" max="7937" width="21.28515625" customWidth="1"/>
    <col min="7938" max="7949" width="15.7109375" customWidth="1"/>
    <col min="7950" max="7950" width="16.28515625" bestFit="1" customWidth="1"/>
    <col min="7951" max="7951" width="18" bestFit="1" customWidth="1"/>
    <col min="7952" max="7952" width="17.85546875" customWidth="1"/>
    <col min="7953" max="7955" width="16.28515625" bestFit="1" customWidth="1"/>
    <col min="7956" max="7956" width="15.140625" bestFit="1" customWidth="1"/>
    <col min="8193" max="8193" width="21.28515625" customWidth="1"/>
    <col min="8194" max="8205" width="15.7109375" customWidth="1"/>
    <col min="8206" max="8206" width="16.28515625" bestFit="1" customWidth="1"/>
    <col min="8207" max="8207" width="18" bestFit="1" customWidth="1"/>
    <col min="8208" max="8208" width="17.85546875" customWidth="1"/>
    <col min="8209" max="8211" width="16.28515625" bestFit="1" customWidth="1"/>
    <col min="8212" max="8212" width="15.140625" bestFit="1" customWidth="1"/>
    <col min="8449" max="8449" width="21.28515625" customWidth="1"/>
    <col min="8450" max="8461" width="15.7109375" customWidth="1"/>
    <col min="8462" max="8462" width="16.28515625" bestFit="1" customWidth="1"/>
    <col min="8463" max="8463" width="18" bestFit="1" customWidth="1"/>
    <col min="8464" max="8464" width="17.85546875" customWidth="1"/>
    <col min="8465" max="8467" width="16.28515625" bestFit="1" customWidth="1"/>
    <col min="8468" max="8468" width="15.140625" bestFit="1" customWidth="1"/>
    <col min="8705" max="8705" width="21.28515625" customWidth="1"/>
    <col min="8706" max="8717" width="15.7109375" customWidth="1"/>
    <col min="8718" max="8718" width="16.28515625" bestFit="1" customWidth="1"/>
    <col min="8719" max="8719" width="18" bestFit="1" customWidth="1"/>
    <col min="8720" max="8720" width="17.85546875" customWidth="1"/>
    <col min="8721" max="8723" width="16.28515625" bestFit="1" customWidth="1"/>
    <col min="8724" max="8724" width="15.140625" bestFit="1" customWidth="1"/>
    <col min="8961" max="8961" width="21.28515625" customWidth="1"/>
    <col min="8962" max="8973" width="15.7109375" customWidth="1"/>
    <col min="8974" max="8974" width="16.28515625" bestFit="1" customWidth="1"/>
    <col min="8975" max="8975" width="18" bestFit="1" customWidth="1"/>
    <col min="8976" max="8976" width="17.85546875" customWidth="1"/>
    <col min="8977" max="8979" width="16.28515625" bestFit="1" customWidth="1"/>
    <col min="8980" max="8980" width="15.140625" bestFit="1" customWidth="1"/>
    <col min="9217" max="9217" width="21.28515625" customWidth="1"/>
    <col min="9218" max="9229" width="15.7109375" customWidth="1"/>
    <col min="9230" max="9230" width="16.28515625" bestFit="1" customWidth="1"/>
    <col min="9231" max="9231" width="18" bestFit="1" customWidth="1"/>
    <col min="9232" max="9232" width="17.85546875" customWidth="1"/>
    <col min="9233" max="9235" width="16.28515625" bestFit="1" customWidth="1"/>
    <col min="9236" max="9236" width="15.140625" bestFit="1" customWidth="1"/>
    <col min="9473" max="9473" width="21.28515625" customWidth="1"/>
    <col min="9474" max="9485" width="15.7109375" customWidth="1"/>
    <col min="9486" max="9486" width="16.28515625" bestFit="1" customWidth="1"/>
    <col min="9487" max="9487" width="18" bestFit="1" customWidth="1"/>
    <col min="9488" max="9488" width="17.85546875" customWidth="1"/>
    <col min="9489" max="9491" width="16.28515625" bestFit="1" customWidth="1"/>
    <col min="9492" max="9492" width="15.140625" bestFit="1" customWidth="1"/>
    <col min="9729" max="9729" width="21.28515625" customWidth="1"/>
    <col min="9730" max="9741" width="15.7109375" customWidth="1"/>
    <col min="9742" max="9742" width="16.28515625" bestFit="1" customWidth="1"/>
    <col min="9743" max="9743" width="18" bestFit="1" customWidth="1"/>
    <col min="9744" max="9744" width="17.85546875" customWidth="1"/>
    <col min="9745" max="9747" width="16.28515625" bestFit="1" customWidth="1"/>
    <col min="9748" max="9748" width="15.140625" bestFit="1" customWidth="1"/>
    <col min="9985" max="9985" width="21.28515625" customWidth="1"/>
    <col min="9986" max="9997" width="15.7109375" customWidth="1"/>
    <col min="9998" max="9998" width="16.28515625" bestFit="1" customWidth="1"/>
    <col min="9999" max="9999" width="18" bestFit="1" customWidth="1"/>
    <col min="10000" max="10000" width="17.85546875" customWidth="1"/>
    <col min="10001" max="10003" width="16.28515625" bestFit="1" customWidth="1"/>
    <col min="10004" max="10004" width="15.140625" bestFit="1" customWidth="1"/>
    <col min="10241" max="10241" width="21.28515625" customWidth="1"/>
    <col min="10242" max="10253" width="15.7109375" customWidth="1"/>
    <col min="10254" max="10254" width="16.28515625" bestFit="1" customWidth="1"/>
    <col min="10255" max="10255" width="18" bestFit="1" customWidth="1"/>
    <col min="10256" max="10256" width="17.85546875" customWidth="1"/>
    <col min="10257" max="10259" width="16.28515625" bestFit="1" customWidth="1"/>
    <col min="10260" max="10260" width="15.140625" bestFit="1" customWidth="1"/>
    <col min="10497" max="10497" width="21.28515625" customWidth="1"/>
    <col min="10498" max="10509" width="15.7109375" customWidth="1"/>
    <col min="10510" max="10510" width="16.28515625" bestFit="1" customWidth="1"/>
    <col min="10511" max="10511" width="18" bestFit="1" customWidth="1"/>
    <col min="10512" max="10512" width="17.85546875" customWidth="1"/>
    <col min="10513" max="10515" width="16.28515625" bestFit="1" customWidth="1"/>
    <col min="10516" max="10516" width="15.140625" bestFit="1" customWidth="1"/>
    <col min="10753" max="10753" width="21.28515625" customWidth="1"/>
    <col min="10754" max="10765" width="15.7109375" customWidth="1"/>
    <col min="10766" max="10766" width="16.28515625" bestFit="1" customWidth="1"/>
    <col min="10767" max="10767" width="18" bestFit="1" customWidth="1"/>
    <col min="10768" max="10768" width="17.85546875" customWidth="1"/>
    <col min="10769" max="10771" width="16.28515625" bestFit="1" customWidth="1"/>
    <col min="10772" max="10772" width="15.140625" bestFit="1" customWidth="1"/>
    <col min="11009" max="11009" width="21.28515625" customWidth="1"/>
    <col min="11010" max="11021" width="15.7109375" customWidth="1"/>
    <col min="11022" max="11022" width="16.28515625" bestFit="1" customWidth="1"/>
    <col min="11023" max="11023" width="18" bestFit="1" customWidth="1"/>
    <col min="11024" max="11024" width="17.85546875" customWidth="1"/>
    <col min="11025" max="11027" width="16.28515625" bestFit="1" customWidth="1"/>
    <col min="11028" max="11028" width="15.140625" bestFit="1" customWidth="1"/>
    <col min="11265" max="11265" width="21.28515625" customWidth="1"/>
    <col min="11266" max="11277" width="15.7109375" customWidth="1"/>
    <col min="11278" max="11278" width="16.28515625" bestFit="1" customWidth="1"/>
    <col min="11279" max="11279" width="18" bestFit="1" customWidth="1"/>
    <col min="11280" max="11280" width="17.85546875" customWidth="1"/>
    <col min="11281" max="11283" width="16.28515625" bestFit="1" customWidth="1"/>
    <col min="11284" max="11284" width="15.140625" bestFit="1" customWidth="1"/>
    <col min="11521" max="11521" width="21.28515625" customWidth="1"/>
    <col min="11522" max="11533" width="15.7109375" customWidth="1"/>
    <col min="11534" max="11534" width="16.28515625" bestFit="1" customWidth="1"/>
    <col min="11535" max="11535" width="18" bestFit="1" customWidth="1"/>
    <col min="11536" max="11536" width="17.85546875" customWidth="1"/>
    <col min="11537" max="11539" width="16.28515625" bestFit="1" customWidth="1"/>
    <col min="11540" max="11540" width="15.140625" bestFit="1" customWidth="1"/>
    <col min="11777" max="11777" width="21.28515625" customWidth="1"/>
    <col min="11778" max="11789" width="15.7109375" customWidth="1"/>
    <col min="11790" max="11790" width="16.28515625" bestFit="1" customWidth="1"/>
    <col min="11791" max="11791" width="18" bestFit="1" customWidth="1"/>
    <col min="11792" max="11792" width="17.85546875" customWidth="1"/>
    <col min="11793" max="11795" width="16.28515625" bestFit="1" customWidth="1"/>
    <col min="11796" max="11796" width="15.140625" bestFit="1" customWidth="1"/>
    <col min="12033" max="12033" width="21.28515625" customWidth="1"/>
    <col min="12034" max="12045" width="15.7109375" customWidth="1"/>
    <col min="12046" max="12046" width="16.28515625" bestFit="1" customWidth="1"/>
    <col min="12047" max="12047" width="18" bestFit="1" customWidth="1"/>
    <col min="12048" max="12048" width="17.85546875" customWidth="1"/>
    <col min="12049" max="12051" width="16.28515625" bestFit="1" customWidth="1"/>
    <col min="12052" max="12052" width="15.140625" bestFit="1" customWidth="1"/>
    <col min="12289" max="12289" width="21.28515625" customWidth="1"/>
    <col min="12290" max="12301" width="15.7109375" customWidth="1"/>
    <col min="12302" max="12302" width="16.28515625" bestFit="1" customWidth="1"/>
    <col min="12303" max="12303" width="18" bestFit="1" customWidth="1"/>
    <col min="12304" max="12304" width="17.85546875" customWidth="1"/>
    <col min="12305" max="12307" width="16.28515625" bestFit="1" customWidth="1"/>
    <col min="12308" max="12308" width="15.140625" bestFit="1" customWidth="1"/>
    <col min="12545" max="12545" width="21.28515625" customWidth="1"/>
    <col min="12546" max="12557" width="15.7109375" customWidth="1"/>
    <col min="12558" max="12558" width="16.28515625" bestFit="1" customWidth="1"/>
    <col min="12559" max="12559" width="18" bestFit="1" customWidth="1"/>
    <col min="12560" max="12560" width="17.85546875" customWidth="1"/>
    <col min="12561" max="12563" width="16.28515625" bestFit="1" customWidth="1"/>
    <col min="12564" max="12564" width="15.140625" bestFit="1" customWidth="1"/>
    <col min="12801" max="12801" width="21.28515625" customWidth="1"/>
    <col min="12802" max="12813" width="15.7109375" customWidth="1"/>
    <col min="12814" max="12814" width="16.28515625" bestFit="1" customWidth="1"/>
    <col min="12815" max="12815" width="18" bestFit="1" customWidth="1"/>
    <col min="12816" max="12816" width="17.85546875" customWidth="1"/>
    <col min="12817" max="12819" width="16.28515625" bestFit="1" customWidth="1"/>
    <col min="12820" max="12820" width="15.140625" bestFit="1" customWidth="1"/>
    <col min="13057" max="13057" width="21.28515625" customWidth="1"/>
    <col min="13058" max="13069" width="15.7109375" customWidth="1"/>
    <col min="13070" max="13070" width="16.28515625" bestFit="1" customWidth="1"/>
    <col min="13071" max="13071" width="18" bestFit="1" customWidth="1"/>
    <col min="13072" max="13072" width="17.85546875" customWidth="1"/>
    <col min="13073" max="13075" width="16.28515625" bestFit="1" customWidth="1"/>
    <col min="13076" max="13076" width="15.140625" bestFit="1" customWidth="1"/>
    <col min="13313" max="13313" width="21.28515625" customWidth="1"/>
    <col min="13314" max="13325" width="15.7109375" customWidth="1"/>
    <col min="13326" max="13326" width="16.28515625" bestFit="1" customWidth="1"/>
    <col min="13327" max="13327" width="18" bestFit="1" customWidth="1"/>
    <col min="13328" max="13328" width="17.85546875" customWidth="1"/>
    <col min="13329" max="13331" width="16.28515625" bestFit="1" customWidth="1"/>
    <col min="13332" max="13332" width="15.140625" bestFit="1" customWidth="1"/>
    <col min="13569" max="13569" width="21.28515625" customWidth="1"/>
    <col min="13570" max="13581" width="15.7109375" customWidth="1"/>
    <col min="13582" max="13582" width="16.28515625" bestFit="1" customWidth="1"/>
    <col min="13583" max="13583" width="18" bestFit="1" customWidth="1"/>
    <col min="13584" max="13584" width="17.85546875" customWidth="1"/>
    <col min="13585" max="13587" width="16.28515625" bestFit="1" customWidth="1"/>
    <col min="13588" max="13588" width="15.140625" bestFit="1" customWidth="1"/>
    <col min="13825" max="13825" width="21.28515625" customWidth="1"/>
    <col min="13826" max="13837" width="15.7109375" customWidth="1"/>
    <col min="13838" max="13838" width="16.28515625" bestFit="1" customWidth="1"/>
    <col min="13839" max="13839" width="18" bestFit="1" customWidth="1"/>
    <col min="13840" max="13840" width="17.85546875" customWidth="1"/>
    <col min="13841" max="13843" width="16.28515625" bestFit="1" customWidth="1"/>
    <col min="13844" max="13844" width="15.140625" bestFit="1" customWidth="1"/>
    <col min="14081" max="14081" width="21.28515625" customWidth="1"/>
    <col min="14082" max="14093" width="15.7109375" customWidth="1"/>
    <col min="14094" max="14094" width="16.28515625" bestFit="1" customWidth="1"/>
    <col min="14095" max="14095" width="18" bestFit="1" customWidth="1"/>
    <col min="14096" max="14096" width="17.85546875" customWidth="1"/>
    <col min="14097" max="14099" width="16.28515625" bestFit="1" customWidth="1"/>
    <col min="14100" max="14100" width="15.140625" bestFit="1" customWidth="1"/>
    <col min="14337" max="14337" width="21.28515625" customWidth="1"/>
    <col min="14338" max="14349" width="15.7109375" customWidth="1"/>
    <col min="14350" max="14350" width="16.28515625" bestFit="1" customWidth="1"/>
    <col min="14351" max="14351" width="18" bestFit="1" customWidth="1"/>
    <col min="14352" max="14352" width="17.85546875" customWidth="1"/>
    <col min="14353" max="14355" width="16.28515625" bestFit="1" customWidth="1"/>
    <col min="14356" max="14356" width="15.140625" bestFit="1" customWidth="1"/>
    <col min="14593" max="14593" width="21.28515625" customWidth="1"/>
    <col min="14594" max="14605" width="15.7109375" customWidth="1"/>
    <col min="14606" max="14606" width="16.28515625" bestFit="1" customWidth="1"/>
    <col min="14607" max="14607" width="18" bestFit="1" customWidth="1"/>
    <col min="14608" max="14608" width="17.85546875" customWidth="1"/>
    <col min="14609" max="14611" width="16.28515625" bestFit="1" customWidth="1"/>
    <col min="14612" max="14612" width="15.140625" bestFit="1" customWidth="1"/>
    <col min="14849" max="14849" width="21.28515625" customWidth="1"/>
    <col min="14850" max="14861" width="15.7109375" customWidth="1"/>
    <col min="14862" max="14862" width="16.28515625" bestFit="1" customWidth="1"/>
    <col min="14863" max="14863" width="18" bestFit="1" customWidth="1"/>
    <col min="14864" max="14864" width="17.85546875" customWidth="1"/>
    <col min="14865" max="14867" width="16.28515625" bestFit="1" customWidth="1"/>
    <col min="14868" max="14868" width="15.140625" bestFit="1" customWidth="1"/>
    <col min="15105" max="15105" width="21.28515625" customWidth="1"/>
    <col min="15106" max="15117" width="15.7109375" customWidth="1"/>
    <col min="15118" max="15118" width="16.28515625" bestFit="1" customWidth="1"/>
    <col min="15119" max="15119" width="18" bestFit="1" customWidth="1"/>
    <col min="15120" max="15120" width="17.85546875" customWidth="1"/>
    <col min="15121" max="15123" width="16.28515625" bestFit="1" customWidth="1"/>
    <col min="15124" max="15124" width="15.140625" bestFit="1" customWidth="1"/>
    <col min="15361" max="15361" width="21.28515625" customWidth="1"/>
    <col min="15362" max="15373" width="15.7109375" customWidth="1"/>
    <col min="15374" max="15374" width="16.28515625" bestFit="1" customWidth="1"/>
    <col min="15375" max="15375" width="18" bestFit="1" customWidth="1"/>
    <col min="15376" max="15376" width="17.85546875" customWidth="1"/>
    <col min="15377" max="15379" width="16.28515625" bestFit="1" customWidth="1"/>
    <col min="15380" max="15380" width="15.140625" bestFit="1" customWidth="1"/>
    <col min="15617" max="15617" width="21.28515625" customWidth="1"/>
    <col min="15618" max="15629" width="15.7109375" customWidth="1"/>
    <col min="15630" max="15630" width="16.28515625" bestFit="1" customWidth="1"/>
    <col min="15631" max="15631" width="18" bestFit="1" customWidth="1"/>
    <col min="15632" max="15632" width="17.85546875" customWidth="1"/>
    <col min="15633" max="15635" width="16.28515625" bestFit="1" customWidth="1"/>
    <col min="15636" max="15636" width="15.140625" bestFit="1" customWidth="1"/>
    <col min="15873" max="15873" width="21.28515625" customWidth="1"/>
    <col min="15874" max="15885" width="15.7109375" customWidth="1"/>
    <col min="15886" max="15886" width="16.28515625" bestFit="1" customWidth="1"/>
    <col min="15887" max="15887" width="18" bestFit="1" customWidth="1"/>
    <col min="15888" max="15888" width="17.85546875" customWidth="1"/>
    <col min="15889" max="15891" width="16.28515625" bestFit="1" customWidth="1"/>
    <col min="15892" max="15892" width="15.140625" bestFit="1" customWidth="1"/>
    <col min="16129" max="16129" width="21.28515625" customWidth="1"/>
    <col min="16130" max="16141" width="15.7109375" customWidth="1"/>
    <col min="16142" max="16142" width="16.28515625" bestFit="1" customWidth="1"/>
    <col min="16143" max="16143" width="18" bestFit="1" customWidth="1"/>
    <col min="16144" max="16144" width="17.85546875" customWidth="1"/>
    <col min="16145" max="16147" width="16.28515625" bestFit="1" customWidth="1"/>
    <col min="16148" max="16148" width="15.140625" bestFit="1" customWidth="1"/>
  </cols>
  <sheetData>
    <row r="1" spans="1:28" ht="18">
      <c r="A1" s="279"/>
      <c r="B1" s="506"/>
      <c r="C1" s="506"/>
      <c r="D1" s="506"/>
      <c r="E1" s="506"/>
      <c r="F1" s="506"/>
      <c r="G1" s="506"/>
      <c r="H1" s="506"/>
      <c r="I1" s="506"/>
      <c r="J1" s="506"/>
      <c r="K1" s="506"/>
      <c r="L1" s="506"/>
      <c r="M1" s="506"/>
      <c r="N1" s="278"/>
      <c r="O1" s="520" t="s">
        <v>615</v>
      </c>
      <c r="P1" s="520"/>
      <c r="Q1" s="520"/>
      <c r="R1" s="520"/>
      <c r="S1" s="520"/>
      <c r="T1" s="379"/>
      <c r="U1" s="379"/>
      <c r="V1" s="379"/>
      <c r="W1" s="379"/>
      <c r="X1" s="379"/>
      <c r="Y1" s="379"/>
      <c r="Z1" s="379"/>
      <c r="AA1" s="379"/>
      <c r="AB1" s="379"/>
    </row>
    <row r="2" spans="1:28" ht="18">
      <c r="A2" s="505"/>
      <c r="B2" s="506"/>
      <c r="C2" s="506"/>
      <c r="D2" s="506"/>
      <c r="E2" s="506"/>
      <c r="F2" s="506"/>
      <c r="G2" s="506"/>
      <c r="H2" s="506"/>
      <c r="I2" s="506"/>
      <c r="J2" s="506"/>
      <c r="K2" s="506"/>
      <c r="L2" s="506"/>
      <c r="M2" s="506"/>
      <c r="N2" s="278"/>
      <c r="O2" s="520" t="s">
        <v>740</v>
      </c>
      <c r="P2" s="520"/>
      <c r="Q2" s="520"/>
      <c r="R2" s="520"/>
      <c r="S2" s="520"/>
      <c r="T2" s="379"/>
      <c r="U2" s="379"/>
      <c r="V2" s="379"/>
      <c r="W2" s="379"/>
      <c r="X2" s="379"/>
      <c r="Y2" s="379"/>
      <c r="Z2" s="379"/>
      <c r="AA2" s="379"/>
      <c r="AB2" s="379"/>
    </row>
    <row r="3" spans="1:28">
      <c r="B3" s="279"/>
      <c r="C3" s="279"/>
      <c r="D3" s="279"/>
      <c r="E3" s="279"/>
      <c r="F3" s="279"/>
      <c r="G3" s="279"/>
      <c r="H3" s="279"/>
      <c r="I3" s="279"/>
      <c r="J3" s="279"/>
      <c r="K3" s="279"/>
      <c r="L3" s="279"/>
      <c r="M3" s="279"/>
      <c r="N3" s="278"/>
      <c r="O3" s="516"/>
      <c r="P3" s="516"/>
      <c r="Q3" s="516"/>
      <c r="R3" s="516"/>
      <c r="S3" s="516"/>
      <c r="T3" s="279"/>
      <c r="U3" s="279"/>
      <c r="V3" s="279"/>
      <c r="W3" s="279"/>
      <c r="X3" s="279"/>
      <c r="Y3" s="279"/>
      <c r="Z3" s="279"/>
      <c r="AA3" s="279"/>
      <c r="AB3" s="279"/>
    </row>
    <row r="4" spans="1:28" ht="18">
      <c r="A4" s="518" t="s">
        <v>616</v>
      </c>
      <c r="B4" s="519"/>
      <c r="C4" s="519"/>
      <c r="D4" s="519"/>
      <c r="E4" s="519"/>
      <c r="F4" s="519"/>
      <c r="G4" s="519"/>
      <c r="H4" s="519"/>
      <c r="I4" s="519"/>
      <c r="J4" s="519"/>
      <c r="K4" s="519"/>
      <c r="L4" s="519"/>
      <c r="M4" s="519"/>
      <c r="N4" s="278"/>
      <c r="O4" s="520" t="s">
        <v>616</v>
      </c>
      <c r="P4" s="520"/>
      <c r="Q4" s="520"/>
      <c r="R4" s="520"/>
      <c r="S4" s="520"/>
      <c r="T4" s="379"/>
      <c r="U4" s="379"/>
      <c r="V4" s="379"/>
      <c r="W4" s="379"/>
      <c r="X4" s="379"/>
      <c r="Y4" s="379"/>
      <c r="Z4" s="379"/>
      <c r="AA4" s="379"/>
      <c r="AB4" s="379"/>
    </row>
    <row r="5" spans="1:28" ht="15.75">
      <c r="A5" s="532" t="s">
        <v>850</v>
      </c>
      <c r="B5" s="279"/>
      <c r="C5" s="279"/>
      <c r="D5" s="279"/>
      <c r="E5" s="279"/>
      <c r="F5" s="279"/>
      <c r="G5" s="279"/>
      <c r="H5" s="279"/>
      <c r="I5" s="279"/>
      <c r="J5" s="279"/>
      <c r="K5" s="279"/>
      <c r="L5" s="279"/>
      <c r="M5" s="279"/>
      <c r="N5" s="278"/>
      <c r="O5" s="516"/>
      <c r="P5" s="516"/>
      <c r="Q5" s="516"/>
      <c r="R5" s="516"/>
      <c r="S5" s="516"/>
    </row>
    <row r="6" spans="1:28">
      <c r="A6" s="280" t="s">
        <v>617</v>
      </c>
      <c r="B6" s="281">
        <v>2019</v>
      </c>
      <c r="C6" s="282">
        <v>2020</v>
      </c>
      <c r="D6" s="282"/>
      <c r="E6" s="282"/>
      <c r="F6" s="282"/>
      <c r="G6" s="282"/>
      <c r="H6" s="282"/>
      <c r="I6" s="282"/>
      <c r="J6" s="282"/>
      <c r="K6" s="282"/>
      <c r="L6" s="282"/>
      <c r="M6" s="282"/>
      <c r="N6" s="283"/>
      <c r="O6" s="284"/>
      <c r="P6" s="278"/>
      <c r="Q6" s="278"/>
    </row>
    <row r="7" spans="1:28">
      <c r="A7" s="285" t="s">
        <v>618</v>
      </c>
      <c r="B7" s="286">
        <v>12</v>
      </c>
      <c r="C7" s="286">
        <v>1</v>
      </c>
      <c r="D7" s="286">
        <v>2</v>
      </c>
      <c r="E7" s="286">
        <v>3</v>
      </c>
      <c r="F7" s="286">
        <v>4</v>
      </c>
      <c r="G7" s="286">
        <v>5</v>
      </c>
      <c r="H7" s="286">
        <v>6</v>
      </c>
      <c r="I7" s="286">
        <v>7</v>
      </c>
      <c r="J7" s="286">
        <v>8</v>
      </c>
      <c r="K7" s="286">
        <v>9</v>
      </c>
      <c r="L7" s="286">
        <v>10</v>
      </c>
      <c r="M7" s="286">
        <v>11</v>
      </c>
      <c r="N7" s="287" t="s">
        <v>619</v>
      </c>
      <c r="O7" s="284"/>
      <c r="P7" s="278"/>
      <c r="Q7" s="278"/>
    </row>
    <row r="8" spans="1:28" s="292" customFormat="1" ht="12.75">
      <c r="A8" s="288" t="s">
        <v>620</v>
      </c>
      <c r="B8" s="289">
        <v>43800</v>
      </c>
      <c r="C8" s="289">
        <v>43831</v>
      </c>
      <c r="D8" s="289">
        <v>43862</v>
      </c>
      <c r="E8" s="289">
        <v>43891</v>
      </c>
      <c r="F8" s="289">
        <v>43922</v>
      </c>
      <c r="G8" s="289">
        <v>43952</v>
      </c>
      <c r="H8" s="289">
        <v>43983</v>
      </c>
      <c r="I8" s="289">
        <v>44013</v>
      </c>
      <c r="J8" s="289">
        <v>44044</v>
      </c>
      <c r="K8" s="289">
        <v>44075</v>
      </c>
      <c r="L8" s="289">
        <v>44105</v>
      </c>
      <c r="M8" s="289">
        <v>44136</v>
      </c>
      <c r="N8" s="290" t="s">
        <v>621</v>
      </c>
      <c r="O8" s="291"/>
    </row>
    <row r="9" spans="1:28">
      <c r="A9" s="467" t="s">
        <v>622</v>
      </c>
      <c r="B9" s="468">
        <v>1401.93</v>
      </c>
      <c r="C9" s="468">
        <v>1538.06</v>
      </c>
      <c r="D9" s="468">
        <v>1296.1500000000001</v>
      </c>
      <c r="E9" s="468">
        <v>1538.76</v>
      </c>
      <c r="F9" s="468">
        <v>1223.4153423348071</v>
      </c>
      <c r="G9" s="468">
        <v>1357.5805950531724</v>
      </c>
      <c r="H9" s="468">
        <v>1609.6</v>
      </c>
      <c r="I9" s="468">
        <v>1529.91</v>
      </c>
      <c r="J9" s="468">
        <v>1521.28</v>
      </c>
      <c r="K9" s="468">
        <v>1621.18</v>
      </c>
      <c r="L9" s="468">
        <v>1566.0914087704625</v>
      </c>
      <c r="M9" s="468">
        <v>1481.44</v>
      </c>
      <c r="N9" s="371">
        <f>SUM(B9:M9)</f>
        <v>17685.397346158443</v>
      </c>
    </row>
    <row r="10" spans="1:28" s="298" customFormat="1" ht="12.75">
      <c r="A10" s="469" t="s">
        <v>624</v>
      </c>
      <c r="B10" s="470">
        <v>164.34</v>
      </c>
      <c r="C10" s="471">
        <f>+B10</f>
        <v>164.34</v>
      </c>
      <c r="D10" s="471">
        <f>+C10</f>
        <v>164.34</v>
      </c>
      <c r="E10" s="470">
        <v>167.38</v>
      </c>
      <c r="F10" s="471">
        <f t="shared" ref="F10:M10" si="0">+E10</f>
        <v>167.38</v>
      </c>
      <c r="G10" s="471">
        <f t="shared" si="0"/>
        <v>167.38</v>
      </c>
      <c r="H10" s="471">
        <f t="shared" si="0"/>
        <v>167.38</v>
      </c>
      <c r="I10" s="471">
        <f t="shared" si="0"/>
        <v>167.38</v>
      </c>
      <c r="J10" s="471">
        <f t="shared" si="0"/>
        <v>167.38</v>
      </c>
      <c r="K10" s="471">
        <f t="shared" si="0"/>
        <v>167.38</v>
      </c>
      <c r="L10" s="471">
        <f t="shared" si="0"/>
        <v>167.38</v>
      </c>
      <c r="M10" s="471">
        <f t="shared" si="0"/>
        <v>167.38</v>
      </c>
      <c r="N10" s="283"/>
    </row>
    <row r="11" spans="1:28" s="298" customFormat="1">
      <c r="A11" s="296" t="s">
        <v>626</v>
      </c>
      <c r="B11" s="117">
        <f>ROUND(B9*B10,2)</f>
        <v>230393.18</v>
      </c>
      <c r="C11" s="117">
        <f t="shared" ref="C11:M11" si="1">ROUND(C9*C10,2)</f>
        <v>252764.78</v>
      </c>
      <c r="D11" s="117">
        <f t="shared" si="1"/>
        <v>213009.29</v>
      </c>
      <c r="E11" s="368">
        <f t="shared" si="1"/>
        <v>257557.65</v>
      </c>
      <c r="F11" s="368">
        <f t="shared" si="1"/>
        <v>204775.26</v>
      </c>
      <c r="G11" s="368">
        <f t="shared" si="1"/>
        <v>227231.84</v>
      </c>
      <c r="H11" s="368">
        <f t="shared" si="1"/>
        <v>269414.84999999998</v>
      </c>
      <c r="I11" s="368">
        <f t="shared" si="1"/>
        <v>256076.34</v>
      </c>
      <c r="J11" s="368">
        <f t="shared" si="1"/>
        <v>254631.85</v>
      </c>
      <c r="K11" s="117">
        <f t="shared" si="1"/>
        <v>271353.11</v>
      </c>
      <c r="L11" s="117">
        <f t="shared" si="1"/>
        <v>262132.38</v>
      </c>
      <c r="M11" s="117">
        <f t="shared" si="1"/>
        <v>247963.43</v>
      </c>
      <c r="N11" s="366">
        <f>SUM(B11:M11)</f>
        <v>2947303.96</v>
      </c>
    </row>
    <row r="12" spans="1:28">
      <c r="A12" s="285"/>
      <c r="B12" s="117"/>
      <c r="C12" s="117"/>
      <c r="D12" s="117"/>
      <c r="E12" s="368"/>
      <c r="F12" s="368"/>
      <c r="G12" s="368"/>
      <c r="H12" s="368"/>
      <c r="I12" s="368"/>
      <c r="J12" s="368"/>
      <c r="K12" s="117"/>
      <c r="L12" s="117"/>
      <c r="M12" s="117"/>
      <c r="N12" s="367"/>
    </row>
    <row r="13" spans="1:28">
      <c r="A13" s="288" t="s">
        <v>629</v>
      </c>
      <c r="B13" s="364"/>
      <c r="C13" s="364"/>
      <c r="D13" s="364"/>
      <c r="E13" s="365"/>
      <c r="F13" s="365"/>
      <c r="G13" s="365"/>
      <c r="H13" s="365"/>
      <c r="I13" s="365"/>
      <c r="J13" s="365"/>
      <c r="K13" s="364"/>
      <c r="L13" s="364"/>
      <c r="M13" s="364"/>
      <c r="N13" s="367"/>
    </row>
    <row r="14" spans="1:28">
      <c r="A14" s="285" t="s">
        <v>622</v>
      </c>
      <c r="B14" s="468">
        <v>4645.5</v>
      </c>
      <c r="C14" s="468">
        <v>4965.28</v>
      </c>
      <c r="D14" s="468">
        <v>4094.44</v>
      </c>
      <c r="E14" s="468">
        <v>4619.42</v>
      </c>
      <c r="F14" s="468">
        <v>5287.5000000000009</v>
      </c>
      <c r="G14" s="468">
        <v>5355.11</v>
      </c>
      <c r="H14" s="468">
        <v>5368.19</v>
      </c>
      <c r="I14" s="468">
        <v>5697</v>
      </c>
      <c r="J14" s="468">
        <v>4880.84</v>
      </c>
      <c r="K14" s="468">
        <v>5208.3599999999997</v>
      </c>
      <c r="L14" s="468">
        <v>5301.0499999999965</v>
      </c>
      <c r="M14" s="468">
        <v>5011.92</v>
      </c>
      <c r="N14" s="371">
        <f>SUM(B14:M14)</f>
        <v>60434.609999999993</v>
      </c>
    </row>
    <row r="15" spans="1:28" s="298" customFormat="1" ht="12.75">
      <c r="A15" s="296" t="s">
        <v>624</v>
      </c>
      <c r="B15" s="365">
        <f>+B10</f>
        <v>164.34</v>
      </c>
      <c r="C15" s="365">
        <f>+C10</f>
        <v>164.34</v>
      </c>
      <c r="D15" s="365">
        <f t="shared" ref="D15:M15" si="2">+D10</f>
        <v>164.34</v>
      </c>
      <c r="E15" s="365">
        <f t="shared" si="2"/>
        <v>167.38</v>
      </c>
      <c r="F15" s="365">
        <f t="shared" si="2"/>
        <v>167.38</v>
      </c>
      <c r="G15" s="365">
        <f t="shared" si="2"/>
        <v>167.38</v>
      </c>
      <c r="H15" s="365">
        <f t="shared" si="2"/>
        <v>167.38</v>
      </c>
      <c r="I15" s="365">
        <f t="shared" si="2"/>
        <v>167.38</v>
      </c>
      <c r="J15" s="365">
        <f t="shared" si="2"/>
        <v>167.38</v>
      </c>
      <c r="K15" s="365">
        <f t="shared" si="2"/>
        <v>167.38</v>
      </c>
      <c r="L15" s="365">
        <f t="shared" si="2"/>
        <v>167.38</v>
      </c>
      <c r="M15" s="365">
        <f t="shared" si="2"/>
        <v>167.38</v>
      </c>
      <c r="N15" s="367"/>
    </row>
    <row r="16" spans="1:28" s="298" customFormat="1">
      <c r="A16" s="296" t="s">
        <v>626</v>
      </c>
      <c r="B16" s="117">
        <f>ROUND(B14*B15,2)</f>
        <v>763441.47</v>
      </c>
      <c r="C16" s="117">
        <f t="shared" ref="C16:M16" si="3">ROUND(C14*C15,2)</f>
        <v>815994.12</v>
      </c>
      <c r="D16" s="117">
        <f t="shared" si="3"/>
        <v>672880.27</v>
      </c>
      <c r="E16" s="368">
        <f t="shared" si="3"/>
        <v>773198.52</v>
      </c>
      <c r="F16" s="368">
        <f t="shared" si="3"/>
        <v>885021.75</v>
      </c>
      <c r="G16" s="368">
        <f t="shared" si="3"/>
        <v>896338.31</v>
      </c>
      <c r="H16" s="368">
        <f t="shared" si="3"/>
        <v>898527.64</v>
      </c>
      <c r="I16" s="368">
        <f t="shared" si="3"/>
        <v>953563.86</v>
      </c>
      <c r="J16" s="368">
        <f t="shared" si="3"/>
        <v>816955</v>
      </c>
      <c r="K16" s="117">
        <f t="shared" si="3"/>
        <v>871775.3</v>
      </c>
      <c r="L16" s="117">
        <f t="shared" si="3"/>
        <v>887289.75</v>
      </c>
      <c r="M16" s="117">
        <f t="shared" si="3"/>
        <v>838895.17</v>
      </c>
      <c r="N16" s="366">
        <f>SUM(B16:M16)</f>
        <v>10073881.159999998</v>
      </c>
    </row>
    <row r="17" spans="1:19">
      <c r="A17" s="285"/>
      <c r="B17" s="117"/>
      <c r="C17" s="117"/>
      <c r="D17" s="117"/>
      <c r="E17" s="368"/>
      <c r="F17" s="368"/>
      <c r="G17" s="368"/>
      <c r="H17" s="368"/>
      <c r="I17" s="368"/>
      <c r="J17" s="368"/>
      <c r="K17" s="117"/>
      <c r="L17" s="117"/>
      <c r="M17" s="117"/>
      <c r="N17" s="367"/>
    </row>
    <row r="18" spans="1:19">
      <c r="A18" s="288" t="s">
        <v>631</v>
      </c>
      <c r="B18" s="364"/>
      <c r="C18" s="364"/>
      <c r="D18" s="364"/>
      <c r="E18" s="365"/>
      <c r="F18" s="365"/>
      <c r="G18" s="365"/>
      <c r="H18" s="365"/>
      <c r="I18" s="365"/>
      <c r="J18" s="365"/>
      <c r="K18" s="364"/>
      <c r="L18" s="364"/>
      <c r="M18" s="364"/>
      <c r="N18" s="367"/>
    </row>
    <row r="19" spans="1:19">
      <c r="A19" s="285" t="s">
        <v>622</v>
      </c>
      <c r="B19" s="468">
        <v>1795.05</v>
      </c>
      <c r="C19" s="468">
        <v>1919.14</v>
      </c>
      <c r="D19" s="468">
        <v>1694.39</v>
      </c>
      <c r="E19" s="468">
        <v>1729.06</v>
      </c>
      <c r="F19" s="468">
        <v>1613.82</v>
      </c>
      <c r="G19" s="468">
        <v>1695.49</v>
      </c>
      <c r="H19" s="468">
        <v>1888.54</v>
      </c>
      <c r="I19" s="468">
        <v>1880.84</v>
      </c>
      <c r="J19" s="468">
        <v>1756.2</v>
      </c>
      <c r="K19" s="468">
        <v>1816.19</v>
      </c>
      <c r="L19" s="468">
        <v>1881.11</v>
      </c>
      <c r="M19" s="468">
        <v>1801.98</v>
      </c>
      <c r="N19" s="371">
        <f>SUM(B19:M19)</f>
        <v>21471.809999999998</v>
      </c>
    </row>
    <row r="20" spans="1:19" s="298" customFormat="1" ht="12.75">
      <c r="A20" s="296" t="s">
        <v>624</v>
      </c>
      <c r="B20" s="365">
        <f>+B10</f>
        <v>164.34</v>
      </c>
      <c r="C20" s="365">
        <f>+C10</f>
        <v>164.34</v>
      </c>
      <c r="D20" s="365">
        <f t="shared" ref="D20:M20" si="4">+D10</f>
        <v>164.34</v>
      </c>
      <c r="E20" s="365">
        <f t="shared" si="4"/>
        <v>167.38</v>
      </c>
      <c r="F20" s="365">
        <f t="shared" si="4"/>
        <v>167.38</v>
      </c>
      <c r="G20" s="365">
        <f t="shared" si="4"/>
        <v>167.38</v>
      </c>
      <c r="H20" s="365">
        <f t="shared" si="4"/>
        <v>167.38</v>
      </c>
      <c r="I20" s="365">
        <f t="shared" si="4"/>
        <v>167.38</v>
      </c>
      <c r="J20" s="365">
        <f t="shared" si="4"/>
        <v>167.38</v>
      </c>
      <c r="K20" s="365">
        <f t="shared" si="4"/>
        <v>167.38</v>
      </c>
      <c r="L20" s="365">
        <f t="shared" si="4"/>
        <v>167.38</v>
      </c>
      <c r="M20" s="365">
        <f t="shared" si="4"/>
        <v>167.38</v>
      </c>
      <c r="N20" s="367"/>
    </row>
    <row r="21" spans="1:19" s="298" customFormat="1">
      <c r="A21" s="296" t="s">
        <v>626</v>
      </c>
      <c r="B21" s="117">
        <f>ROUND(B19*B20,2)</f>
        <v>294998.52</v>
      </c>
      <c r="C21" s="117">
        <f t="shared" ref="C21:M21" si="5">ROUND(C19*C20,2)</f>
        <v>315391.46999999997</v>
      </c>
      <c r="D21" s="117">
        <f t="shared" si="5"/>
        <v>278456.05</v>
      </c>
      <c r="E21" s="368">
        <f t="shared" si="5"/>
        <v>289410.06</v>
      </c>
      <c r="F21" s="368">
        <f t="shared" si="5"/>
        <v>270121.19</v>
      </c>
      <c r="G21" s="368">
        <f t="shared" si="5"/>
        <v>283791.12</v>
      </c>
      <c r="H21" s="368">
        <f t="shared" si="5"/>
        <v>316103.83</v>
      </c>
      <c r="I21" s="368">
        <f t="shared" si="5"/>
        <v>314815</v>
      </c>
      <c r="J21" s="368">
        <f t="shared" si="5"/>
        <v>293952.76</v>
      </c>
      <c r="K21" s="117">
        <f t="shared" si="5"/>
        <v>303993.88</v>
      </c>
      <c r="L21" s="117">
        <f t="shared" si="5"/>
        <v>314860.19</v>
      </c>
      <c r="M21" s="117">
        <f t="shared" si="5"/>
        <v>301615.40999999997</v>
      </c>
      <c r="N21" s="366">
        <f>SUM(B21:M21)</f>
        <v>3577509.48</v>
      </c>
    </row>
    <row r="22" spans="1:19">
      <c r="A22" s="285"/>
      <c r="B22" s="364"/>
      <c r="C22" s="364"/>
      <c r="D22" s="364"/>
      <c r="E22" s="365"/>
      <c r="F22" s="365"/>
      <c r="G22" s="365"/>
      <c r="H22" s="365"/>
      <c r="I22" s="365"/>
      <c r="J22" s="365"/>
      <c r="K22" s="364"/>
      <c r="L22" s="364"/>
      <c r="M22" s="364"/>
      <c r="N22" s="367"/>
    </row>
    <row r="23" spans="1:19" s="292" customFormat="1" ht="12.75">
      <c r="A23" s="288" t="s">
        <v>632</v>
      </c>
      <c r="B23" s="369">
        <f>B11+B21+B16</f>
        <v>1288833.17</v>
      </c>
      <c r="C23" s="369">
        <f t="shared" ref="C23:L23" si="6">C11+C21+C16</f>
        <v>1384150.37</v>
      </c>
      <c r="D23" s="369">
        <f t="shared" si="6"/>
        <v>1164345.6099999999</v>
      </c>
      <c r="E23" s="369">
        <f t="shared" si="6"/>
        <v>1320166.23</v>
      </c>
      <c r="F23" s="369">
        <f t="shared" si="6"/>
        <v>1359918.2</v>
      </c>
      <c r="G23" s="369">
        <f t="shared" si="6"/>
        <v>1407361.27</v>
      </c>
      <c r="H23" s="369">
        <f t="shared" si="6"/>
        <v>1484046.3199999998</v>
      </c>
      <c r="I23" s="369">
        <f t="shared" si="6"/>
        <v>1524455.2</v>
      </c>
      <c r="J23" s="369">
        <f t="shared" si="6"/>
        <v>1365539.6099999999</v>
      </c>
      <c r="K23" s="369">
        <f t="shared" si="6"/>
        <v>1447122.29</v>
      </c>
      <c r="L23" s="369">
        <f t="shared" si="6"/>
        <v>1464282.32</v>
      </c>
      <c r="M23" s="369">
        <f>M11+M21+M16</f>
        <v>1388474.01</v>
      </c>
      <c r="N23" s="370">
        <f>SUM(C23:M23)</f>
        <v>15309861.429999998</v>
      </c>
    </row>
    <row r="24" spans="1:19">
      <c r="A24" s="280" t="s">
        <v>636</v>
      </c>
      <c r="B24" s="282"/>
      <c r="C24" s="282"/>
      <c r="D24" s="282"/>
      <c r="E24" s="282"/>
      <c r="F24" s="282"/>
      <c r="G24" s="282"/>
      <c r="H24" s="282"/>
      <c r="I24" s="282"/>
      <c r="J24" s="282"/>
      <c r="K24" s="282"/>
      <c r="L24" s="282"/>
      <c r="M24" s="282"/>
      <c r="N24" s="283"/>
    </row>
    <row r="25" spans="1:19">
      <c r="A25" s="285" t="s">
        <v>618</v>
      </c>
      <c r="B25" s="307"/>
      <c r="C25" s="286"/>
      <c r="D25" s="286"/>
      <c r="E25" s="286"/>
      <c r="F25" s="286"/>
      <c r="G25" s="286"/>
      <c r="H25" s="286"/>
      <c r="I25" s="286"/>
      <c r="J25" s="286"/>
      <c r="K25" s="286"/>
      <c r="L25" s="286"/>
      <c r="M25" s="307"/>
      <c r="N25" s="287"/>
    </row>
    <row r="26" spans="1:19" s="292" customFormat="1" ht="12.75">
      <c r="A26" s="288" t="s">
        <v>620</v>
      </c>
      <c r="B26" s="289">
        <f>B8</f>
        <v>43800</v>
      </c>
      <c r="C26" s="289">
        <f>C8</f>
        <v>43831</v>
      </c>
      <c r="D26" s="289">
        <f t="shared" ref="D26:M26" si="7">D8</f>
        <v>43862</v>
      </c>
      <c r="E26" s="289">
        <f t="shared" si="7"/>
        <v>43891</v>
      </c>
      <c r="F26" s="289">
        <f t="shared" si="7"/>
        <v>43922</v>
      </c>
      <c r="G26" s="289">
        <f t="shared" si="7"/>
        <v>43952</v>
      </c>
      <c r="H26" s="289">
        <f t="shared" si="7"/>
        <v>43983</v>
      </c>
      <c r="I26" s="289">
        <f t="shared" si="7"/>
        <v>44013</v>
      </c>
      <c r="J26" s="289">
        <f t="shared" si="7"/>
        <v>44044</v>
      </c>
      <c r="K26" s="289">
        <f t="shared" si="7"/>
        <v>44075</v>
      </c>
      <c r="L26" s="289">
        <f t="shared" si="7"/>
        <v>44105</v>
      </c>
      <c r="M26" s="289">
        <f t="shared" si="7"/>
        <v>44136</v>
      </c>
      <c r="N26" s="290" t="s">
        <v>621</v>
      </c>
    </row>
    <row r="27" spans="1:19">
      <c r="A27" s="285" t="s">
        <v>622</v>
      </c>
      <c r="B27" s="472">
        <v>108.86</v>
      </c>
      <c r="C27" s="472">
        <v>170.66</v>
      </c>
      <c r="D27" s="472">
        <v>137.6</v>
      </c>
      <c r="E27" s="472">
        <v>120.28</v>
      </c>
      <c r="F27" s="472">
        <v>134.45088093966899</v>
      </c>
      <c r="G27" s="472">
        <v>128.66212849261433</v>
      </c>
      <c r="H27" s="472">
        <v>173.47</v>
      </c>
      <c r="I27" s="472">
        <v>173.85</v>
      </c>
      <c r="J27" s="472">
        <v>174.51</v>
      </c>
      <c r="K27" s="472">
        <v>138.79</v>
      </c>
      <c r="L27" s="472">
        <v>191.71</v>
      </c>
      <c r="M27" s="472">
        <v>123.52</v>
      </c>
      <c r="N27" s="366">
        <f>SUM(B27:M27)</f>
        <v>1776.3630094322832</v>
      </c>
      <c r="O27" s="284"/>
      <c r="P27" s="292"/>
      <c r="Q27" s="292"/>
      <c r="R27" s="292"/>
      <c r="S27" s="292"/>
    </row>
    <row r="28" spans="1:19" s="298" customFormat="1">
      <c r="A28" s="296" t="s">
        <v>624</v>
      </c>
      <c r="B28" s="473">
        <v>112.64</v>
      </c>
      <c r="C28" s="474">
        <f>+B28</f>
        <v>112.64</v>
      </c>
      <c r="D28" s="474">
        <f>+C28</f>
        <v>112.64</v>
      </c>
      <c r="E28" s="473">
        <v>112.38</v>
      </c>
      <c r="F28" s="474">
        <f t="shared" ref="F28:M28" si="8">+E28</f>
        <v>112.38</v>
      </c>
      <c r="G28" s="474">
        <f t="shared" si="8"/>
        <v>112.38</v>
      </c>
      <c r="H28" s="474">
        <f t="shared" si="8"/>
        <v>112.38</v>
      </c>
      <c r="I28" s="474">
        <f t="shared" si="8"/>
        <v>112.38</v>
      </c>
      <c r="J28" s="474">
        <f t="shared" si="8"/>
        <v>112.38</v>
      </c>
      <c r="K28" s="474">
        <f t="shared" si="8"/>
        <v>112.38</v>
      </c>
      <c r="L28" s="474">
        <f t="shared" si="8"/>
        <v>112.38</v>
      </c>
      <c r="M28" s="474">
        <f t="shared" si="8"/>
        <v>112.38</v>
      </c>
      <c r="N28" s="297"/>
      <c r="O28" s="284"/>
    </row>
    <row r="29" spans="1:19" s="298" customFormat="1">
      <c r="A29" s="296" t="s">
        <v>626</v>
      </c>
      <c r="B29" s="117">
        <f>ROUND(B27*B28,2)</f>
        <v>12261.99</v>
      </c>
      <c r="C29" s="117">
        <f t="shared" ref="C29:M29" si="9">ROUND(C27*C28,2)</f>
        <v>19223.14</v>
      </c>
      <c r="D29" s="117">
        <f t="shared" si="9"/>
        <v>15499.26</v>
      </c>
      <c r="E29" s="368">
        <f t="shared" si="9"/>
        <v>13517.07</v>
      </c>
      <c r="F29" s="368">
        <f t="shared" si="9"/>
        <v>15109.59</v>
      </c>
      <c r="G29" s="368">
        <f t="shared" si="9"/>
        <v>14459.05</v>
      </c>
      <c r="H29" s="368">
        <f t="shared" si="9"/>
        <v>19494.560000000001</v>
      </c>
      <c r="I29" s="368">
        <f>ROUND(I27*I28,2)</f>
        <v>19537.259999999998</v>
      </c>
      <c r="J29" s="368">
        <f>ROUND(J27*J28,2)</f>
        <v>19611.43</v>
      </c>
      <c r="K29" s="117">
        <f t="shared" si="9"/>
        <v>15597.22</v>
      </c>
      <c r="L29" s="117">
        <f t="shared" si="9"/>
        <v>21544.37</v>
      </c>
      <c r="M29" s="117">
        <f t="shared" si="9"/>
        <v>13881.18</v>
      </c>
      <c r="N29" s="366">
        <f>SUM(B29:M29)</f>
        <v>199736.12</v>
      </c>
      <c r="O29" s="284"/>
    </row>
    <row r="30" spans="1:19">
      <c r="A30" s="285"/>
      <c r="B30" s="302"/>
      <c r="C30" s="303"/>
      <c r="D30" s="303"/>
      <c r="E30" s="304"/>
      <c r="F30" s="304"/>
      <c r="G30" s="304"/>
      <c r="H30" s="304"/>
      <c r="I30" s="304"/>
      <c r="J30" s="304"/>
      <c r="K30" s="303"/>
      <c r="L30" s="303"/>
      <c r="M30" s="303"/>
      <c r="N30" s="305"/>
      <c r="O30" s="284"/>
      <c r="P30" s="278"/>
      <c r="Q30" s="278"/>
      <c r="R30" s="278"/>
      <c r="S30" s="278"/>
    </row>
    <row r="31" spans="1:19">
      <c r="A31" s="288" t="s">
        <v>629</v>
      </c>
      <c r="B31" s="307"/>
      <c r="C31" s="307"/>
      <c r="D31" s="307"/>
      <c r="E31" s="286"/>
      <c r="F31" s="286"/>
      <c r="G31" s="286"/>
      <c r="H31" s="286"/>
      <c r="I31" s="286"/>
      <c r="J31" s="286"/>
      <c r="K31" s="307"/>
      <c r="L31" s="307"/>
      <c r="M31" s="307"/>
      <c r="N31" s="287"/>
      <c r="O31" s="284"/>
      <c r="P31" s="278"/>
      <c r="Q31" s="278"/>
      <c r="R31" s="278"/>
      <c r="S31" s="278"/>
    </row>
    <row r="32" spans="1:19">
      <c r="A32" s="285" t="s">
        <v>622</v>
      </c>
      <c r="B32" s="472">
        <v>482.94</v>
      </c>
      <c r="C32" s="472">
        <v>516.74</v>
      </c>
      <c r="D32" s="472">
        <v>422.96</v>
      </c>
      <c r="E32" s="472">
        <v>436.63</v>
      </c>
      <c r="F32" s="472">
        <v>441.19</v>
      </c>
      <c r="G32" s="472">
        <v>416.69</v>
      </c>
      <c r="H32" s="472">
        <v>408.2</v>
      </c>
      <c r="I32" s="472">
        <v>469.35</v>
      </c>
      <c r="J32" s="472">
        <v>393.68</v>
      </c>
      <c r="K32" s="472">
        <v>447.16</v>
      </c>
      <c r="L32" s="472">
        <v>430.73000000000008</v>
      </c>
      <c r="M32" s="472">
        <v>389.04</v>
      </c>
      <c r="N32" s="295">
        <f>SUM(B32:M32)</f>
        <v>5255.31</v>
      </c>
      <c r="O32" s="284"/>
      <c r="P32" s="278"/>
      <c r="Q32" s="278"/>
      <c r="R32" s="278"/>
      <c r="S32" s="278"/>
    </row>
    <row r="33" spans="1:17" s="298" customFormat="1">
      <c r="A33" s="296" t="s">
        <v>624</v>
      </c>
      <c r="B33" s="308">
        <f>+B28</f>
        <v>112.64</v>
      </c>
      <c r="C33" s="308">
        <f>+C28</f>
        <v>112.64</v>
      </c>
      <c r="D33" s="308">
        <f t="shared" ref="D33:M33" si="10">+D28</f>
        <v>112.64</v>
      </c>
      <c r="E33" s="308">
        <f t="shared" si="10"/>
        <v>112.38</v>
      </c>
      <c r="F33" s="308">
        <f t="shared" si="10"/>
        <v>112.38</v>
      </c>
      <c r="G33" s="308">
        <f t="shared" si="10"/>
        <v>112.38</v>
      </c>
      <c r="H33" s="308">
        <f t="shared" si="10"/>
        <v>112.38</v>
      </c>
      <c r="I33" s="308">
        <f t="shared" si="10"/>
        <v>112.38</v>
      </c>
      <c r="J33" s="308">
        <f t="shared" si="10"/>
        <v>112.38</v>
      </c>
      <c r="K33" s="308">
        <f t="shared" si="10"/>
        <v>112.38</v>
      </c>
      <c r="L33" s="308">
        <f t="shared" si="10"/>
        <v>112.38</v>
      </c>
      <c r="M33" s="308">
        <f t="shared" si="10"/>
        <v>112.38</v>
      </c>
      <c r="N33" s="297"/>
      <c r="O33" s="284"/>
    </row>
    <row r="34" spans="1:17" s="298" customFormat="1">
      <c r="A34" s="296" t="s">
        <v>626</v>
      </c>
      <c r="B34" s="117">
        <f>ROUND(B32*B33,2)</f>
        <v>54398.36</v>
      </c>
      <c r="C34" s="117">
        <f t="shared" ref="C34:M34" si="11">ROUND(C32*C33,2)</f>
        <v>58205.59</v>
      </c>
      <c r="D34" s="117">
        <f t="shared" si="11"/>
        <v>47642.21</v>
      </c>
      <c r="E34" s="368">
        <f t="shared" si="11"/>
        <v>49068.480000000003</v>
      </c>
      <c r="F34" s="368">
        <f t="shared" si="11"/>
        <v>49580.93</v>
      </c>
      <c r="G34" s="368">
        <f t="shared" si="11"/>
        <v>46827.62</v>
      </c>
      <c r="H34" s="368">
        <f t="shared" si="11"/>
        <v>45873.52</v>
      </c>
      <c r="I34" s="368">
        <f t="shared" si="11"/>
        <v>52745.55</v>
      </c>
      <c r="J34" s="368">
        <f t="shared" si="11"/>
        <v>44241.760000000002</v>
      </c>
      <c r="K34" s="117">
        <f t="shared" si="11"/>
        <v>50251.839999999997</v>
      </c>
      <c r="L34" s="117">
        <f t="shared" si="11"/>
        <v>48405.440000000002</v>
      </c>
      <c r="M34" s="117">
        <f t="shared" si="11"/>
        <v>43720.32</v>
      </c>
      <c r="N34" s="366">
        <f>SUM(B34:M34)</f>
        <v>590961.62</v>
      </c>
      <c r="O34" s="284"/>
    </row>
    <row r="35" spans="1:17">
      <c r="A35" s="285"/>
      <c r="B35" s="302"/>
      <c r="C35" s="303"/>
      <c r="D35" s="303"/>
      <c r="E35" s="304"/>
      <c r="F35" s="304"/>
      <c r="G35" s="304"/>
      <c r="H35" s="304"/>
      <c r="I35" s="304"/>
      <c r="J35" s="304"/>
      <c r="K35" s="303"/>
      <c r="L35" s="303"/>
      <c r="M35" s="303"/>
      <c r="N35" s="305"/>
      <c r="O35" s="284"/>
      <c r="P35" s="278"/>
    </row>
    <row r="36" spans="1:17" s="298" customFormat="1">
      <c r="A36" s="288" t="s">
        <v>631</v>
      </c>
      <c r="B36" s="307"/>
      <c r="C36" s="307"/>
      <c r="D36" s="307"/>
      <c r="E36" s="286"/>
      <c r="F36" s="286"/>
      <c r="G36" s="286"/>
      <c r="H36" s="286"/>
      <c r="I36" s="286"/>
      <c r="J36" s="286"/>
      <c r="K36" s="307"/>
      <c r="L36" s="307"/>
      <c r="M36" s="307"/>
      <c r="N36" s="287"/>
      <c r="O36" s="284"/>
    </row>
    <row r="37" spans="1:17" s="298" customFormat="1">
      <c r="A37" s="285" t="s">
        <v>622</v>
      </c>
      <c r="B37" s="472">
        <f>808.749715909091</f>
        <v>808.74971590909104</v>
      </c>
      <c r="C37" s="472">
        <f>1371.23</f>
        <v>1371.23</v>
      </c>
      <c r="D37" s="472">
        <f>661.182631392045</f>
        <v>661.18263139204498</v>
      </c>
      <c r="E37" s="472">
        <f>1030.76245061399</f>
        <v>1030.76245061399</v>
      </c>
      <c r="F37" s="472">
        <f>1033.22</f>
        <v>1033.22</v>
      </c>
      <c r="G37" s="472">
        <f>772.02</f>
        <v>772.02</v>
      </c>
      <c r="H37" s="472">
        <f>1002.35</f>
        <v>1002.35</v>
      </c>
      <c r="I37" s="472">
        <f>706.09</f>
        <v>706.09</v>
      </c>
      <c r="J37" s="472">
        <f>710.47</f>
        <v>710.47</v>
      </c>
      <c r="K37" s="472">
        <f>1107.79</f>
        <v>1107.79</v>
      </c>
      <c r="L37" s="472">
        <f>1090.23022601886</f>
        <v>1090.2302260188601</v>
      </c>
      <c r="M37" s="472">
        <f>903.05</f>
        <v>903.05</v>
      </c>
      <c r="N37" s="295">
        <f>SUM(B37:M37)</f>
        <v>11197.145023933987</v>
      </c>
      <c r="O37" s="284"/>
    </row>
    <row r="38" spans="1:17">
      <c r="A38" s="296" t="s">
        <v>624</v>
      </c>
      <c r="B38" s="308">
        <f t="shared" ref="B38:M38" si="12">+B33</f>
        <v>112.64</v>
      </c>
      <c r="C38" s="308">
        <f t="shared" si="12"/>
        <v>112.64</v>
      </c>
      <c r="D38" s="308">
        <f t="shared" si="12"/>
        <v>112.64</v>
      </c>
      <c r="E38" s="308">
        <f t="shared" si="12"/>
        <v>112.38</v>
      </c>
      <c r="F38" s="308">
        <f t="shared" si="12"/>
        <v>112.38</v>
      </c>
      <c r="G38" s="308">
        <f t="shared" si="12"/>
        <v>112.38</v>
      </c>
      <c r="H38" s="308">
        <f t="shared" si="12"/>
        <v>112.38</v>
      </c>
      <c r="I38" s="308">
        <f t="shared" si="12"/>
        <v>112.38</v>
      </c>
      <c r="J38" s="308">
        <f t="shared" si="12"/>
        <v>112.38</v>
      </c>
      <c r="K38" s="308">
        <f t="shared" si="12"/>
        <v>112.38</v>
      </c>
      <c r="L38" s="308">
        <f t="shared" si="12"/>
        <v>112.38</v>
      </c>
      <c r="M38" s="308">
        <f t="shared" si="12"/>
        <v>112.38</v>
      </c>
      <c r="N38" s="297"/>
      <c r="O38" s="284"/>
      <c r="P38" s="278"/>
    </row>
    <row r="39" spans="1:17" s="292" customFormat="1">
      <c r="A39" s="296" t="s">
        <v>626</v>
      </c>
      <c r="B39" s="117">
        <f>ROUND(B37*B38,2)</f>
        <v>91097.57</v>
      </c>
      <c r="C39" s="117">
        <f t="shared" ref="C39:M39" si="13">ROUND(C37*C38,2)</f>
        <v>154455.35</v>
      </c>
      <c r="D39" s="117">
        <f t="shared" si="13"/>
        <v>74475.61</v>
      </c>
      <c r="E39" s="368">
        <f t="shared" si="13"/>
        <v>115837.08</v>
      </c>
      <c r="F39" s="368">
        <f t="shared" si="13"/>
        <v>116113.26</v>
      </c>
      <c r="G39" s="368">
        <f t="shared" si="13"/>
        <v>86759.61</v>
      </c>
      <c r="H39" s="368">
        <f t="shared" si="13"/>
        <v>112644.09</v>
      </c>
      <c r="I39" s="368">
        <f t="shared" si="13"/>
        <v>79350.39</v>
      </c>
      <c r="J39" s="368">
        <f t="shared" si="13"/>
        <v>79842.62</v>
      </c>
      <c r="K39" s="117">
        <f t="shared" si="13"/>
        <v>124493.44</v>
      </c>
      <c r="L39" s="117">
        <f t="shared" si="13"/>
        <v>122520.07</v>
      </c>
      <c r="M39" s="117">
        <f t="shared" si="13"/>
        <v>101484.76</v>
      </c>
      <c r="N39" s="366">
        <f>SUM(B39:M39)</f>
        <v>1259073.8500000001</v>
      </c>
      <c r="O39" s="291"/>
    </row>
    <row r="40" spans="1:17">
      <c r="A40" s="285"/>
      <c r="B40" s="307"/>
      <c r="C40" s="307"/>
      <c r="D40" s="307"/>
      <c r="E40" s="286"/>
      <c r="F40" s="286"/>
      <c r="G40" s="286"/>
      <c r="H40" s="286"/>
      <c r="I40" s="286"/>
      <c r="J40" s="286"/>
      <c r="K40" s="307"/>
      <c r="L40" s="307"/>
      <c r="M40" s="307"/>
      <c r="N40" s="287"/>
      <c r="O40" s="284"/>
      <c r="P40" s="278"/>
    </row>
    <row r="41" spans="1:17">
      <c r="A41" s="288" t="s">
        <v>632</v>
      </c>
      <c r="B41" s="369">
        <f t="shared" ref="B41:M41" si="14">B29+B39+B34</f>
        <v>157757.92000000001</v>
      </c>
      <c r="C41" s="369">
        <f t="shared" si="14"/>
        <v>231884.08</v>
      </c>
      <c r="D41" s="369">
        <f t="shared" si="14"/>
        <v>137617.07999999999</v>
      </c>
      <c r="E41" s="369">
        <f t="shared" si="14"/>
        <v>178422.63</v>
      </c>
      <c r="F41" s="369">
        <f t="shared" si="14"/>
        <v>180803.78</v>
      </c>
      <c r="G41" s="369">
        <f t="shared" si="14"/>
        <v>148046.28</v>
      </c>
      <c r="H41" s="369">
        <f t="shared" si="14"/>
        <v>178012.16999999998</v>
      </c>
      <c r="I41" s="369">
        <f t="shared" si="14"/>
        <v>151633.20000000001</v>
      </c>
      <c r="J41" s="369">
        <f t="shared" si="14"/>
        <v>143695.81</v>
      </c>
      <c r="K41" s="369">
        <f t="shared" si="14"/>
        <v>190342.5</v>
      </c>
      <c r="L41" s="369">
        <f t="shared" si="14"/>
        <v>192469.88</v>
      </c>
      <c r="M41" s="369">
        <f t="shared" si="14"/>
        <v>159086.26</v>
      </c>
      <c r="N41" s="370">
        <f>SUM(C41:M41)</f>
        <v>1892013.6700000002</v>
      </c>
      <c r="O41" s="284"/>
      <c r="P41" s="278"/>
    </row>
    <row r="42" spans="1:17" s="292" customFormat="1" ht="12.75">
      <c r="A42" s="280" t="s">
        <v>639</v>
      </c>
      <c r="B42" s="282"/>
      <c r="C42" s="282"/>
      <c r="D42" s="282"/>
      <c r="E42" s="282"/>
      <c r="F42" s="282"/>
      <c r="G42" s="282"/>
      <c r="H42" s="282"/>
      <c r="I42" s="282"/>
      <c r="J42" s="282"/>
      <c r="K42" s="282"/>
      <c r="L42" s="282"/>
      <c r="M42" s="282"/>
      <c r="N42" s="283"/>
      <c r="O42" s="291"/>
    </row>
    <row r="43" spans="1:17">
      <c r="A43" s="285" t="s">
        <v>618</v>
      </c>
      <c r="B43" s="307"/>
      <c r="C43" s="286"/>
      <c r="D43" s="286"/>
      <c r="E43" s="286"/>
      <c r="F43" s="286"/>
      <c r="G43" s="286"/>
      <c r="H43" s="286"/>
      <c r="I43" s="286"/>
      <c r="J43" s="286"/>
      <c r="K43" s="286"/>
      <c r="L43" s="286"/>
      <c r="M43" s="307"/>
      <c r="N43" s="287"/>
      <c r="O43" s="284"/>
      <c r="P43" s="278"/>
    </row>
    <row r="44" spans="1:17" s="298" customFormat="1">
      <c r="A44" s="288" t="s">
        <v>620</v>
      </c>
      <c r="B44" s="289">
        <f t="shared" ref="B44:M44" si="15">B8</f>
        <v>43800</v>
      </c>
      <c r="C44" s="289">
        <f t="shared" si="15"/>
        <v>43831</v>
      </c>
      <c r="D44" s="289">
        <f t="shared" si="15"/>
        <v>43862</v>
      </c>
      <c r="E44" s="289">
        <f t="shared" si="15"/>
        <v>43891</v>
      </c>
      <c r="F44" s="289">
        <f t="shared" si="15"/>
        <v>43922</v>
      </c>
      <c r="G44" s="289">
        <f t="shared" si="15"/>
        <v>43952</v>
      </c>
      <c r="H44" s="289">
        <f t="shared" si="15"/>
        <v>43983</v>
      </c>
      <c r="I44" s="289">
        <f t="shared" si="15"/>
        <v>44013</v>
      </c>
      <c r="J44" s="289">
        <f t="shared" si="15"/>
        <v>44044</v>
      </c>
      <c r="K44" s="289">
        <f t="shared" si="15"/>
        <v>44075</v>
      </c>
      <c r="L44" s="289">
        <f t="shared" si="15"/>
        <v>44105</v>
      </c>
      <c r="M44" s="289">
        <f t="shared" si="15"/>
        <v>44136</v>
      </c>
      <c r="N44" s="290" t="s">
        <v>621</v>
      </c>
      <c r="O44" s="284"/>
    </row>
    <row r="45" spans="1:17" s="298" customFormat="1">
      <c r="A45" s="285" t="s">
        <v>622</v>
      </c>
      <c r="B45" s="472">
        <v>1189.0800000000002</v>
      </c>
      <c r="C45" s="472">
        <v>1387.1799999999998</v>
      </c>
      <c r="D45" s="472">
        <v>1245.0099999999998</v>
      </c>
      <c r="E45" s="472">
        <v>1219.28</v>
      </c>
      <c r="F45" s="472">
        <v>1082.6599999999999</v>
      </c>
      <c r="G45" s="472">
        <v>1106.2794049468278</v>
      </c>
      <c r="H45" s="472">
        <v>1172.8500000000017</v>
      </c>
      <c r="I45" s="472">
        <v>1192.49</v>
      </c>
      <c r="J45" s="472">
        <v>1038.97</v>
      </c>
      <c r="K45" s="472">
        <v>1157.22</v>
      </c>
      <c r="L45" s="475">
        <v>1262.5485912295374</v>
      </c>
      <c r="M45" s="472">
        <v>1043.23</v>
      </c>
      <c r="N45" s="295">
        <f>SUM(B45:M45)</f>
        <v>14096.797996176365</v>
      </c>
      <c r="O45" s="284"/>
    </row>
    <row r="46" spans="1:17">
      <c r="A46" s="296" t="s">
        <v>624</v>
      </c>
      <c r="B46" s="308">
        <f t="shared" ref="B46:M46" si="16">+B10</f>
        <v>164.34</v>
      </c>
      <c r="C46" s="308">
        <f t="shared" si="16"/>
        <v>164.34</v>
      </c>
      <c r="D46" s="308">
        <f t="shared" si="16"/>
        <v>164.34</v>
      </c>
      <c r="E46" s="308">
        <f t="shared" si="16"/>
        <v>167.38</v>
      </c>
      <c r="F46" s="308">
        <f t="shared" si="16"/>
        <v>167.38</v>
      </c>
      <c r="G46" s="308">
        <f t="shared" si="16"/>
        <v>167.38</v>
      </c>
      <c r="H46" s="308">
        <f t="shared" si="16"/>
        <v>167.38</v>
      </c>
      <c r="I46" s="308">
        <f t="shared" si="16"/>
        <v>167.38</v>
      </c>
      <c r="J46" s="308">
        <f t="shared" si="16"/>
        <v>167.38</v>
      </c>
      <c r="K46" s="308">
        <f t="shared" si="16"/>
        <v>167.38</v>
      </c>
      <c r="L46" s="308">
        <f t="shared" si="16"/>
        <v>167.38</v>
      </c>
      <c r="M46" s="308">
        <f t="shared" si="16"/>
        <v>167.38</v>
      </c>
      <c r="N46" s="297"/>
      <c r="O46" s="284"/>
      <c r="P46" s="278"/>
    </row>
    <row r="47" spans="1:17">
      <c r="A47" s="296" t="s">
        <v>626</v>
      </c>
      <c r="B47" s="368">
        <f t="shared" ref="B47:M47" si="17">ROUND(B45*B46,2)</f>
        <v>195413.41</v>
      </c>
      <c r="C47" s="368">
        <f t="shared" si="17"/>
        <v>227969.16</v>
      </c>
      <c r="D47" s="368">
        <f t="shared" si="17"/>
        <v>204604.94</v>
      </c>
      <c r="E47" s="368">
        <f t="shared" si="17"/>
        <v>204083.09</v>
      </c>
      <c r="F47" s="368">
        <f t="shared" si="17"/>
        <v>181215.63</v>
      </c>
      <c r="G47" s="368">
        <f t="shared" si="17"/>
        <v>185169.05</v>
      </c>
      <c r="H47" s="368">
        <f t="shared" si="17"/>
        <v>196311.63</v>
      </c>
      <c r="I47" s="368">
        <f t="shared" si="17"/>
        <v>199598.98</v>
      </c>
      <c r="J47" s="368">
        <f t="shared" si="17"/>
        <v>173902.8</v>
      </c>
      <c r="K47" s="368">
        <f t="shared" si="17"/>
        <v>193695.48</v>
      </c>
      <c r="L47" s="368">
        <f t="shared" si="17"/>
        <v>211325.38</v>
      </c>
      <c r="M47" s="368">
        <f t="shared" si="17"/>
        <v>174615.84</v>
      </c>
      <c r="N47" s="366">
        <f>SUM(B47:M47)</f>
        <v>2347905.39</v>
      </c>
      <c r="O47" s="284"/>
      <c r="P47" s="309"/>
      <c r="Q47" s="278"/>
    </row>
    <row r="48" spans="1:17">
      <c r="A48" s="285"/>
      <c r="B48" s="302"/>
      <c r="C48" s="304"/>
      <c r="D48" s="304"/>
      <c r="E48" s="304"/>
      <c r="F48" s="303"/>
      <c r="G48" s="303"/>
      <c r="H48" s="303"/>
      <c r="I48" s="303"/>
      <c r="J48" s="303"/>
      <c r="K48" s="303"/>
      <c r="L48" s="304"/>
      <c r="M48" s="304"/>
      <c r="N48" s="305"/>
      <c r="O48" s="284"/>
      <c r="P48" s="284"/>
      <c r="Q48" s="315"/>
    </row>
    <row r="49" spans="1:19" s="298" customFormat="1">
      <c r="A49" s="288" t="s">
        <v>629</v>
      </c>
      <c r="B49" s="307"/>
      <c r="C49" s="307"/>
      <c r="D49" s="307"/>
      <c r="E49" s="286"/>
      <c r="F49" s="286"/>
      <c r="G49" s="286"/>
      <c r="H49" s="286"/>
      <c r="I49" s="286"/>
      <c r="J49" s="286"/>
      <c r="K49" s="307"/>
      <c r="L49" s="307"/>
      <c r="M49" s="307"/>
      <c r="N49" s="287"/>
      <c r="O49" s="284"/>
      <c r="P49" s="284"/>
    </row>
    <row r="50" spans="1:19" s="298" customFormat="1">
      <c r="A50" s="285" t="s">
        <v>622</v>
      </c>
      <c r="B50" s="472">
        <v>1410.67</v>
      </c>
      <c r="C50" s="472">
        <v>1321.22</v>
      </c>
      <c r="D50" s="472">
        <v>1169.1400000000001</v>
      </c>
      <c r="E50" s="472">
        <v>1395.2</v>
      </c>
      <c r="F50" s="472">
        <v>1512.6799999999987</v>
      </c>
      <c r="G50" s="472">
        <v>1455.98</v>
      </c>
      <c r="H50" s="472">
        <v>1585.01</v>
      </c>
      <c r="I50" s="472">
        <v>1485.46</v>
      </c>
      <c r="J50" s="472">
        <v>1476.63</v>
      </c>
      <c r="K50" s="472">
        <v>1487.56</v>
      </c>
      <c r="L50" s="472">
        <v>1342.4000000000005</v>
      </c>
      <c r="M50" s="472">
        <v>1473.61</v>
      </c>
      <c r="N50" s="295">
        <f>SUM(B50:M50)</f>
        <v>17115.560000000001</v>
      </c>
      <c r="O50" s="284"/>
    </row>
    <row r="51" spans="1:19">
      <c r="A51" s="296" t="s">
        <v>624</v>
      </c>
      <c r="B51" s="308">
        <f>+B46</f>
        <v>164.34</v>
      </c>
      <c r="C51" s="308">
        <f>+C46</f>
        <v>164.34</v>
      </c>
      <c r="D51" s="308">
        <f t="shared" ref="D51:M51" si="18">+D46</f>
        <v>164.34</v>
      </c>
      <c r="E51" s="308">
        <f t="shared" si="18"/>
        <v>167.38</v>
      </c>
      <c r="F51" s="308">
        <f t="shared" si="18"/>
        <v>167.38</v>
      </c>
      <c r="G51" s="308">
        <f t="shared" si="18"/>
        <v>167.38</v>
      </c>
      <c r="H51" s="308">
        <f t="shared" si="18"/>
        <v>167.38</v>
      </c>
      <c r="I51" s="308">
        <f t="shared" si="18"/>
        <v>167.38</v>
      </c>
      <c r="J51" s="308">
        <f t="shared" si="18"/>
        <v>167.38</v>
      </c>
      <c r="K51" s="308">
        <f t="shared" si="18"/>
        <v>167.38</v>
      </c>
      <c r="L51" s="308">
        <f t="shared" si="18"/>
        <v>167.38</v>
      </c>
      <c r="M51" s="308">
        <f t="shared" si="18"/>
        <v>167.38</v>
      </c>
      <c r="N51" s="297"/>
      <c r="O51" s="284"/>
      <c r="P51" s="278"/>
      <c r="Q51" s="278"/>
    </row>
    <row r="52" spans="1:19">
      <c r="A52" s="296" t="s">
        <v>626</v>
      </c>
      <c r="B52" s="117">
        <f>ROUND(B50*B51,2)</f>
        <v>231829.51</v>
      </c>
      <c r="C52" s="117">
        <f t="shared" ref="C52:M52" si="19">ROUND(C50*C51,2)</f>
        <v>217129.29</v>
      </c>
      <c r="D52" s="117">
        <f t="shared" si="19"/>
        <v>192136.47</v>
      </c>
      <c r="E52" s="368">
        <f t="shared" si="19"/>
        <v>233528.58</v>
      </c>
      <c r="F52" s="368">
        <f t="shared" si="19"/>
        <v>253192.38</v>
      </c>
      <c r="G52" s="368">
        <f t="shared" si="19"/>
        <v>243701.93</v>
      </c>
      <c r="H52" s="368">
        <f t="shared" si="19"/>
        <v>265298.96999999997</v>
      </c>
      <c r="I52" s="368">
        <f t="shared" si="19"/>
        <v>248636.29</v>
      </c>
      <c r="J52" s="368">
        <f t="shared" si="19"/>
        <v>247158.33</v>
      </c>
      <c r="K52" s="117">
        <f t="shared" si="19"/>
        <v>248987.79</v>
      </c>
      <c r="L52" s="117">
        <f t="shared" si="19"/>
        <v>224690.91</v>
      </c>
      <c r="M52" s="117">
        <f t="shared" si="19"/>
        <v>246652.84</v>
      </c>
      <c r="N52" s="366">
        <f>SUM(B52:M52)</f>
        <v>2852943.29</v>
      </c>
      <c r="O52" s="284"/>
      <c r="P52" s="309"/>
      <c r="Q52" s="278"/>
    </row>
    <row r="53" spans="1:19">
      <c r="A53" s="285"/>
      <c r="B53" s="302"/>
      <c r="C53" s="303"/>
      <c r="D53" s="303"/>
      <c r="E53" s="304"/>
      <c r="F53" s="304"/>
      <c r="G53" s="304"/>
      <c r="H53" s="304"/>
      <c r="I53" s="304"/>
      <c r="J53" s="304"/>
      <c r="K53" s="303"/>
      <c r="L53" s="303"/>
      <c r="M53" s="303"/>
      <c r="N53" s="305"/>
      <c r="O53" s="284"/>
      <c r="P53" s="284"/>
      <c r="Q53" s="315"/>
    </row>
    <row r="54" spans="1:19" s="298" customFormat="1">
      <c r="A54" s="288" t="s">
        <v>631</v>
      </c>
      <c r="B54" s="307"/>
      <c r="C54" s="307"/>
      <c r="D54" s="307"/>
      <c r="E54" s="286"/>
      <c r="F54" s="286"/>
      <c r="G54" s="286"/>
      <c r="H54" s="286"/>
      <c r="I54" s="286"/>
      <c r="J54" s="286"/>
      <c r="K54" s="307"/>
      <c r="L54" s="307"/>
      <c r="M54" s="307"/>
      <c r="N54" s="287"/>
      <c r="O54" s="284"/>
      <c r="P54" s="284"/>
    </row>
    <row r="55" spans="1:19" s="298" customFormat="1">
      <c r="A55" s="285" t="s">
        <v>622</v>
      </c>
      <c r="B55" s="472">
        <v>1714.38</v>
      </c>
      <c r="C55" s="472">
        <v>1745.41</v>
      </c>
      <c r="D55" s="472">
        <v>1979.725543385664</v>
      </c>
      <c r="E55" s="472">
        <v>1780.3377129884111</v>
      </c>
      <c r="F55" s="472">
        <v>1327.98</v>
      </c>
      <c r="G55" s="472">
        <v>1886.15</v>
      </c>
      <c r="H55" s="472">
        <v>1935.04</v>
      </c>
      <c r="I55" s="472">
        <v>2306.14</v>
      </c>
      <c r="J55" s="472">
        <v>2241.1908854104422</v>
      </c>
      <c r="K55" s="472">
        <v>1881.46</v>
      </c>
      <c r="L55" s="472">
        <v>2181.3639263950331</v>
      </c>
      <c r="M55" s="472">
        <v>2001.77</v>
      </c>
      <c r="N55" s="295">
        <f>SUM(B55:M55)</f>
        <v>22980.94806817955</v>
      </c>
      <c r="O55" s="284"/>
      <c r="P55" s="316"/>
    </row>
    <row r="56" spans="1:19">
      <c r="A56" s="296" t="s">
        <v>624</v>
      </c>
      <c r="B56" s="308">
        <f>+B46</f>
        <v>164.34</v>
      </c>
      <c r="C56" s="308">
        <f>+C46</f>
        <v>164.34</v>
      </c>
      <c r="D56" s="308">
        <f t="shared" ref="D56:M56" si="20">+D46</f>
        <v>164.34</v>
      </c>
      <c r="E56" s="308">
        <f t="shared" si="20"/>
        <v>167.38</v>
      </c>
      <c r="F56" s="308">
        <f t="shared" si="20"/>
        <v>167.38</v>
      </c>
      <c r="G56" s="308">
        <f t="shared" si="20"/>
        <v>167.38</v>
      </c>
      <c r="H56" s="308">
        <f t="shared" si="20"/>
        <v>167.38</v>
      </c>
      <c r="I56" s="308">
        <f t="shared" si="20"/>
        <v>167.38</v>
      </c>
      <c r="J56" s="308">
        <f t="shared" si="20"/>
        <v>167.38</v>
      </c>
      <c r="K56" s="308">
        <f t="shared" si="20"/>
        <v>167.38</v>
      </c>
      <c r="L56" s="308">
        <f t="shared" si="20"/>
        <v>167.38</v>
      </c>
      <c r="M56" s="308">
        <f t="shared" si="20"/>
        <v>167.38</v>
      </c>
      <c r="N56" s="297"/>
      <c r="O56" s="284"/>
      <c r="P56" s="278"/>
      <c r="Q56" s="278"/>
    </row>
    <row r="57" spans="1:19" s="292" customFormat="1">
      <c r="A57" s="296" t="s">
        <v>626</v>
      </c>
      <c r="B57" s="117">
        <f>ROUND(B55*B56,2)</f>
        <v>281741.21000000002</v>
      </c>
      <c r="C57" s="117">
        <f t="shared" ref="C57:J57" si="21">ROUND(C55*C56,2)</f>
        <v>286840.68</v>
      </c>
      <c r="D57" s="117">
        <f t="shared" si="21"/>
        <v>325348.09999999998</v>
      </c>
      <c r="E57" s="117">
        <f t="shared" si="21"/>
        <v>297992.93</v>
      </c>
      <c r="F57" s="117">
        <f t="shared" si="21"/>
        <v>222277.29</v>
      </c>
      <c r="G57" s="117">
        <f t="shared" si="21"/>
        <v>315703.78999999998</v>
      </c>
      <c r="H57" s="117">
        <f t="shared" si="21"/>
        <v>323887</v>
      </c>
      <c r="I57" s="117">
        <f t="shared" si="21"/>
        <v>386001.71</v>
      </c>
      <c r="J57" s="117">
        <f t="shared" si="21"/>
        <v>375130.53</v>
      </c>
      <c r="K57" s="117">
        <f>ROUND(K55*K56,2)</f>
        <v>314918.77</v>
      </c>
      <c r="L57" s="117">
        <f>ROUND(L55*L56,2)</f>
        <v>365116.69</v>
      </c>
      <c r="M57" s="117">
        <f>ROUND(M55*M56,2)</f>
        <v>335056.26</v>
      </c>
      <c r="N57" s="366">
        <f>SUM(B57:M57)</f>
        <v>3830014.96</v>
      </c>
      <c r="O57" s="291"/>
    </row>
    <row r="58" spans="1:19">
      <c r="A58" s="285"/>
      <c r="B58" s="307"/>
      <c r="C58" s="307"/>
      <c r="D58" s="307"/>
      <c r="E58" s="286"/>
      <c r="F58" s="286"/>
      <c r="G58" s="286"/>
      <c r="H58" s="286"/>
      <c r="I58" s="286"/>
      <c r="J58" s="286"/>
      <c r="K58" s="307"/>
      <c r="L58" s="307"/>
      <c r="M58" s="307"/>
      <c r="N58" s="287"/>
      <c r="O58" s="284"/>
      <c r="P58" s="278"/>
      <c r="Q58" s="278"/>
    </row>
    <row r="59" spans="1:19">
      <c r="A59" s="288" t="s">
        <v>632</v>
      </c>
      <c r="B59" s="369">
        <f>B47+B57+B52</f>
        <v>708984.13</v>
      </c>
      <c r="C59" s="369">
        <f t="shared" ref="C59:L59" si="22">C47+C57+C52</f>
        <v>731939.13</v>
      </c>
      <c r="D59" s="369">
        <f t="shared" si="22"/>
        <v>722089.51</v>
      </c>
      <c r="E59" s="369">
        <f t="shared" si="22"/>
        <v>735604.6</v>
      </c>
      <c r="F59" s="369">
        <f t="shared" si="22"/>
        <v>656685.30000000005</v>
      </c>
      <c r="G59" s="369">
        <f t="shared" si="22"/>
        <v>744574.77</v>
      </c>
      <c r="H59" s="369">
        <f t="shared" si="22"/>
        <v>785497.59999999998</v>
      </c>
      <c r="I59" s="369">
        <f t="shared" si="22"/>
        <v>834236.9800000001</v>
      </c>
      <c r="J59" s="369">
        <f t="shared" si="22"/>
        <v>796191.66</v>
      </c>
      <c r="K59" s="369">
        <f t="shared" si="22"/>
        <v>757602.04</v>
      </c>
      <c r="L59" s="369">
        <f t="shared" si="22"/>
        <v>801132.9800000001</v>
      </c>
      <c r="M59" s="369">
        <f>M47+M57+M52</f>
        <v>756324.94</v>
      </c>
      <c r="N59" s="370">
        <f>SUM(C59:M59)</f>
        <v>8321879.5100000016</v>
      </c>
      <c r="O59" s="284"/>
      <c r="P59" s="278"/>
      <c r="Q59" s="278"/>
    </row>
    <row r="60" spans="1:19">
      <c r="A60" s="317"/>
      <c r="B60" s="282"/>
      <c r="C60" s="282"/>
      <c r="D60" s="282"/>
      <c r="E60" s="282"/>
      <c r="F60" s="282"/>
      <c r="G60" s="282"/>
      <c r="H60" s="282"/>
      <c r="I60" s="282"/>
      <c r="J60" s="282"/>
      <c r="K60" s="282"/>
      <c r="L60" s="282"/>
      <c r="M60" s="282"/>
      <c r="N60" s="283"/>
      <c r="O60" s="284"/>
      <c r="P60" s="278"/>
      <c r="Q60" s="278"/>
    </row>
    <row r="61" spans="1:19">
      <c r="A61" s="285" t="s">
        <v>640</v>
      </c>
      <c r="B61" s="286"/>
      <c r="C61" s="286"/>
      <c r="D61" s="286"/>
      <c r="E61" s="286"/>
      <c r="F61" s="286"/>
      <c r="G61" s="286"/>
      <c r="H61" s="286"/>
      <c r="I61" s="286"/>
      <c r="J61" s="286"/>
      <c r="K61" s="286"/>
      <c r="L61" s="286"/>
      <c r="M61" s="286"/>
      <c r="N61" s="287"/>
      <c r="O61" s="284"/>
      <c r="P61" s="278"/>
      <c r="Q61" s="278"/>
    </row>
    <row r="62" spans="1:19">
      <c r="A62" s="285" t="s">
        <v>622</v>
      </c>
      <c r="B62" s="472">
        <v>79.73</v>
      </c>
      <c r="C62" s="472">
        <v>90.9</v>
      </c>
      <c r="D62" s="472">
        <v>71.98</v>
      </c>
      <c r="E62" s="472">
        <v>74.81</v>
      </c>
      <c r="F62" s="472">
        <v>40.909999999999997</v>
      </c>
      <c r="G62" s="472">
        <v>69.19</v>
      </c>
      <c r="H62" s="472">
        <v>84.4</v>
      </c>
      <c r="I62" s="472">
        <v>90.13</v>
      </c>
      <c r="J62" s="472">
        <v>70.8</v>
      </c>
      <c r="K62" s="472">
        <v>77.22</v>
      </c>
      <c r="L62" s="472">
        <v>79.16</v>
      </c>
      <c r="M62" s="472">
        <v>62.99</v>
      </c>
      <c r="N62" s="295">
        <f>SUM(B62:M62)</f>
        <v>892.22</v>
      </c>
      <c r="O62" s="284"/>
      <c r="P62" s="278"/>
      <c r="Q62" s="278"/>
    </row>
    <row r="63" spans="1:19">
      <c r="A63" s="296" t="s">
        <v>624</v>
      </c>
      <c r="B63" s="473">
        <f>3189.2/B62</f>
        <v>39.999999999999993</v>
      </c>
      <c r="C63" s="473">
        <f>5454/C62</f>
        <v>59.999999999999993</v>
      </c>
      <c r="D63" s="474">
        <f>+C63</f>
        <v>59.999999999999993</v>
      </c>
      <c r="E63" s="474">
        <f t="shared" ref="E63:M63" si="23">+D63</f>
        <v>59.999999999999993</v>
      </c>
      <c r="F63" s="474">
        <f t="shared" si="23"/>
        <v>59.999999999999993</v>
      </c>
      <c r="G63" s="474">
        <f t="shared" si="23"/>
        <v>59.999999999999993</v>
      </c>
      <c r="H63" s="474">
        <f t="shared" si="23"/>
        <v>59.999999999999993</v>
      </c>
      <c r="I63" s="474">
        <f t="shared" si="23"/>
        <v>59.999999999999993</v>
      </c>
      <c r="J63" s="474">
        <f t="shared" si="23"/>
        <v>59.999999999999993</v>
      </c>
      <c r="K63" s="474">
        <f t="shared" si="23"/>
        <v>59.999999999999993</v>
      </c>
      <c r="L63" s="474">
        <f t="shared" si="23"/>
        <v>59.999999999999993</v>
      </c>
      <c r="M63" s="474">
        <f t="shared" si="23"/>
        <v>59.999999999999993</v>
      </c>
      <c r="N63" s="287"/>
      <c r="O63" s="284"/>
      <c r="P63" s="278"/>
      <c r="Q63" s="278"/>
      <c r="R63" s="278"/>
      <c r="S63" s="278"/>
    </row>
    <row r="64" spans="1:19">
      <c r="A64" s="296" t="s">
        <v>626</v>
      </c>
      <c r="B64" s="117">
        <f>ROUND(B62*B63,2)</f>
        <v>3189.2</v>
      </c>
      <c r="C64" s="117">
        <f t="shared" ref="C64:I64" si="24">ROUND(C62*C63,2)</f>
        <v>5454</v>
      </c>
      <c r="D64" s="117">
        <f t="shared" si="24"/>
        <v>4318.8</v>
      </c>
      <c r="E64" s="117">
        <f t="shared" si="24"/>
        <v>4488.6000000000004</v>
      </c>
      <c r="F64" s="117">
        <f t="shared" si="24"/>
        <v>2454.6</v>
      </c>
      <c r="G64" s="117">
        <f t="shared" si="24"/>
        <v>4151.3999999999996</v>
      </c>
      <c r="H64" s="117">
        <f t="shared" si="24"/>
        <v>5064</v>
      </c>
      <c r="I64" s="117">
        <f t="shared" si="24"/>
        <v>5407.8</v>
      </c>
      <c r="J64" s="117">
        <f>ROUND(J62*J63,2)</f>
        <v>4248</v>
      </c>
      <c r="K64" s="117">
        <f>ROUND(K62*K63,2)</f>
        <v>4633.2</v>
      </c>
      <c r="L64" s="117">
        <f>ROUND(L62*L63,2)</f>
        <v>4749.6000000000004</v>
      </c>
      <c r="M64" s="117">
        <f>ROUND(M62*M63,2)</f>
        <v>3779.4</v>
      </c>
      <c r="N64" s="366">
        <f>SUM(B64:M64)</f>
        <v>51938.6</v>
      </c>
      <c r="O64" s="284"/>
      <c r="P64" s="278"/>
      <c r="Q64" s="278"/>
      <c r="R64" s="278"/>
      <c r="S64" s="278"/>
    </row>
    <row r="65" spans="1:19">
      <c r="A65" s="319"/>
      <c r="B65" s="320"/>
      <c r="C65" s="320"/>
      <c r="D65" s="320"/>
      <c r="E65" s="320"/>
      <c r="F65" s="320"/>
      <c r="G65" s="320"/>
      <c r="H65" s="320"/>
      <c r="I65" s="320"/>
      <c r="J65" s="320"/>
      <c r="K65" s="320"/>
      <c r="L65" s="320"/>
      <c r="M65" s="320"/>
      <c r="N65" s="321"/>
      <c r="O65" s="284"/>
      <c r="P65" s="278"/>
      <c r="Q65" s="278"/>
      <c r="R65" s="278"/>
      <c r="S65" s="278"/>
    </row>
    <row r="66" spans="1:19">
      <c r="A66" s="317"/>
      <c r="B66" s="282"/>
      <c r="C66" s="282"/>
      <c r="D66" s="282"/>
      <c r="E66" s="282"/>
      <c r="F66" s="282"/>
      <c r="G66" s="282"/>
      <c r="H66" s="282"/>
      <c r="I66" s="282"/>
      <c r="J66" s="282"/>
      <c r="K66" s="282"/>
      <c r="L66" s="282"/>
      <c r="M66" s="282"/>
      <c r="N66" s="283"/>
      <c r="O66" s="284"/>
      <c r="P66" s="278"/>
      <c r="Q66" s="278"/>
      <c r="R66" s="278"/>
      <c r="S66" s="278"/>
    </row>
    <row r="67" spans="1:19">
      <c r="A67" s="285" t="s">
        <v>641</v>
      </c>
      <c r="B67" s="286"/>
      <c r="C67" s="286"/>
      <c r="D67" s="286"/>
      <c r="E67" s="286"/>
      <c r="F67" s="286"/>
      <c r="G67" s="286"/>
      <c r="H67" s="286"/>
      <c r="I67" s="286"/>
      <c r="J67" s="286"/>
      <c r="K67" s="286"/>
      <c r="L67" s="286"/>
      <c r="M67" s="286"/>
      <c r="N67" s="287"/>
      <c r="O67" s="284"/>
      <c r="P67" s="278"/>
      <c r="Q67" s="278"/>
      <c r="R67" s="278"/>
      <c r="S67" s="278"/>
    </row>
    <row r="68" spans="1:19">
      <c r="A68" s="285" t="s">
        <v>622</v>
      </c>
      <c r="B68" s="472">
        <v>0</v>
      </c>
      <c r="C68" s="476">
        <v>0</v>
      </c>
      <c r="D68" s="476">
        <v>0</v>
      </c>
      <c r="E68" s="476">
        <v>0</v>
      </c>
      <c r="F68" s="476">
        <v>0</v>
      </c>
      <c r="G68" s="476">
        <v>0</v>
      </c>
      <c r="H68" s="476">
        <v>0</v>
      </c>
      <c r="I68" s="476">
        <v>0</v>
      </c>
      <c r="J68" s="472">
        <v>0</v>
      </c>
      <c r="K68" s="472">
        <v>0</v>
      </c>
      <c r="L68" s="472">
        <v>0</v>
      </c>
      <c r="M68" s="472">
        <v>0</v>
      </c>
      <c r="N68" s="295">
        <f>SUM(B68:M68)</f>
        <v>0</v>
      </c>
      <c r="O68" s="284"/>
      <c r="P68" s="278"/>
      <c r="Q68" s="278"/>
      <c r="R68" s="278"/>
      <c r="S68" s="278"/>
    </row>
    <row r="69" spans="1:19">
      <c r="A69" s="296" t="s">
        <v>624</v>
      </c>
      <c r="B69" s="318">
        <v>54.6</v>
      </c>
      <c r="C69" s="308">
        <f>2297.33/38.56</f>
        <v>59.578060165975096</v>
      </c>
      <c r="D69" s="308">
        <v>58.7</v>
      </c>
      <c r="E69" s="308">
        <v>60.13</v>
      </c>
      <c r="F69" s="308">
        <v>58.797199999999997</v>
      </c>
      <c r="G69" s="308">
        <v>93.575900000000004</v>
      </c>
      <c r="H69" s="308">
        <v>58.7</v>
      </c>
      <c r="I69" s="308">
        <v>58.7</v>
      </c>
      <c r="J69" s="308">
        <v>58.7</v>
      </c>
      <c r="K69" s="308">
        <v>58.7</v>
      </c>
      <c r="L69" s="308">
        <v>58.7</v>
      </c>
      <c r="M69" s="308">
        <v>58.7</v>
      </c>
      <c r="N69" s="287"/>
      <c r="O69" s="284"/>
      <c r="P69" s="278"/>
      <c r="Q69" s="278"/>
      <c r="R69" s="278"/>
      <c r="S69" s="278"/>
    </row>
    <row r="70" spans="1:19" s="298" customFormat="1">
      <c r="A70" s="296" t="s">
        <v>626</v>
      </c>
      <c r="B70" s="376">
        <f>ROUND(B68*B69,2)</f>
        <v>0</v>
      </c>
      <c r="C70" s="377">
        <f t="shared" ref="C70:I70" si="25">ROUND(C68*C69,2)</f>
        <v>0</v>
      </c>
      <c r="D70" s="377">
        <f t="shared" si="25"/>
        <v>0</v>
      </c>
      <c r="E70" s="377">
        <f t="shared" si="25"/>
        <v>0</v>
      </c>
      <c r="F70" s="377">
        <f t="shared" si="25"/>
        <v>0</v>
      </c>
      <c r="G70" s="377">
        <f t="shared" si="25"/>
        <v>0</v>
      </c>
      <c r="H70" s="377">
        <f t="shared" si="25"/>
        <v>0</v>
      </c>
      <c r="I70" s="377">
        <f t="shared" si="25"/>
        <v>0</v>
      </c>
      <c r="J70" s="377">
        <f>ROUND(J68*J69,2)</f>
        <v>0</v>
      </c>
      <c r="K70" s="377">
        <f>ROUND(K68*K69,2)</f>
        <v>0</v>
      </c>
      <c r="L70" s="377">
        <f>ROUND(L68*L69,2)</f>
        <v>0</v>
      </c>
      <c r="M70" s="377">
        <f>ROUND(M68*M69,2)</f>
        <v>0</v>
      </c>
      <c r="N70" s="378">
        <f>SUM(B70:M70)</f>
        <v>0</v>
      </c>
      <c r="O70" s="284"/>
    </row>
    <row r="71" spans="1:19" s="298" customFormat="1">
      <c r="A71" s="319"/>
      <c r="B71" s="320"/>
      <c r="C71" s="320"/>
      <c r="D71" s="320"/>
      <c r="E71" s="320"/>
      <c r="F71" s="320"/>
      <c r="G71" s="320"/>
      <c r="H71" s="320"/>
      <c r="I71" s="320"/>
      <c r="J71" s="320"/>
      <c r="K71" s="320"/>
      <c r="L71" s="320"/>
      <c r="M71" s="320"/>
      <c r="N71" s="321"/>
      <c r="O71" s="284"/>
      <c r="P71" s="325"/>
    </row>
    <row r="72" spans="1:19" s="298" customFormat="1">
      <c r="A72" s="322" t="s">
        <v>642</v>
      </c>
      <c r="B72" s="372">
        <f t="shared" ref="B72:M72" si="26">+B23+B59</f>
        <v>1997817.2999999998</v>
      </c>
      <c r="C72" s="372">
        <f t="shared" si="26"/>
        <v>2116089.5</v>
      </c>
      <c r="D72" s="372">
        <f t="shared" si="26"/>
        <v>1886435.1199999999</v>
      </c>
      <c r="E72" s="372">
        <f t="shared" si="26"/>
        <v>2055770.83</v>
      </c>
      <c r="F72" s="372">
        <f t="shared" si="26"/>
        <v>2016603.5</v>
      </c>
      <c r="G72" s="372">
        <f t="shared" si="26"/>
        <v>2151936.04</v>
      </c>
      <c r="H72" s="372">
        <f t="shared" si="26"/>
        <v>2269543.92</v>
      </c>
      <c r="I72" s="372">
        <f t="shared" si="26"/>
        <v>2358692.1800000002</v>
      </c>
      <c r="J72" s="372">
        <f t="shared" si="26"/>
        <v>2161731.27</v>
      </c>
      <c r="K72" s="372">
        <f t="shared" si="26"/>
        <v>2204724.33</v>
      </c>
      <c r="L72" s="372">
        <f t="shared" si="26"/>
        <v>2265415.3000000003</v>
      </c>
      <c r="M72" s="372">
        <f t="shared" si="26"/>
        <v>2144798.9500000002</v>
      </c>
      <c r="N72" s="373">
        <f>SUM(B72:M72)</f>
        <v>25629558.240000002</v>
      </c>
      <c r="O72" s="284"/>
      <c r="P72" s="325"/>
    </row>
    <row r="73" spans="1:19">
      <c r="A73" s="322" t="s">
        <v>643</v>
      </c>
      <c r="B73" s="323">
        <v>2020200.77</v>
      </c>
      <c r="C73" s="323">
        <v>2116089.33</v>
      </c>
      <c r="D73" s="323">
        <v>1886435.12</v>
      </c>
      <c r="E73" s="323">
        <v>2055770.82</v>
      </c>
      <c r="F73" s="323">
        <v>2102667.2400000002</v>
      </c>
      <c r="G73" s="323">
        <v>2065872.75</v>
      </c>
      <c r="H73" s="323">
        <v>2269544.36</v>
      </c>
      <c r="I73" s="323">
        <v>2358692.0299999998</v>
      </c>
      <c r="J73" s="323">
        <v>2161731.2599999998</v>
      </c>
      <c r="K73" s="323">
        <v>2204724.52</v>
      </c>
      <c r="L73" s="323">
        <v>2265415.31</v>
      </c>
      <c r="M73" s="323">
        <v>2144798.65</v>
      </c>
      <c r="N73" s="324">
        <f>SUM(B73:M73)</f>
        <v>25651942.159999996</v>
      </c>
      <c r="O73" s="284"/>
      <c r="P73" s="325"/>
      <c r="Q73" s="278"/>
      <c r="R73" s="298"/>
      <c r="S73" s="298"/>
    </row>
    <row r="74" spans="1:19">
      <c r="A74" s="296" t="s">
        <v>644</v>
      </c>
      <c r="B74" s="326">
        <f>B72-B73</f>
        <v>-22383.470000000205</v>
      </c>
      <c r="C74" s="304">
        <f>C72-C73</f>
        <v>0.16999999992549419</v>
      </c>
      <c r="D74" s="304">
        <f>D72-D73</f>
        <v>0</v>
      </c>
      <c r="E74" s="304">
        <f t="shared" ref="E74:M74" si="27">E72-E73</f>
        <v>1.0000000009313226E-2</v>
      </c>
      <c r="F74" s="304">
        <f t="shared" si="27"/>
        <v>-86063.740000000224</v>
      </c>
      <c r="G74" s="304">
        <f t="shared" si="27"/>
        <v>86063.290000000037</v>
      </c>
      <c r="H74" s="304">
        <f t="shared" si="27"/>
        <v>-0.43999999994412065</v>
      </c>
      <c r="I74" s="304">
        <f t="shared" si="27"/>
        <v>0.15000000037252903</v>
      </c>
      <c r="J74" s="304">
        <f t="shared" si="27"/>
        <v>1.0000000242143869E-2</v>
      </c>
      <c r="K74" s="304">
        <f t="shared" si="27"/>
        <v>-0.18999999994412065</v>
      </c>
      <c r="L74" s="304">
        <f t="shared" si="27"/>
        <v>-9.9999997764825821E-3</v>
      </c>
      <c r="M74" s="304">
        <f t="shared" si="27"/>
        <v>0.30000000027939677</v>
      </c>
      <c r="N74" s="374">
        <f>SUM(B74:M74)</f>
        <v>-22383.919999999227</v>
      </c>
      <c r="O74" s="495">
        <f>+N74/N73</f>
        <v>-8.7260137499075153E-4</v>
      </c>
      <c r="P74" s="325"/>
      <c r="Q74" s="278"/>
      <c r="R74" s="298"/>
      <c r="S74" s="298"/>
    </row>
    <row r="75" spans="1:19">
      <c r="A75" s="285"/>
      <c r="B75" s="286"/>
      <c r="C75" s="286"/>
      <c r="D75" s="286"/>
      <c r="E75" s="328"/>
      <c r="F75" s="286"/>
      <c r="G75" s="286"/>
      <c r="H75" s="286"/>
      <c r="I75" s="286"/>
      <c r="J75" s="323"/>
      <c r="K75" s="308"/>
      <c r="L75" s="308"/>
      <c r="M75" s="286"/>
      <c r="N75" s="374"/>
      <c r="O75" s="284"/>
      <c r="P75" s="325"/>
      <c r="Q75" s="278"/>
      <c r="R75" s="298"/>
      <c r="S75" s="298"/>
    </row>
    <row r="76" spans="1:19">
      <c r="A76" s="285"/>
      <c r="B76" s="286"/>
      <c r="C76" s="286"/>
      <c r="D76" s="286"/>
      <c r="E76" s="328"/>
      <c r="F76" s="286"/>
      <c r="G76" s="286"/>
      <c r="H76" s="286"/>
      <c r="I76" s="286"/>
      <c r="J76" s="323"/>
      <c r="K76" s="308"/>
      <c r="L76" s="308"/>
      <c r="M76" s="286"/>
      <c r="N76" s="374"/>
      <c r="O76" s="284"/>
      <c r="P76" s="325"/>
      <c r="Q76" s="278"/>
      <c r="R76" s="298"/>
      <c r="S76" s="298"/>
    </row>
    <row r="77" spans="1:19">
      <c r="A77" s="322" t="s">
        <v>645</v>
      </c>
      <c r="B77" s="329">
        <f>+B41</f>
        <v>157757.92000000001</v>
      </c>
      <c r="C77" s="330">
        <f t="shared" ref="C77:M77" si="28">+C41</f>
        <v>231884.08</v>
      </c>
      <c r="D77" s="330">
        <f t="shared" si="28"/>
        <v>137617.07999999999</v>
      </c>
      <c r="E77" s="330">
        <f t="shared" si="28"/>
        <v>178422.63</v>
      </c>
      <c r="F77" s="330">
        <f>+F41</f>
        <v>180803.78</v>
      </c>
      <c r="G77" s="330">
        <f t="shared" si="28"/>
        <v>148046.28</v>
      </c>
      <c r="H77" s="330">
        <f t="shared" si="28"/>
        <v>178012.16999999998</v>
      </c>
      <c r="I77" s="330">
        <f t="shared" si="28"/>
        <v>151633.20000000001</v>
      </c>
      <c r="J77" s="330">
        <f t="shared" si="28"/>
        <v>143695.81</v>
      </c>
      <c r="K77" s="330">
        <f t="shared" si="28"/>
        <v>190342.5</v>
      </c>
      <c r="L77" s="330">
        <f t="shared" si="28"/>
        <v>192469.88</v>
      </c>
      <c r="M77" s="330">
        <f t="shared" si="28"/>
        <v>159086.26</v>
      </c>
      <c r="N77" s="375">
        <f>SUM(B77:M77)</f>
        <v>2049771.59</v>
      </c>
      <c r="O77" s="284"/>
      <c r="P77" s="325"/>
      <c r="Q77" s="278"/>
      <c r="R77" s="298"/>
      <c r="S77" s="298"/>
    </row>
    <row r="78" spans="1:19">
      <c r="A78" s="322" t="s">
        <v>643</v>
      </c>
      <c r="B78" s="323">
        <v>157757.92000000001</v>
      </c>
      <c r="C78" s="323">
        <v>231884.19</v>
      </c>
      <c r="D78" s="323">
        <v>137617.09</v>
      </c>
      <c r="E78" s="323">
        <v>178422.63</v>
      </c>
      <c r="F78" s="323">
        <v>123020.13</v>
      </c>
      <c r="G78" s="323">
        <v>205829.64</v>
      </c>
      <c r="H78" s="323">
        <v>178012.18</v>
      </c>
      <c r="I78" s="323">
        <v>151633.20000000001</v>
      </c>
      <c r="J78" s="323">
        <v>143695.60999999999</v>
      </c>
      <c r="K78" s="323">
        <v>190342.49</v>
      </c>
      <c r="L78" s="323">
        <v>192469.88</v>
      </c>
      <c r="M78" s="323">
        <v>159086.26</v>
      </c>
      <c r="N78" s="375">
        <f>SUM(B78:M78)</f>
        <v>2049771.22</v>
      </c>
      <c r="O78" s="284"/>
      <c r="P78" s="325"/>
      <c r="Q78" s="278"/>
      <c r="R78" s="298"/>
      <c r="S78" s="298"/>
    </row>
    <row r="79" spans="1:19" s="331" customFormat="1">
      <c r="A79" s="296" t="s">
        <v>644</v>
      </c>
      <c r="B79" s="326">
        <f>B77-B78</f>
        <v>0</v>
      </c>
      <c r="C79" s="304">
        <f>C77-C78</f>
        <v>-0.11000000001513399</v>
      </c>
      <c r="D79" s="304">
        <f>D77-D78</f>
        <v>-1.0000000009313226E-2</v>
      </c>
      <c r="E79" s="304">
        <f t="shared" ref="E79:M79" si="29">E77-E78</f>
        <v>0</v>
      </c>
      <c r="F79" s="304">
        <f t="shared" si="29"/>
        <v>57783.649999999994</v>
      </c>
      <c r="G79" s="304">
        <f t="shared" si="29"/>
        <v>-57783.360000000015</v>
      </c>
      <c r="H79" s="304">
        <f t="shared" si="29"/>
        <v>-1.0000000009313226E-2</v>
      </c>
      <c r="I79" s="304">
        <f t="shared" si="29"/>
        <v>0</v>
      </c>
      <c r="J79" s="304">
        <f t="shared" si="29"/>
        <v>0.20000000001164153</v>
      </c>
      <c r="K79" s="304">
        <f t="shared" si="29"/>
        <v>1.0000000009313226E-2</v>
      </c>
      <c r="L79" s="304">
        <f t="shared" si="29"/>
        <v>0</v>
      </c>
      <c r="M79" s="304">
        <f t="shared" si="29"/>
        <v>0</v>
      </c>
      <c r="N79" s="375">
        <f>SUM(B79:M79)</f>
        <v>0.36999999996623956</v>
      </c>
      <c r="O79" s="291"/>
      <c r="P79" s="325"/>
      <c r="R79" s="298"/>
      <c r="S79" s="298"/>
    </row>
    <row r="80" spans="1:19" s="298" customFormat="1">
      <c r="A80" s="285"/>
      <c r="B80" s="286"/>
      <c r="C80" s="286"/>
      <c r="D80" s="286"/>
      <c r="E80" s="328"/>
      <c r="F80" s="286"/>
      <c r="G80" s="286"/>
      <c r="H80" s="286"/>
      <c r="I80" s="286"/>
      <c r="J80" s="323"/>
      <c r="K80" s="308"/>
      <c r="L80" s="308"/>
      <c r="M80" s="286"/>
      <c r="N80" s="374"/>
      <c r="O80" s="332"/>
    </row>
    <row r="81" spans="1:19" s="298" customFormat="1">
      <c r="A81" s="322" t="s">
        <v>646</v>
      </c>
      <c r="B81" s="331">
        <f>+B64+B70</f>
        <v>3189.2</v>
      </c>
      <c r="C81" s="331">
        <f>+C64+C70</f>
        <v>5454</v>
      </c>
      <c r="D81" s="331">
        <f t="shared" ref="D81:M81" si="30">+D64+D70</f>
        <v>4318.8</v>
      </c>
      <c r="E81" s="331">
        <f t="shared" si="30"/>
        <v>4488.6000000000004</v>
      </c>
      <c r="F81" s="331">
        <f t="shared" si="30"/>
        <v>2454.6</v>
      </c>
      <c r="G81" s="331">
        <f t="shared" si="30"/>
        <v>4151.3999999999996</v>
      </c>
      <c r="H81" s="331">
        <f t="shared" si="30"/>
        <v>5064</v>
      </c>
      <c r="I81" s="331">
        <f t="shared" si="30"/>
        <v>5407.8</v>
      </c>
      <c r="J81" s="331">
        <f t="shared" si="30"/>
        <v>4248</v>
      </c>
      <c r="K81" s="331">
        <f t="shared" si="30"/>
        <v>4633.2</v>
      </c>
      <c r="L81" s="331">
        <f t="shared" si="30"/>
        <v>4749.6000000000004</v>
      </c>
      <c r="M81" s="331">
        <f t="shared" si="30"/>
        <v>3779.4</v>
      </c>
      <c r="N81" s="375"/>
      <c r="O81" s="284"/>
      <c r="P81" s="284"/>
    </row>
    <row r="82" spans="1:19" s="298" customFormat="1">
      <c r="A82" s="322" t="s">
        <v>643</v>
      </c>
      <c r="B82" s="323">
        <v>3189.2</v>
      </c>
      <c r="C82" s="323">
        <v>5454</v>
      </c>
      <c r="D82" s="323">
        <v>4318.8</v>
      </c>
      <c r="E82" s="323">
        <v>4488.6000000000004</v>
      </c>
      <c r="F82" s="323">
        <v>2454.6</v>
      </c>
      <c r="G82" s="323">
        <v>4151.3999999999996</v>
      </c>
      <c r="H82" s="323">
        <v>5064</v>
      </c>
      <c r="I82" s="323">
        <v>15827.4</v>
      </c>
      <c r="J82" s="323">
        <v>4248</v>
      </c>
      <c r="K82" s="323">
        <v>4633.2</v>
      </c>
      <c r="L82" s="323">
        <v>4749.6000000000004</v>
      </c>
      <c r="M82" s="323">
        <v>3779.4</v>
      </c>
      <c r="N82" s="374"/>
      <c r="O82" s="284"/>
      <c r="P82" s="284"/>
    </row>
    <row r="83" spans="1:19" s="298" customFormat="1">
      <c r="A83" s="296" t="s">
        <v>644</v>
      </c>
      <c r="B83" s="326">
        <f>B81-B82</f>
        <v>0</v>
      </c>
      <c r="C83" s="304">
        <f>C81-C82</f>
        <v>0</v>
      </c>
      <c r="D83" s="304">
        <f>D81-D82</f>
        <v>0</v>
      </c>
      <c r="E83" s="304">
        <f t="shared" ref="E83:M83" si="31">E81-E82</f>
        <v>0</v>
      </c>
      <c r="F83" s="304">
        <f t="shared" si="31"/>
        <v>0</v>
      </c>
      <c r="G83" s="304">
        <f t="shared" si="31"/>
        <v>0</v>
      </c>
      <c r="H83" s="304">
        <f t="shared" si="31"/>
        <v>0</v>
      </c>
      <c r="I83" s="304">
        <f t="shared" si="31"/>
        <v>-10419.599999999999</v>
      </c>
      <c r="J83" s="304">
        <f t="shared" si="31"/>
        <v>0</v>
      </c>
      <c r="K83" s="304">
        <f t="shared" si="31"/>
        <v>0</v>
      </c>
      <c r="L83" s="304">
        <f t="shared" si="31"/>
        <v>0</v>
      </c>
      <c r="M83" s="304">
        <f t="shared" si="31"/>
        <v>0</v>
      </c>
      <c r="N83" s="374"/>
      <c r="O83" s="284"/>
    </row>
    <row r="84" spans="1:19" s="298" customFormat="1">
      <c r="A84" s="296"/>
      <c r="B84" s="326"/>
      <c r="C84" s="304"/>
      <c r="D84" s="304"/>
      <c r="E84" s="304"/>
      <c r="F84" s="304"/>
      <c r="G84" s="304"/>
      <c r="H84" s="304"/>
      <c r="I84" s="304"/>
      <c r="J84" s="304"/>
      <c r="K84" s="304"/>
      <c r="L84" s="304"/>
      <c r="M84" s="304"/>
      <c r="N84" s="374"/>
      <c r="O84" s="284"/>
      <c r="P84" s="325"/>
    </row>
    <row r="85" spans="1:19" s="298" customFormat="1">
      <c r="A85" s="322" t="s">
        <v>647</v>
      </c>
      <c r="B85" s="323">
        <f t="shared" ref="B85:M85" si="32">B47+B29+B11</f>
        <v>438068.57999999996</v>
      </c>
      <c r="C85" s="323">
        <f t="shared" si="32"/>
        <v>499957.07999999996</v>
      </c>
      <c r="D85" s="323">
        <f t="shared" si="32"/>
        <v>433113.49</v>
      </c>
      <c r="E85" s="323">
        <f t="shared" si="32"/>
        <v>475157.81</v>
      </c>
      <c r="F85" s="323">
        <f t="shared" si="32"/>
        <v>401100.48</v>
      </c>
      <c r="G85" s="323">
        <f t="shared" si="32"/>
        <v>426859.93999999994</v>
      </c>
      <c r="H85" s="323">
        <f t="shared" si="32"/>
        <v>485221.04</v>
      </c>
      <c r="I85" s="323">
        <f t="shared" si="32"/>
        <v>475212.58</v>
      </c>
      <c r="J85" s="323">
        <f t="shared" si="32"/>
        <v>448146.07999999996</v>
      </c>
      <c r="K85" s="323">
        <f t="shared" si="32"/>
        <v>480645.81</v>
      </c>
      <c r="L85" s="323">
        <f t="shared" si="32"/>
        <v>495002.13</v>
      </c>
      <c r="M85" s="323">
        <f t="shared" si="32"/>
        <v>436460.44999999995</v>
      </c>
      <c r="N85" s="375">
        <f>SUM(B85:M85)</f>
        <v>5494945.4699999997</v>
      </c>
      <c r="O85" s="284"/>
      <c r="P85" s="325"/>
    </row>
    <row r="86" spans="1:19" s="298" customFormat="1">
      <c r="A86" s="322" t="s">
        <v>643</v>
      </c>
      <c r="B86" s="323">
        <v>439454.23</v>
      </c>
      <c r="C86" s="323">
        <v>509778</v>
      </c>
      <c r="D86" s="323">
        <v>441356.79</v>
      </c>
      <c r="E86" s="323">
        <v>489666.97</v>
      </c>
      <c r="F86" s="323">
        <v>406860.79999999999</v>
      </c>
      <c r="G86" s="323">
        <v>434537.58</v>
      </c>
      <c r="H86" s="323">
        <v>494159.79</v>
      </c>
      <c r="I86" s="323">
        <v>483095.57</v>
      </c>
      <c r="J86" s="323">
        <v>455901.78</v>
      </c>
      <c r="K86" s="323">
        <v>488694.67</v>
      </c>
      <c r="L86" s="323">
        <v>487393.55</v>
      </c>
      <c r="M86" s="323">
        <v>443882.82</v>
      </c>
      <c r="N86" s="375"/>
      <c r="O86" s="284"/>
      <c r="P86" s="284"/>
    </row>
    <row r="87" spans="1:19" s="298" customFormat="1">
      <c r="A87" s="296" t="s">
        <v>644</v>
      </c>
      <c r="B87" s="326">
        <f>B85-B86</f>
        <v>-1385.6500000000233</v>
      </c>
      <c r="C87" s="304">
        <f>C85-C86</f>
        <v>-9820.9200000000419</v>
      </c>
      <c r="D87" s="304">
        <f>D85-D86</f>
        <v>-8243.2999999999884</v>
      </c>
      <c r="E87" s="304">
        <f t="shared" ref="E87:M87" si="33">E85-E86</f>
        <v>-14509.159999999974</v>
      </c>
      <c r="F87" s="304">
        <f t="shared" si="33"/>
        <v>-5760.320000000007</v>
      </c>
      <c r="G87" s="304">
        <f t="shared" si="33"/>
        <v>-7677.6400000000722</v>
      </c>
      <c r="H87" s="304">
        <f t="shared" si="33"/>
        <v>-8938.75</v>
      </c>
      <c r="I87" s="304">
        <f t="shared" si="33"/>
        <v>-7882.9899999999907</v>
      </c>
      <c r="J87" s="304">
        <f t="shared" si="33"/>
        <v>-7755.7000000000698</v>
      </c>
      <c r="K87" s="304">
        <f t="shared" si="33"/>
        <v>-8048.859999999986</v>
      </c>
      <c r="L87" s="304">
        <f t="shared" si="33"/>
        <v>7608.5800000000163</v>
      </c>
      <c r="M87" s="304">
        <f t="shared" si="33"/>
        <v>-7422.3700000000536</v>
      </c>
      <c r="N87" s="374">
        <f>SUM(B87:M87)</f>
        <v>-79837.080000000191</v>
      </c>
      <c r="O87" s="495"/>
      <c r="P87" s="284"/>
    </row>
    <row r="88" spans="1:19">
      <c r="A88" s="296"/>
      <c r="B88" s="326"/>
      <c r="C88" s="304"/>
      <c r="D88" s="304"/>
      <c r="E88" s="304"/>
      <c r="F88" s="304"/>
      <c r="G88" s="304"/>
      <c r="H88" s="304"/>
      <c r="I88" s="304"/>
      <c r="J88" s="304"/>
      <c r="K88" s="304"/>
      <c r="L88" s="304"/>
      <c r="M88" s="304"/>
      <c r="N88" s="374"/>
      <c r="O88" s="334"/>
      <c r="P88" s="284"/>
      <c r="Q88" s="278"/>
      <c r="R88" s="278"/>
      <c r="S88" s="278"/>
    </row>
    <row r="89" spans="1:19">
      <c r="A89" s="296" t="s">
        <v>648</v>
      </c>
      <c r="B89" s="326">
        <f>+B74+B79+B83</f>
        <v>-22383.470000000205</v>
      </c>
      <c r="C89" s="304">
        <f>+C74+C79+C83</f>
        <v>5.9999999910360202E-2</v>
      </c>
      <c r="D89" s="304">
        <f>+D74+D79+D83</f>
        <v>-1.0000000009313226E-2</v>
      </c>
      <c r="E89" s="304">
        <f t="shared" ref="E89:M89" si="34">+E74+E79+E83</f>
        <v>1.0000000009313226E-2</v>
      </c>
      <c r="F89" s="304">
        <f t="shared" si="34"/>
        <v>-28280.090000000229</v>
      </c>
      <c r="G89" s="304">
        <f t="shared" si="34"/>
        <v>28279.930000000022</v>
      </c>
      <c r="H89" s="304">
        <f t="shared" si="34"/>
        <v>-0.44999999995343387</v>
      </c>
      <c r="I89" s="304">
        <f t="shared" si="34"/>
        <v>-10419.449999999626</v>
      </c>
      <c r="J89" s="304">
        <f t="shared" si="34"/>
        <v>0.2100000002537854</v>
      </c>
      <c r="K89" s="304">
        <f t="shared" si="34"/>
        <v>-0.17999999993480742</v>
      </c>
      <c r="L89" s="304">
        <f t="shared" si="34"/>
        <v>-9.9999997764825821E-3</v>
      </c>
      <c r="M89" s="304">
        <f t="shared" si="34"/>
        <v>0.30000000027939677</v>
      </c>
      <c r="N89" s="327"/>
      <c r="O89" s="334"/>
      <c r="P89" s="278"/>
      <c r="Q89" s="278"/>
      <c r="R89" s="278"/>
      <c r="S89" s="278"/>
    </row>
    <row r="90" spans="1:19">
      <c r="A90" s="319"/>
      <c r="B90" s="320"/>
      <c r="C90" s="333"/>
      <c r="D90" s="320"/>
      <c r="E90" s="320"/>
      <c r="F90" s="320"/>
      <c r="G90" s="320"/>
      <c r="H90" s="320"/>
      <c r="I90" s="320"/>
      <c r="J90" s="320"/>
      <c r="K90" s="320"/>
      <c r="L90" s="320"/>
      <c r="M90" s="320"/>
      <c r="N90" s="321"/>
      <c r="O90" s="278"/>
      <c r="P90" s="278"/>
      <c r="Q90" s="278"/>
      <c r="R90" s="278"/>
      <c r="S90" s="278"/>
    </row>
    <row r="91" spans="1:19">
      <c r="A91" s="278"/>
      <c r="B91" s="335"/>
      <c r="C91" s="335"/>
      <c r="D91" s="335"/>
      <c r="E91" s="335"/>
      <c r="F91" s="335"/>
      <c r="G91" s="335"/>
      <c r="H91" s="335"/>
      <c r="I91" s="335"/>
      <c r="J91" s="335"/>
      <c r="K91" s="335"/>
      <c r="L91" s="335"/>
      <c r="M91" s="335"/>
      <c r="N91" s="278"/>
      <c r="O91" s="278"/>
      <c r="P91" s="278"/>
      <c r="Q91" s="278"/>
      <c r="R91" s="278"/>
      <c r="S91" s="278"/>
    </row>
    <row r="92" spans="1:19" hidden="1">
      <c r="A92" s="278"/>
      <c r="B92" s="336"/>
      <c r="C92" s="337"/>
      <c r="D92" s="337"/>
      <c r="E92" s="337"/>
      <c r="F92" s="337"/>
      <c r="G92" s="337"/>
      <c r="H92" s="337"/>
      <c r="I92" s="337"/>
      <c r="J92" s="337"/>
      <c r="K92" s="337"/>
      <c r="L92" s="337"/>
      <c r="M92" s="337"/>
      <c r="N92" s="278"/>
      <c r="O92" s="278"/>
      <c r="P92" s="278"/>
      <c r="Q92" s="278"/>
      <c r="R92" s="278"/>
      <c r="S92" s="278"/>
    </row>
    <row r="93" spans="1:19" hidden="1">
      <c r="A93" s="278"/>
      <c r="B93" s="278"/>
      <c r="C93" s="278"/>
      <c r="D93" s="278"/>
      <c r="E93" s="278"/>
      <c r="F93" s="298"/>
      <c r="G93" s="278"/>
      <c r="H93" s="278"/>
      <c r="I93" s="278"/>
      <c r="J93" s="278"/>
      <c r="K93" s="278"/>
      <c r="L93" s="278"/>
      <c r="M93" s="278"/>
      <c r="N93" s="278"/>
      <c r="O93" s="278"/>
      <c r="P93" s="278"/>
      <c r="Q93" s="278"/>
      <c r="R93" s="278"/>
      <c r="S93" s="278"/>
    </row>
    <row r="94" spans="1:19" hidden="1">
      <c r="A94" s="338">
        <v>40122</v>
      </c>
      <c r="B94" s="282"/>
      <c r="C94" s="282"/>
      <c r="D94" s="282"/>
      <c r="E94" s="282"/>
      <c r="F94" s="339"/>
      <c r="G94" s="282"/>
      <c r="H94" s="282"/>
      <c r="I94" s="282"/>
      <c r="J94" s="282"/>
      <c r="K94" s="282"/>
      <c r="L94" s="282"/>
      <c r="M94" s="282"/>
      <c r="N94" s="278"/>
      <c r="O94" s="278"/>
      <c r="P94" s="278"/>
      <c r="Q94" s="278"/>
      <c r="R94" s="278"/>
      <c r="S94" s="278"/>
    </row>
    <row r="95" spans="1:19" hidden="1">
      <c r="A95" s="285"/>
      <c r="B95" s="294"/>
      <c r="C95" s="294"/>
      <c r="D95" s="294"/>
      <c r="E95" s="294"/>
      <c r="F95" s="294"/>
      <c r="G95" s="294"/>
      <c r="H95" s="294"/>
      <c r="I95" s="294"/>
      <c r="J95" s="294"/>
      <c r="K95" s="294"/>
      <c r="L95" s="294"/>
      <c r="M95" s="294"/>
      <c r="N95" s="278"/>
      <c r="O95" s="341" t="s">
        <v>649</v>
      </c>
    </row>
    <row r="96" spans="1:19" hidden="1">
      <c r="A96" s="288" t="s">
        <v>649</v>
      </c>
      <c r="B96" s="286"/>
      <c r="C96" s="286"/>
      <c r="D96" s="286"/>
      <c r="E96" s="286"/>
      <c r="F96" s="286"/>
      <c r="G96" s="286"/>
      <c r="H96" s="286"/>
      <c r="I96" s="286"/>
      <c r="J96" s="286"/>
      <c r="K96" s="286"/>
      <c r="L96" s="286"/>
      <c r="M96" s="286"/>
      <c r="N96" s="278"/>
      <c r="O96" s="278"/>
    </row>
    <row r="97" spans="1:15" hidden="1">
      <c r="A97" s="340" t="s">
        <v>622</v>
      </c>
      <c r="B97" s="293"/>
      <c r="C97" s="293"/>
      <c r="D97" s="293"/>
      <c r="E97" s="293"/>
      <c r="F97" s="293"/>
      <c r="G97" s="293"/>
      <c r="H97" s="293"/>
      <c r="I97" s="293"/>
      <c r="J97" s="293"/>
      <c r="K97" s="293"/>
      <c r="L97" s="293"/>
      <c r="M97" s="293"/>
      <c r="N97" s="278"/>
      <c r="O97" s="278"/>
    </row>
    <row r="98" spans="1:15" hidden="1">
      <c r="A98" s="340" t="s">
        <v>624</v>
      </c>
      <c r="B98" s="308">
        <v>30</v>
      </c>
      <c r="C98" s="308">
        <v>30</v>
      </c>
      <c r="D98" s="308">
        <v>30</v>
      </c>
      <c r="E98" s="308">
        <v>30</v>
      </c>
      <c r="F98" s="308">
        <v>30</v>
      </c>
      <c r="G98" s="308">
        <v>30</v>
      </c>
      <c r="H98" s="308">
        <v>30</v>
      </c>
      <c r="I98" s="308">
        <v>30</v>
      </c>
      <c r="J98" s="308">
        <v>30</v>
      </c>
      <c r="K98" s="308">
        <v>30</v>
      </c>
      <c r="L98" s="308">
        <v>30</v>
      </c>
      <c r="M98" s="308">
        <v>30</v>
      </c>
      <c r="N98" s="278"/>
      <c r="O98" s="278"/>
    </row>
    <row r="99" spans="1:15" hidden="1">
      <c r="A99" s="340" t="s">
        <v>626</v>
      </c>
      <c r="B99" s="301">
        <f>+B97*B98</f>
        <v>0</v>
      </c>
      <c r="C99" s="301">
        <f t="shared" ref="C99:K99" si="35">+C97*C98</f>
        <v>0</v>
      </c>
      <c r="D99" s="301">
        <f t="shared" si="35"/>
        <v>0</v>
      </c>
      <c r="E99" s="301">
        <f t="shared" si="35"/>
        <v>0</v>
      </c>
      <c r="F99" s="301">
        <f t="shared" si="35"/>
        <v>0</v>
      </c>
      <c r="G99" s="301">
        <f t="shared" si="35"/>
        <v>0</v>
      </c>
      <c r="H99" s="301">
        <f t="shared" si="35"/>
        <v>0</v>
      </c>
      <c r="I99" s="301">
        <f t="shared" si="35"/>
        <v>0</v>
      </c>
      <c r="J99" s="301">
        <f t="shared" si="35"/>
        <v>0</v>
      </c>
      <c r="K99" s="301">
        <f t="shared" si="35"/>
        <v>0</v>
      </c>
      <c r="L99" s="301">
        <f>+L97*L98</f>
        <v>0</v>
      </c>
      <c r="M99" s="301">
        <f>+M97*M98</f>
        <v>0</v>
      </c>
      <c r="N99" s="278"/>
      <c r="O99" s="278"/>
    </row>
    <row r="100" spans="1:15" hidden="1">
      <c r="A100" s="285"/>
      <c r="B100" s="286"/>
      <c r="C100" s="286"/>
      <c r="D100" s="286"/>
      <c r="E100" s="286"/>
      <c r="F100" s="286"/>
      <c r="G100" s="286"/>
      <c r="H100" s="286"/>
      <c r="I100" s="286"/>
      <c r="J100" s="286"/>
      <c r="K100" s="286"/>
      <c r="L100" s="286"/>
      <c r="M100" s="286"/>
      <c r="N100" s="278"/>
      <c r="O100" s="278"/>
    </row>
    <row r="101" spans="1:15" hidden="1">
      <c r="A101" s="285"/>
      <c r="B101" s="286"/>
      <c r="C101" s="286"/>
      <c r="D101" s="286"/>
      <c r="E101" s="286"/>
      <c r="F101" s="286"/>
      <c r="G101" s="286"/>
      <c r="H101" s="286"/>
      <c r="I101" s="286"/>
      <c r="J101" s="286"/>
      <c r="K101" s="286"/>
      <c r="L101" s="286"/>
      <c r="M101" s="286"/>
      <c r="N101" s="278"/>
      <c r="O101" s="341" t="s">
        <v>651</v>
      </c>
    </row>
    <row r="102" spans="1:15" hidden="1">
      <c r="A102" s="342" t="s">
        <v>650</v>
      </c>
      <c r="B102" s="286"/>
      <c r="C102" s="286"/>
      <c r="D102" s="286"/>
      <c r="E102" s="286"/>
      <c r="F102" s="286"/>
      <c r="G102" s="286"/>
      <c r="H102" s="286"/>
      <c r="I102" s="286"/>
      <c r="J102" s="286"/>
      <c r="K102" s="286"/>
      <c r="L102" s="286"/>
      <c r="M102" s="286"/>
      <c r="N102" s="278"/>
      <c r="O102" s="278"/>
    </row>
    <row r="103" spans="1:15" hidden="1">
      <c r="A103" s="340" t="s">
        <v>622</v>
      </c>
      <c r="B103" s="293"/>
      <c r="C103" s="293"/>
      <c r="D103" s="303"/>
      <c r="E103" s="293"/>
      <c r="F103" s="293"/>
      <c r="G103" s="293"/>
      <c r="H103" s="293"/>
      <c r="I103" s="293"/>
      <c r="J103" s="293"/>
      <c r="K103" s="293"/>
      <c r="L103" s="293"/>
      <c r="M103" s="293"/>
      <c r="N103" s="278"/>
      <c r="O103" s="278"/>
    </row>
    <row r="104" spans="1:15" hidden="1">
      <c r="A104" s="340" t="s">
        <v>624</v>
      </c>
      <c r="B104" s="308">
        <v>75</v>
      </c>
      <c r="C104" s="308">
        <v>75</v>
      </c>
      <c r="D104" s="308">
        <v>75</v>
      </c>
      <c r="E104" s="308">
        <v>75</v>
      </c>
      <c r="F104" s="308">
        <v>75</v>
      </c>
      <c r="G104" s="308">
        <v>81.09</v>
      </c>
      <c r="H104" s="308">
        <v>75</v>
      </c>
      <c r="I104" s="308">
        <v>75</v>
      </c>
      <c r="J104" s="308">
        <v>75</v>
      </c>
      <c r="K104" s="308">
        <v>75</v>
      </c>
      <c r="L104" s="308">
        <v>75</v>
      </c>
      <c r="M104" s="308">
        <v>75</v>
      </c>
      <c r="N104" s="278"/>
      <c r="O104" s="341"/>
    </row>
    <row r="105" spans="1:15" hidden="1">
      <c r="A105" s="340" t="s">
        <v>626</v>
      </c>
      <c r="B105" s="301">
        <f t="shared" ref="B105:K105" si="36">+B103*B104</f>
        <v>0</v>
      </c>
      <c r="C105" s="301">
        <f t="shared" si="36"/>
        <v>0</v>
      </c>
      <c r="D105" s="301">
        <f t="shared" si="36"/>
        <v>0</v>
      </c>
      <c r="E105" s="301">
        <f t="shared" si="36"/>
        <v>0</v>
      </c>
      <c r="F105" s="301">
        <f t="shared" si="36"/>
        <v>0</v>
      </c>
      <c r="G105" s="301">
        <f t="shared" si="36"/>
        <v>0</v>
      </c>
      <c r="H105" s="301">
        <f t="shared" si="36"/>
        <v>0</v>
      </c>
      <c r="I105" s="301">
        <f t="shared" si="36"/>
        <v>0</v>
      </c>
      <c r="J105" s="301">
        <f t="shared" si="36"/>
        <v>0</v>
      </c>
      <c r="K105" s="301">
        <f t="shared" si="36"/>
        <v>0</v>
      </c>
      <c r="L105" s="301">
        <f>+L103*L104</f>
        <v>0</v>
      </c>
      <c r="M105" s="301">
        <f>+M103*M104</f>
        <v>0</v>
      </c>
      <c r="N105" s="278"/>
      <c r="O105" s="278"/>
    </row>
    <row r="106" spans="1:15" hidden="1">
      <c r="A106" s="285"/>
      <c r="B106" s="286"/>
      <c r="C106" s="286"/>
      <c r="D106" s="286"/>
      <c r="E106" s="286"/>
      <c r="F106" s="286"/>
      <c r="G106" s="286"/>
      <c r="H106" s="286"/>
      <c r="I106" s="286"/>
      <c r="J106" s="286"/>
      <c r="K106" s="286"/>
      <c r="L106" s="286"/>
      <c r="M106" s="286"/>
      <c r="N106" s="278"/>
      <c r="O106" s="278"/>
    </row>
    <row r="107" spans="1:15" hidden="1">
      <c r="A107" s="285"/>
      <c r="B107" s="286"/>
      <c r="C107" s="286"/>
      <c r="D107" s="286"/>
      <c r="E107" s="286"/>
      <c r="F107" s="286"/>
      <c r="G107" s="286"/>
      <c r="H107" s="286"/>
      <c r="I107" s="286"/>
      <c r="J107" s="286"/>
      <c r="K107" s="286"/>
      <c r="L107" s="286"/>
      <c r="M107" s="286"/>
      <c r="N107" s="278"/>
      <c r="O107" s="341" t="s">
        <v>651</v>
      </c>
    </row>
    <row r="108" spans="1:15" hidden="1">
      <c r="A108" s="342" t="s">
        <v>652</v>
      </c>
      <c r="B108" s="286"/>
      <c r="C108" s="286"/>
      <c r="D108" s="286"/>
      <c r="E108" s="286"/>
      <c r="F108" s="286"/>
      <c r="G108" s="286"/>
      <c r="H108" s="286"/>
      <c r="I108" s="286"/>
      <c r="J108" s="286"/>
      <c r="K108" s="286"/>
      <c r="L108" s="286"/>
      <c r="M108" s="286"/>
      <c r="N108" s="278"/>
      <c r="O108" s="278"/>
    </row>
    <row r="109" spans="1:15" hidden="1">
      <c r="A109" s="340" t="s">
        <v>622</v>
      </c>
      <c r="B109" s="293"/>
      <c r="C109" s="293"/>
      <c r="D109" s="303"/>
      <c r="E109" s="293"/>
      <c r="F109" s="293"/>
      <c r="G109" s="293"/>
      <c r="H109" s="293"/>
      <c r="I109" s="293"/>
      <c r="J109" s="293"/>
      <c r="K109" s="293"/>
      <c r="L109" s="293"/>
      <c r="M109" s="293"/>
      <c r="N109" s="278"/>
      <c r="O109" s="278"/>
    </row>
    <row r="110" spans="1:15" hidden="1">
      <c r="A110" s="340" t="s">
        <v>624</v>
      </c>
      <c r="B110" s="308"/>
      <c r="C110" s="308"/>
      <c r="D110" s="308"/>
      <c r="E110" s="308"/>
      <c r="F110" s="308"/>
      <c r="G110" s="308"/>
      <c r="H110" s="308"/>
      <c r="I110" s="308"/>
      <c r="J110" s="308"/>
      <c r="K110" s="308"/>
      <c r="L110" s="308"/>
      <c r="M110" s="308"/>
      <c r="N110" s="278"/>
      <c r="O110" s="341"/>
    </row>
    <row r="111" spans="1:15" hidden="1">
      <c r="A111" s="340" t="s">
        <v>626</v>
      </c>
      <c r="B111" s="301">
        <f t="shared" ref="B111:M111" si="37">ROUND(B109*B110,2)</f>
        <v>0</v>
      </c>
      <c r="C111" s="301">
        <f t="shared" si="37"/>
        <v>0</v>
      </c>
      <c r="D111" s="301">
        <f t="shared" si="37"/>
        <v>0</v>
      </c>
      <c r="E111" s="301">
        <f t="shared" si="37"/>
        <v>0</v>
      </c>
      <c r="F111" s="301">
        <f t="shared" si="37"/>
        <v>0</v>
      </c>
      <c r="G111" s="301">
        <f t="shared" si="37"/>
        <v>0</v>
      </c>
      <c r="H111" s="301">
        <f t="shared" si="37"/>
        <v>0</v>
      </c>
      <c r="I111" s="301">
        <f t="shared" si="37"/>
        <v>0</v>
      </c>
      <c r="J111" s="301">
        <f t="shared" si="37"/>
        <v>0</v>
      </c>
      <c r="K111" s="301">
        <f t="shared" si="37"/>
        <v>0</v>
      </c>
      <c r="L111" s="301">
        <f t="shared" si="37"/>
        <v>0</v>
      </c>
      <c r="M111" s="301">
        <f t="shared" si="37"/>
        <v>0</v>
      </c>
      <c r="N111" s="278"/>
      <c r="O111" s="278"/>
    </row>
    <row r="112" spans="1:15" hidden="1">
      <c r="A112" s="285"/>
      <c r="B112" s="286"/>
      <c r="C112" s="286"/>
      <c r="D112" s="286"/>
      <c r="E112" s="286"/>
      <c r="F112" s="286"/>
      <c r="G112" s="286"/>
      <c r="H112" s="286"/>
      <c r="I112" s="286"/>
      <c r="J112" s="286"/>
      <c r="K112" s="286"/>
      <c r="L112" s="286"/>
      <c r="M112" s="286"/>
      <c r="N112" s="278"/>
      <c r="O112" s="341" t="s">
        <v>651</v>
      </c>
    </row>
    <row r="113" spans="1:15" hidden="1">
      <c r="A113" s="342" t="s">
        <v>653</v>
      </c>
      <c r="B113" s="286"/>
      <c r="C113" s="286"/>
      <c r="D113" s="286"/>
      <c r="E113" s="286"/>
      <c r="F113" s="286"/>
      <c r="G113" s="286"/>
      <c r="H113" s="286"/>
      <c r="I113" s="286"/>
      <c r="J113" s="286"/>
      <c r="K113" s="286"/>
      <c r="L113" s="286"/>
      <c r="M113" s="286"/>
      <c r="N113" s="278"/>
      <c r="O113" s="278"/>
    </row>
    <row r="114" spans="1:15" hidden="1">
      <c r="A114" s="340" t="s">
        <v>622</v>
      </c>
      <c r="B114" s="293"/>
      <c r="C114" s="293"/>
      <c r="D114" s="303"/>
      <c r="E114" s="293"/>
      <c r="F114" s="293"/>
      <c r="G114" s="293"/>
      <c r="H114" s="293"/>
      <c r="I114" s="293"/>
      <c r="J114" s="293"/>
      <c r="K114" s="293"/>
      <c r="L114" s="293"/>
      <c r="M114" s="293"/>
      <c r="N114" s="278"/>
      <c r="O114" s="278"/>
    </row>
    <row r="115" spans="1:15" hidden="1">
      <c r="A115" s="340" t="s">
        <v>624</v>
      </c>
      <c r="B115" s="308"/>
      <c r="C115" s="308"/>
      <c r="D115" s="308"/>
      <c r="E115" s="308"/>
      <c r="F115" s="308"/>
      <c r="G115" s="308"/>
      <c r="H115" s="308"/>
      <c r="I115" s="308"/>
      <c r="J115" s="308"/>
      <c r="K115" s="308"/>
      <c r="L115" s="308"/>
      <c r="M115" s="308"/>
      <c r="N115" s="278"/>
      <c r="O115" s="341"/>
    </row>
    <row r="116" spans="1:15" hidden="1">
      <c r="A116" s="340" t="s">
        <v>626</v>
      </c>
      <c r="B116" s="301">
        <f t="shared" ref="B116:K116" si="38">+B114*B115</f>
        <v>0</v>
      </c>
      <c r="C116" s="301">
        <f t="shared" si="38"/>
        <v>0</v>
      </c>
      <c r="D116" s="301">
        <f t="shared" si="38"/>
        <v>0</v>
      </c>
      <c r="E116" s="301">
        <f t="shared" si="38"/>
        <v>0</v>
      </c>
      <c r="F116" s="301">
        <f t="shared" si="38"/>
        <v>0</v>
      </c>
      <c r="G116" s="301">
        <f t="shared" si="38"/>
        <v>0</v>
      </c>
      <c r="H116" s="301">
        <f t="shared" si="38"/>
        <v>0</v>
      </c>
      <c r="I116" s="301">
        <f t="shared" si="38"/>
        <v>0</v>
      </c>
      <c r="J116" s="301">
        <f t="shared" si="38"/>
        <v>0</v>
      </c>
      <c r="K116" s="301">
        <f t="shared" si="38"/>
        <v>0</v>
      </c>
      <c r="L116" s="301">
        <f>+L114*L115</f>
        <v>0</v>
      </c>
      <c r="M116" s="301">
        <f>+M114*M115</f>
        <v>0</v>
      </c>
      <c r="N116" s="278"/>
      <c r="O116" s="278"/>
    </row>
    <row r="117" spans="1:15" hidden="1">
      <c r="A117" s="285"/>
      <c r="B117" s="286"/>
      <c r="C117" s="286"/>
      <c r="D117" s="286"/>
      <c r="E117" s="286"/>
      <c r="F117" s="286"/>
      <c r="G117" s="286"/>
      <c r="H117" s="286"/>
      <c r="I117" s="286"/>
      <c r="J117" s="286"/>
      <c r="K117" s="286"/>
      <c r="L117" s="286"/>
      <c r="M117" s="286"/>
      <c r="N117" s="278"/>
      <c r="O117" s="278"/>
    </row>
    <row r="118" spans="1:15" hidden="1">
      <c r="A118" s="285"/>
      <c r="B118" s="286"/>
      <c r="C118" s="286"/>
      <c r="D118" s="286"/>
      <c r="E118" s="286"/>
      <c r="F118" s="286"/>
      <c r="G118" s="286"/>
      <c r="H118" s="286"/>
      <c r="I118" s="286"/>
      <c r="J118" s="286"/>
      <c r="K118" s="286"/>
      <c r="L118" s="286"/>
      <c r="M118" s="286"/>
      <c r="N118" s="278"/>
      <c r="O118" s="278"/>
    </row>
    <row r="119" spans="1:15" hidden="1">
      <c r="A119" s="322" t="s">
        <v>654</v>
      </c>
      <c r="B119" s="330">
        <f>+B99+B105+B111+B116</f>
        <v>0</v>
      </c>
      <c r="C119" s="330">
        <f t="shared" ref="C119:L119" si="39">+C99+C105+C111+C116</f>
        <v>0</v>
      </c>
      <c r="D119" s="330">
        <f t="shared" si="39"/>
        <v>0</v>
      </c>
      <c r="E119" s="330">
        <f t="shared" si="39"/>
        <v>0</v>
      </c>
      <c r="F119" s="330">
        <f t="shared" si="39"/>
        <v>0</v>
      </c>
      <c r="G119" s="330">
        <f t="shared" si="39"/>
        <v>0</v>
      </c>
      <c r="H119" s="330">
        <f t="shared" si="39"/>
        <v>0</v>
      </c>
      <c r="I119" s="330">
        <f t="shared" si="39"/>
        <v>0</v>
      </c>
      <c r="J119" s="330">
        <f t="shared" si="39"/>
        <v>0</v>
      </c>
      <c r="K119" s="330">
        <f t="shared" si="39"/>
        <v>0</v>
      </c>
      <c r="L119" s="330">
        <f t="shared" si="39"/>
        <v>0</v>
      </c>
      <c r="M119" s="330">
        <f>+M99+M105+M111+M116</f>
        <v>0</v>
      </c>
      <c r="N119" s="278"/>
      <c r="O119" s="278"/>
    </row>
    <row r="120" spans="1:15" hidden="1">
      <c r="A120" s="322" t="s">
        <v>643</v>
      </c>
      <c r="B120" s="323"/>
      <c r="C120" s="323"/>
      <c r="D120" s="323"/>
      <c r="E120" s="323"/>
      <c r="F120" s="323"/>
      <c r="G120" s="323"/>
      <c r="H120" s="323"/>
      <c r="I120" s="323"/>
      <c r="J120" s="323"/>
      <c r="K120" s="323"/>
      <c r="L120" s="323"/>
      <c r="M120" s="323"/>
      <c r="N120" s="278"/>
      <c r="O120" s="278"/>
    </row>
    <row r="121" spans="1:15" hidden="1">
      <c r="A121" s="296" t="s">
        <v>644</v>
      </c>
      <c r="B121" s="308">
        <f>+B120-B119</f>
        <v>0</v>
      </c>
      <c r="C121" s="308">
        <f t="shared" ref="C121:M121" si="40">+C120-C119</f>
        <v>0</v>
      </c>
      <c r="D121" s="308">
        <f t="shared" si="40"/>
        <v>0</v>
      </c>
      <c r="E121" s="308">
        <f t="shared" si="40"/>
        <v>0</v>
      </c>
      <c r="F121" s="308">
        <f t="shared" si="40"/>
        <v>0</v>
      </c>
      <c r="G121" s="308">
        <f t="shared" si="40"/>
        <v>0</v>
      </c>
      <c r="H121" s="308">
        <f t="shared" si="40"/>
        <v>0</v>
      </c>
      <c r="I121" s="308">
        <f t="shared" si="40"/>
        <v>0</v>
      </c>
      <c r="J121" s="308">
        <f t="shared" si="40"/>
        <v>0</v>
      </c>
      <c r="K121" s="308">
        <f t="shared" si="40"/>
        <v>0</v>
      </c>
      <c r="L121" s="308">
        <f t="shared" si="40"/>
        <v>0</v>
      </c>
      <c r="M121" s="308">
        <f t="shared" si="40"/>
        <v>0</v>
      </c>
      <c r="N121" s="278"/>
      <c r="O121" s="278"/>
    </row>
    <row r="122" spans="1:15" hidden="1">
      <c r="A122" s="319"/>
      <c r="B122" s="320"/>
      <c r="C122" s="320"/>
      <c r="D122" s="320"/>
      <c r="E122" s="320"/>
      <c r="F122" s="320"/>
      <c r="G122" s="320"/>
      <c r="H122" s="320"/>
      <c r="I122" s="320"/>
      <c r="J122" s="320"/>
      <c r="K122" s="320"/>
      <c r="L122" s="320"/>
      <c r="M122" s="320"/>
      <c r="N122" s="278"/>
      <c r="O122" s="278"/>
    </row>
    <row r="123" spans="1:15" hidden="1">
      <c r="A123" s="278"/>
      <c r="B123" s="278"/>
      <c r="C123" s="278"/>
      <c r="D123" s="278"/>
      <c r="E123" s="278"/>
      <c r="F123" s="278"/>
      <c r="G123" s="278"/>
      <c r="H123" s="278"/>
      <c r="I123" s="278"/>
      <c r="J123" s="278"/>
      <c r="K123" s="278"/>
      <c r="L123" s="278"/>
      <c r="M123" s="278"/>
      <c r="N123" s="278"/>
      <c r="O123" s="278"/>
    </row>
    <row r="124" spans="1:15" hidden="1">
      <c r="A124" s="278"/>
      <c r="B124" s="278"/>
      <c r="C124" s="278"/>
      <c r="D124" s="278"/>
      <c r="E124" s="278"/>
      <c r="F124" s="278"/>
      <c r="G124" s="278"/>
      <c r="H124" s="278"/>
      <c r="I124" s="278"/>
      <c r="J124" s="278"/>
      <c r="K124" s="278"/>
      <c r="L124" s="278"/>
      <c r="M124" s="278"/>
      <c r="N124" s="278"/>
      <c r="O124" s="278"/>
    </row>
    <row r="125" spans="1:15">
      <c r="A125" s="278"/>
      <c r="B125" s="278"/>
      <c r="C125" s="278"/>
      <c r="D125" s="278"/>
      <c r="E125" s="278"/>
      <c r="F125" s="278"/>
      <c r="G125" s="278"/>
      <c r="H125" s="278"/>
      <c r="I125" s="278"/>
      <c r="J125" s="278"/>
      <c r="K125" s="278"/>
      <c r="L125" s="278"/>
      <c r="M125" s="278"/>
      <c r="N125" s="278"/>
      <c r="O125" s="278"/>
    </row>
    <row r="126" spans="1:15">
      <c r="A126" s="278"/>
      <c r="B126" s="278"/>
      <c r="C126" s="278"/>
      <c r="D126" s="278"/>
      <c r="E126" s="278"/>
      <c r="F126" s="278"/>
      <c r="G126" s="278"/>
      <c r="H126" s="278"/>
      <c r="I126" s="278"/>
      <c r="J126" s="278"/>
      <c r="K126" s="278"/>
      <c r="L126" s="278"/>
      <c r="M126" s="278"/>
      <c r="N126" s="278"/>
    </row>
    <row r="127" spans="1:15">
      <c r="A127" s="278"/>
      <c r="B127" s="278"/>
      <c r="C127" s="278"/>
      <c r="D127" s="278"/>
      <c r="E127" s="278"/>
      <c r="F127" s="278"/>
      <c r="G127" s="278"/>
      <c r="H127" s="278"/>
      <c r="I127" s="278"/>
      <c r="J127" s="278"/>
      <c r="K127" s="278"/>
      <c r="L127" s="278"/>
      <c r="M127" s="278"/>
      <c r="N127" s="278"/>
    </row>
    <row r="128" spans="1:15">
      <c r="E128" s="284"/>
      <c r="F128" s="517" t="s">
        <v>623</v>
      </c>
      <c r="G128" s="517"/>
    </row>
    <row r="129" spans="5:9">
      <c r="E129" s="298"/>
      <c r="F129" s="299" t="s">
        <v>625</v>
      </c>
      <c r="G129" s="300">
        <f>N14+N19</f>
        <v>81906.419999999984</v>
      </c>
      <c r="H129" s="298"/>
      <c r="I129" s="298"/>
    </row>
    <row r="130" spans="5:9">
      <c r="E130" s="298"/>
      <c r="F130" s="299" t="s">
        <v>627</v>
      </c>
      <c r="G130" s="300">
        <f>N9</f>
        <v>17685.397346158443</v>
      </c>
      <c r="H130" s="298"/>
      <c r="I130" s="298"/>
    </row>
    <row r="131" spans="5:9">
      <c r="E131" s="278"/>
      <c r="F131" s="306" t="s">
        <v>628</v>
      </c>
      <c r="G131" s="300">
        <f>N32</f>
        <v>5255.31</v>
      </c>
    </row>
    <row r="132" spans="5:9">
      <c r="E132" s="278"/>
      <c r="F132" s="306" t="s">
        <v>630</v>
      </c>
      <c r="G132" s="300">
        <f>F144+G144</f>
        <v>1463.9830094322833</v>
      </c>
    </row>
    <row r="133" spans="5:9">
      <c r="E133" s="278"/>
      <c r="F133" s="278"/>
      <c r="G133" s="278"/>
    </row>
    <row r="134" spans="5:9">
      <c r="E134" s="298"/>
      <c r="F134" s="298"/>
      <c r="G134" s="298"/>
      <c r="H134" s="298"/>
      <c r="I134" s="298"/>
    </row>
    <row r="135" spans="5:9">
      <c r="E135" s="284"/>
      <c r="F135" s="298"/>
      <c r="G135" s="298"/>
      <c r="H135" s="298"/>
      <c r="I135" s="298"/>
    </row>
    <row r="136" spans="5:9">
      <c r="E136" s="284"/>
      <c r="F136" s="309"/>
      <c r="G136" s="278"/>
      <c r="H136" s="278"/>
      <c r="I136" s="278"/>
    </row>
    <row r="137" spans="5:9">
      <c r="E137" s="284"/>
      <c r="F137" s="309"/>
      <c r="G137" s="278"/>
      <c r="H137" s="278"/>
      <c r="I137" s="278"/>
    </row>
    <row r="138" spans="5:9">
      <c r="E138" s="284"/>
      <c r="F138" s="284"/>
      <c r="G138" s="310"/>
      <c r="H138" s="278"/>
      <c r="I138" s="278"/>
    </row>
    <row r="139" spans="5:9">
      <c r="E139" s="284"/>
      <c r="F139" s="284"/>
      <c r="G139" s="298"/>
      <c r="H139" s="298"/>
      <c r="I139" s="298"/>
    </row>
    <row r="140" spans="5:9">
      <c r="E140" s="284"/>
      <c r="F140" s="298"/>
      <c r="G140" s="298"/>
      <c r="H140" s="298"/>
      <c r="I140" s="298"/>
    </row>
    <row r="141" spans="5:9" ht="15.75" thickBot="1">
      <c r="E141" s="284"/>
      <c r="F141" s="298"/>
      <c r="G141" s="298"/>
      <c r="H141" s="298"/>
      <c r="I141" s="298"/>
    </row>
    <row r="142" spans="5:9">
      <c r="E142" s="292"/>
      <c r="F142" s="311" t="s">
        <v>633</v>
      </c>
      <c r="G142" s="311" t="s">
        <v>634</v>
      </c>
      <c r="H142" s="312" t="s">
        <v>634</v>
      </c>
      <c r="I142" s="311" t="s">
        <v>635</v>
      </c>
    </row>
    <row r="143" spans="5:9" ht="15.75" thickBot="1">
      <c r="E143" s="284"/>
      <c r="F143" s="313">
        <v>2180</v>
      </c>
      <c r="G143" s="313" t="s">
        <v>613</v>
      </c>
      <c r="H143" s="314" t="s">
        <v>637</v>
      </c>
      <c r="I143" s="313" t="s">
        <v>638</v>
      </c>
    </row>
    <row r="144" spans="5:9">
      <c r="E144" s="284"/>
      <c r="F144" s="309">
        <f>+N27-G144-I144</f>
        <v>673.72300943228322</v>
      </c>
      <c r="G144" s="278">
        <v>790.26</v>
      </c>
      <c r="H144" s="278">
        <v>0</v>
      </c>
      <c r="I144" s="309">
        <v>312.38</v>
      </c>
    </row>
    <row r="145" spans="5:9">
      <c r="E145" s="291"/>
      <c r="F145" s="278"/>
      <c r="G145" s="278"/>
      <c r="H145" s="278"/>
      <c r="I145" s="278"/>
    </row>
  </sheetData>
  <mergeCells count="7">
    <mergeCell ref="O5:S5"/>
    <mergeCell ref="F128:G128"/>
    <mergeCell ref="O1:S1"/>
    <mergeCell ref="O2:S2"/>
    <mergeCell ref="O3:S3"/>
    <mergeCell ref="A4:M4"/>
    <mergeCell ref="O4:S4"/>
  </mergeCells>
  <pageMargins left="0.75" right="0.75" top="1" bottom="1" header="0.5" footer="0.5"/>
  <pageSetup scale="50" fitToHeight="3" orientation="landscape" r:id="rId1"/>
  <headerFooter alignWithMargins="0"/>
  <rowBreaks count="1" manualBreakCount="1">
    <brk id="59" max="1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320"/>
  <sheetViews>
    <sheetView workbookViewId="0">
      <pane xSplit="5" ySplit="6" topLeftCell="AL7" activePane="bottomRight" state="frozen"/>
      <selection activeCell="S17" sqref="S17:S18"/>
      <selection pane="topRight" activeCell="S17" sqref="S17:S18"/>
      <selection pane="bottomLeft" activeCell="S17" sqref="S17:S18"/>
      <selection pane="bottomRight" activeCell="S17" sqref="S17:S18"/>
    </sheetView>
  </sheetViews>
  <sheetFormatPr defaultRowHeight="12.75" outlineLevelCol="1"/>
  <cols>
    <col min="1" max="1" width="21" style="218" customWidth="1"/>
    <col min="2" max="2" width="29.85546875" style="217" customWidth="1"/>
    <col min="3" max="3" width="18.140625" style="217" customWidth="1"/>
    <col min="4" max="4" width="15.140625" style="217" hidden="1" customWidth="1"/>
    <col min="5" max="5" width="10" style="380" hidden="1" customWidth="1"/>
    <col min="6" max="6" width="9" style="218" bestFit="1" customWidth="1"/>
    <col min="7" max="7" width="9" style="218" customWidth="1"/>
    <col min="8" max="9" width="9" style="217" bestFit="1" customWidth="1"/>
    <col min="10" max="10" width="4.42578125" style="217" customWidth="1"/>
    <col min="11" max="11" width="12.42578125" style="217" bestFit="1" customWidth="1"/>
    <col min="12" max="22" width="12.42578125" style="217" hidden="1" customWidth="1" outlineLevel="1"/>
    <col min="23" max="23" width="2.140625" style="217" customWidth="1" collapsed="1"/>
    <col min="24" max="24" width="13.140625" style="217" customWidth="1"/>
    <col min="25" max="25" width="5.7109375" style="381" customWidth="1"/>
    <col min="26" max="26" width="10" style="381" bestFit="1" customWidth="1"/>
    <col min="27" max="27" width="12" style="217" hidden="1" customWidth="1" outlineLevel="1"/>
    <col min="28" max="37" width="10.28515625" style="218" hidden="1" customWidth="1" outlineLevel="1"/>
    <col min="38" max="38" width="11" style="218" bestFit="1" customWidth="1" collapsed="1"/>
    <col min="39" max="39" width="9.140625" style="218"/>
    <col min="40" max="40" width="11" style="218" bestFit="1" customWidth="1"/>
    <col min="41" max="16384" width="9.140625" style="218"/>
  </cols>
  <sheetData>
    <row r="1" spans="1:41" ht="12.75" customHeight="1">
      <c r="A1" s="216" t="s">
        <v>338</v>
      </c>
      <c r="C1" s="216"/>
      <c r="D1" s="216"/>
      <c r="F1" s="523" t="s">
        <v>822</v>
      </c>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row>
    <row r="2" spans="1:41">
      <c r="A2" s="223"/>
      <c r="B2" s="218"/>
      <c r="C2" s="216"/>
      <c r="D2" s="216"/>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row>
    <row r="3" spans="1:41">
      <c r="B3" s="218"/>
      <c r="C3" s="216"/>
      <c r="D3" s="216"/>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row>
    <row r="4" spans="1:41">
      <c r="A4" s="216" t="s">
        <v>694</v>
      </c>
      <c r="B4" s="218"/>
      <c r="C4" s="216"/>
      <c r="D4" s="216"/>
      <c r="F4" s="217"/>
      <c r="G4" s="217"/>
      <c r="Y4" s="230"/>
      <c r="Z4" s="230"/>
    </row>
    <row r="5" spans="1:41" ht="18.75" customHeight="1">
      <c r="A5" s="532" t="s">
        <v>850</v>
      </c>
      <c r="C5" s="221"/>
      <c r="D5" s="221"/>
      <c r="F5" s="222"/>
      <c r="G5" s="222"/>
      <c r="H5" s="222"/>
      <c r="I5" s="222"/>
      <c r="K5" s="521"/>
      <c r="L5" s="521"/>
      <c r="M5" s="521"/>
      <c r="N5" s="521"/>
      <c r="O5" s="521"/>
      <c r="P5" s="521"/>
      <c r="Q5" s="521"/>
      <c r="R5" s="521"/>
      <c r="S5" s="521"/>
      <c r="T5" s="521"/>
      <c r="U5" s="521"/>
      <c r="V5" s="521"/>
      <c r="W5" s="380"/>
      <c r="X5" s="380"/>
      <c r="Z5" s="522"/>
      <c r="AA5" s="522"/>
      <c r="AB5" s="522"/>
      <c r="AC5" s="522"/>
      <c r="AD5" s="522"/>
      <c r="AE5" s="522"/>
      <c r="AF5" s="522"/>
      <c r="AG5" s="522"/>
      <c r="AH5" s="522"/>
      <c r="AI5" s="522"/>
      <c r="AJ5" s="522"/>
      <c r="AK5" s="522"/>
    </row>
    <row r="6" spans="1:41" ht="63.75">
      <c r="B6" s="223" t="s">
        <v>106</v>
      </c>
      <c r="C6" s="221" t="s">
        <v>132</v>
      </c>
      <c r="D6" s="221" t="s">
        <v>109</v>
      </c>
      <c r="E6" s="221" t="s">
        <v>339</v>
      </c>
      <c r="F6" s="221" t="s">
        <v>340</v>
      </c>
      <c r="G6" s="221" t="s">
        <v>695</v>
      </c>
      <c r="H6" s="221" t="s">
        <v>696</v>
      </c>
      <c r="I6" s="221" t="s">
        <v>697</v>
      </c>
      <c r="J6" s="221"/>
      <c r="K6" s="224">
        <v>43800</v>
      </c>
      <c r="L6" s="224">
        <v>43831</v>
      </c>
      <c r="M6" s="224">
        <v>43862</v>
      </c>
      <c r="N6" s="224">
        <v>43891</v>
      </c>
      <c r="O6" s="224">
        <v>43922</v>
      </c>
      <c r="P6" s="224">
        <v>43952</v>
      </c>
      <c r="Q6" s="224">
        <v>43983</v>
      </c>
      <c r="R6" s="224">
        <v>44013</v>
      </c>
      <c r="S6" s="224">
        <v>44044</v>
      </c>
      <c r="T6" s="224">
        <v>44075</v>
      </c>
      <c r="U6" s="224">
        <v>44105</v>
      </c>
      <c r="V6" s="224">
        <v>44136</v>
      </c>
      <c r="W6" s="224"/>
      <c r="X6" s="383" t="s">
        <v>698</v>
      </c>
      <c r="Y6" s="384"/>
      <c r="Z6" s="224">
        <v>43800</v>
      </c>
      <c r="AA6" s="224">
        <f t="shared" ref="AA6:AK6" si="0">+L6</f>
        <v>43831</v>
      </c>
      <c r="AB6" s="224">
        <f t="shared" si="0"/>
        <v>43862</v>
      </c>
      <c r="AC6" s="224">
        <f t="shared" si="0"/>
        <v>43891</v>
      </c>
      <c r="AD6" s="224">
        <f t="shared" si="0"/>
        <v>43922</v>
      </c>
      <c r="AE6" s="224">
        <f t="shared" si="0"/>
        <v>43952</v>
      </c>
      <c r="AF6" s="224">
        <f t="shared" si="0"/>
        <v>43983</v>
      </c>
      <c r="AG6" s="224">
        <f t="shared" si="0"/>
        <v>44013</v>
      </c>
      <c r="AH6" s="224">
        <f t="shared" si="0"/>
        <v>44044</v>
      </c>
      <c r="AI6" s="224">
        <f t="shared" si="0"/>
        <v>44075</v>
      </c>
      <c r="AJ6" s="224">
        <f t="shared" si="0"/>
        <v>44105</v>
      </c>
      <c r="AK6" s="224">
        <f t="shared" si="0"/>
        <v>44136</v>
      </c>
      <c r="AL6" s="383" t="s">
        <v>741</v>
      </c>
      <c r="AN6" s="383" t="s">
        <v>735</v>
      </c>
    </row>
    <row r="7" spans="1:41">
      <c r="F7" s="217"/>
      <c r="G7" s="217"/>
      <c r="X7" s="385"/>
      <c r="Y7" s="230"/>
      <c r="Z7" s="230"/>
      <c r="AL7" s="385"/>
      <c r="AN7" s="385"/>
    </row>
    <row r="8" spans="1:41">
      <c r="B8" s="225" t="s">
        <v>341</v>
      </c>
      <c r="C8" s="226"/>
      <c r="D8" s="226"/>
      <c r="F8" s="227"/>
      <c r="G8" s="227"/>
      <c r="H8" s="227"/>
      <c r="I8" s="227"/>
      <c r="J8" s="227"/>
      <c r="K8" s="227"/>
      <c r="L8" s="227"/>
      <c r="M8" s="227"/>
      <c r="N8" s="227"/>
      <c r="O8" s="227"/>
      <c r="P8" s="227"/>
      <c r="Q8" s="227"/>
      <c r="R8" s="227"/>
      <c r="S8" s="227"/>
      <c r="T8" s="227"/>
      <c r="U8" s="227"/>
      <c r="V8" s="227"/>
      <c r="W8" s="227"/>
      <c r="X8" s="386"/>
      <c r="Y8" s="387"/>
      <c r="Z8" s="387"/>
      <c r="AL8" s="386"/>
      <c r="AN8" s="386"/>
    </row>
    <row r="9" spans="1:41">
      <c r="B9" s="225"/>
      <c r="C9" s="226"/>
      <c r="D9" s="226"/>
      <c r="F9" s="227"/>
      <c r="G9" s="227"/>
      <c r="H9" s="227"/>
      <c r="I9" s="227"/>
      <c r="J9" s="227"/>
      <c r="K9" s="227"/>
      <c r="L9" s="227"/>
      <c r="M9" s="227"/>
      <c r="N9" s="227"/>
      <c r="O9" s="227"/>
      <c r="P9" s="227"/>
      <c r="Q9" s="227"/>
      <c r="R9" s="227"/>
      <c r="S9" s="227"/>
      <c r="T9" s="227"/>
      <c r="U9" s="227"/>
      <c r="V9" s="227"/>
      <c r="W9" s="227"/>
      <c r="X9" s="386"/>
      <c r="Y9" s="387"/>
      <c r="Z9" s="387"/>
      <c r="AL9" s="386"/>
      <c r="AN9" s="386"/>
    </row>
    <row r="10" spans="1:41">
      <c r="A10" s="228" t="s">
        <v>342</v>
      </c>
      <c r="B10" s="229" t="s">
        <v>133</v>
      </c>
      <c r="C10" s="226"/>
      <c r="D10" s="226"/>
      <c r="F10" s="227"/>
      <c r="G10" s="227"/>
      <c r="H10" s="227"/>
      <c r="I10" s="227"/>
      <c r="J10" s="227"/>
      <c r="K10" s="227"/>
      <c r="L10" s="227"/>
      <c r="M10" s="227"/>
      <c r="N10" s="227"/>
      <c r="O10" s="227"/>
      <c r="P10" s="227"/>
      <c r="Q10" s="227"/>
      <c r="R10" s="227"/>
      <c r="S10" s="227"/>
      <c r="T10" s="227"/>
      <c r="U10" s="227"/>
      <c r="V10" s="227"/>
      <c r="W10" s="227"/>
      <c r="X10" s="386"/>
      <c r="Y10" s="387"/>
      <c r="Z10" s="387"/>
      <c r="AL10" s="386"/>
      <c r="AN10" s="386"/>
    </row>
    <row r="11" spans="1:41">
      <c r="A11" s="218" t="str">
        <f>$A$1&amp;"Residential"&amp;B11</f>
        <v>PIERCE UTCResidentialRL020.0G1W001</v>
      </c>
      <c r="B11" s="230" t="s">
        <v>161</v>
      </c>
      <c r="C11" s="230" t="s">
        <v>742</v>
      </c>
      <c r="D11" s="230" t="s">
        <v>343</v>
      </c>
      <c r="E11" s="380">
        <v>32000</v>
      </c>
      <c r="F11" s="231">
        <v>13.95</v>
      </c>
      <c r="G11" s="231">
        <v>14.06</v>
      </c>
      <c r="H11" s="231">
        <v>14.06</v>
      </c>
      <c r="I11" s="231">
        <v>0</v>
      </c>
      <c r="J11" s="231"/>
      <c r="K11" s="231">
        <v>83.699999999999989</v>
      </c>
      <c r="L11" s="231">
        <v>83.699999999999989</v>
      </c>
      <c r="M11" s="231">
        <v>83.7</v>
      </c>
      <c r="N11" s="231">
        <v>84.36</v>
      </c>
      <c r="O11" s="231">
        <v>70.3</v>
      </c>
      <c r="P11" s="231">
        <v>14.06</v>
      </c>
      <c r="Q11" s="231">
        <v>0</v>
      </c>
      <c r="R11" s="231">
        <v>0</v>
      </c>
      <c r="S11" s="231">
        <v>0</v>
      </c>
      <c r="T11" s="231">
        <v>0</v>
      </c>
      <c r="U11" s="231">
        <v>0</v>
      </c>
      <c r="V11" s="231">
        <v>0</v>
      </c>
      <c r="W11" s="231"/>
      <c r="X11" s="388">
        <f t="shared" ref="X11:X42" si="1">SUM(K11:V11)</f>
        <v>419.82</v>
      </c>
      <c r="Y11" s="389"/>
      <c r="Z11" s="233">
        <f t="shared" ref="Z11:Z42" si="2">IFERROR(K11/$F11,0)</f>
        <v>5.9999999999999991</v>
      </c>
      <c r="AA11" s="233">
        <f t="shared" ref="AA11:AA42" si="3">IFERROR(L11/$F11,0)</f>
        <v>5.9999999999999991</v>
      </c>
      <c r="AB11" s="233">
        <f t="shared" ref="AB11:AB42" si="4">IFERROR(M11/$F11,0)</f>
        <v>6.0000000000000009</v>
      </c>
      <c r="AC11" s="233">
        <f t="shared" ref="AC11:AC42" si="5">IFERROR(N11/$G11,0)</f>
        <v>6</v>
      </c>
      <c r="AD11" s="233">
        <f t="shared" ref="AD11:AD42" si="6">IFERROR(O11/$G11,0)</f>
        <v>5</v>
      </c>
      <c r="AE11" s="233">
        <f t="shared" ref="AE11:AE42" si="7">IFERROR(P11/$H11,0)</f>
        <v>1</v>
      </c>
      <c r="AF11" s="233">
        <f t="shared" ref="AF11:AF42" si="8">IFERROR(Q11/$H11,0)</f>
        <v>0</v>
      </c>
      <c r="AG11" s="233">
        <f t="shared" ref="AG11:AG42" si="9">IFERROR(R11/$H11,0)</f>
        <v>0</v>
      </c>
      <c r="AH11" s="233">
        <f t="shared" ref="AH11:AH42" si="10">IFERROR(S11/$I11,0)</f>
        <v>0</v>
      </c>
      <c r="AI11" s="233">
        <f t="shared" ref="AI11:AI42" si="11">IFERROR(T11/$I11,0)</f>
        <v>0</v>
      </c>
      <c r="AJ11" s="233">
        <f t="shared" ref="AJ11:AJ42" si="12">IFERROR(U11/$I11,0)</f>
        <v>0</v>
      </c>
      <c r="AK11" s="233">
        <f t="shared" ref="AK11:AK42" si="13">IFERROR(V11/$I11,0)</f>
        <v>0</v>
      </c>
      <c r="AL11" s="234">
        <f t="shared" ref="AL11:AL42" si="14">AVERAGE(Z11:AK11)</f>
        <v>2.5</v>
      </c>
      <c r="AM11" s="220"/>
      <c r="AN11" s="234">
        <f t="shared" ref="AN11:AN42" si="15">+SUM(AF11:AK11)*2</f>
        <v>0</v>
      </c>
      <c r="AO11" s="220"/>
    </row>
    <row r="12" spans="1:41">
      <c r="A12" s="218" t="str">
        <f>$A$1&amp;"Residential"&amp;B12</f>
        <v>PIERCE UTCResidentialRL032.0G1M001NOREC</v>
      </c>
      <c r="B12" s="230" t="s">
        <v>162</v>
      </c>
      <c r="C12" s="230" t="s">
        <v>743</v>
      </c>
      <c r="D12" s="230" t="s">
        <v>343</v>
      </c>
      <c r="E12" s="380">
        <v>32000</v>
      </c>
      <c r="F12" s="231">
        <v>8.57</v>
      </c>
      <c r="G12" s="231">
        <v>8.61</v>
      </c>
      <c r="H12" s="231">
        <v>8.61</v>
      </c>
      <c r="I12" s="231">
        <v>0</v>
      </c>
      <c r="J12" s="231"/>
      <c r="K12" s="231">
        <v>8.57</v>
      </c>
      <c r="L12" s="231">
        <v>8.57</v>
      </c>
      <c r="M12" s="231">
        <v>8.57</v>
      </c>
      <c r="N12" s="231">
        <v>8.61</v>
      </c>
      <c r="O12" s="231">
        <v>8.61</v>
      </c>
      <c r="P12" s="231">
        <v>0</v>
      </c>
      <c r="Q12" s="231">
        <v>0</v>
      </c>
      <c r="R12" s="231">
        <v>0</v>
      </c>
      <c r="S12" s="231">
        <v>0</v>
      </c>
      <c r="T12" s="231">
        <v>0</v>
      </c>
      <c r="U12" s="231">
        <v>0</v>
      </c>
      <c r="V12" s="231">
        <v>0</v>
      </c>
      <c r="W12" s="231"/>
      <c r="X12" s="388">
        <f t="shared" si="1"/>
        <v>42.93</v>
      </c>
      <c r="Y12" s="389"/>
      <c r="Z12" s="233">
        <f t="shared" si="2"/>
        <v>1</v>
      </c>
      <c r="AA12" s="233">
        <f t="shared" si="3"/>
        <v>1</v>
      </c>
      <c r="AB12" s="233">
        <f t="shared" si="4"/>
        <v>1</v>
      </c>
      <c r="AC12" s="233">
        <f t="shared" si="5"/>
        <v>1</v>
      </c>
      <c r="AD12" s="233">
        <f t="shared" si="6"/>
        <v>1</v>
      </c>
      <c r="AE12" s="233">
        <f t="shared" si="7"/>
        <v>0</v>
      </c>
      <c r="AF12" s="233">
        <f t="shared" si="8"/>
        <v>0</v>
      </c>
      <c r="AG12" s="233">
        <f t="shared" si="9"/>
        <v>0</v>
      </c>
      <c r="AH12" s="233">
        <f t="shared" si="10"/>
        <v>0</v>
      </c>
      <c r="AI12" s="233">
        <f t="shared" si="11"/>
        <v>0</v>
      </c>
      <c r="AJ12" s="233">
        <f t="shared" si="12"/>
        <v>0</v>
      </c>
      <c r="AK12" s="233">
        <f t="shared" si="13"/>
        <v>0</v>
      </c>
      <c r="AL12" s="234">
        <f t="shared" si="14"/>
        <v>0.41666666666666669</v>
      </c>
      <c r="AN12" s="234">
        <f t="shared" si="15"/>
        <v>0</v>
      </c>
    </row>
    <row r="13" spans="1:41">
      <c r="A13" s="218" t="str">
        <f>$A$1&amp;"Residential"&amp;B13</f>
        <v>PIERCE UTCResidentialRL032.0G1M001WREC</v>
      </c>
      <c r="B13" s="230" t="s">
        <v>163</v>
      </c>
      <c r="C13" s="230" t="s">
        <v>164</v>
      </c>
      <c r="D13" s="230" t="s">
        <v>343</v>
      </c>
      <c r="E13" s="380">
        <v>32000</v>
      </c>
      <c r="F13" s="231">
        <v>7.57</v>
      </c>
      <c r="G13" s="231">
        <v>7.61</v>
      </c>
      <c r="H13" s="231">
        <v>7.61</v>
      </c>
      <c r="I13" s="231">
        <v>0</v>
      </c>
      <c r="J13" s="231"/>
      <c r="K13" s="231">
        <v>355.78999999999996</v>
      </c>
      <c r="L13" s="231">
        <v>355.78999999999996</v>
      </c>
      <c r="M13" s="231">
        <v>352.005</v>
      </c>
      <c r="N13" s="231">
        <v>353.84500000000003</v>
      </c>
      <c r="O13" s="231">
        <v>254.935</v>
      </c>
      <c r="P13" s="231">
        <v>98.93</v>
      </c>
      <c r="Q13" s="231">
        <v>3.8050000000000002</v>
      </c>
      <c r="R13" s="231">
        <v>0</v>
      </c>
      <c r="S13" s="231">
        <v>0</v>
      </c>
      <c r="T13" s="231">
        <v>0</v>
      </c>
      <c r="U13" s="231">
        <v>0</v>
      </c>
      <c r="V13" s="231">
        <v>0</v>
      </c>
      <c r="W13" s="231"/>
      <c r="X13" s="388">
        <f t="shared" si="1"/>
        <v>1775.1000000000001</v>
      </c>
      <c r="Y13" s="389"/>
      <c r="Z13" s="233">
        <f t="shared" si="2"/>
        <v>46.999999999999993</v>
      </c>
      <c r="AA13" s="233">
        <f t="shared" si="3"/>
        <v>46.999999999999993</v>
      </c>
      <c r="AB13" s="233">
        <f t="shared" si="4"/>
        <v>46.5</v>
      </c>
      <c r="AC13" s="233">
        <f t="shared" si="5"/>
        <v>46.497371879106439</v>
      </c>
      <c r="AD13" s="233">
        <f t="shared" si="6"/>
        <v>33.5</v>
      </c>
      <c r="AE13" s="233">
        <f t="shared" si="7"/>
        <v>13</v>
      </c>
      <c r="AF13" s="233">
        <f t="shared" si="8"/>
        <v>0.5</v>
      </c>
      <c r="AG13" s="233">
        <f t="shared" si="9"/>
        <v>0</v>
      </c>
      <c r="AH13" s="233">
        <f t="shared" si="10"/>
        <v>0</v>
      </c>
      <c r="AI13" s="233">
        <f t="shared" si="11"/>
        <v>0</v>
      </c>
      <c r="AJ13" s="233">
        <f t="shared" si="12"/>
        <v>0</v>
      </c>
      <c r="AK13" s="233">
        <f t="shared" si="13"/>
        <v>0</v>
      </c>
      <c r="AL13" s="234">
        <f t="shared" si="14"/>
        <v>19.499780989925537</v>
      </c>
      <c r="AN13" s="234">
        <f t="shared" si="15"/>
        <v>1</v>
      </c>
    </row>
    <row r="14" spans="1:41">
      <c r="A14" s="218" t="str">
        <f>$A$1&amp;"Residential"&amp;B14</f>
        <v>PIERCE UTCResidentialRL032.0G1W001NOREC</v>
      </c>
      <c r="B14" s="230" t="s">
        <v>165</v>
      </c>
      <c r="C14" s="230" t="s">
        <v>744</v>
      </c>
      <c r="D14" s="230" t="s">
        <v>343</v>
      </c>
      <c r="E14" s="380">
        <v>32000</v>
      </c>
      <c r="F14" s="231">
        <v>19.93</v>
      </c>
      <c r="G14" s="231">
        <v>20.11</v>
      </c>
      <c r="H14" s="231">
        <v>20.11</v>
      </c>
      <c r="I14" s="231">
        <v>0</v>
      </c>
      <c r="J14" s="231"/>
      <c r="K14" s="231">
        <v>1355.2399999999998</v>
      </c>
      <c r="L14" s="231">
        <v>1355.24</v>
      </c>
      <c r="M14" s="231">
        <v>1345.1849999999999</v>
      </c>
      <c r="N14" s="231">
        <v>1357.425</v>
      </c>
      <c r="O14" s="231">
        <v>971.25</v>
      </c>
      <c r="P14" s="231">
        <v>306.51</v>
      </c>
      <c r="Q14" s="231">
        <v>0</v>
      </c>
      <c r="R14" s="231">
        <v>0</v>
      </c>
      <c r="S14" s="231">
        <v>0</v>
      </c>
      <c r="T14" s="231">
        <v>0</v>
      </c>
      <c r="U14" s="231">
        <v>0</v>
      </c>
      <c r="V14" s="231">
        <v>0</v>
      </c>
      <c r="W14" s="231"/>
      <c r="X14" s="388">
        <f t="shared" si="1"/>
        <v>6690.8499999999995</v>
      </c>
      <c r="Y14" s="389"/>
      <c r="Z14" s="233">
        <f t="shared" si="2"/>
        <v>67.999999999999986</v>
      </c>
      <c r="AA14" s="233">
        <f t="shared" si="3"/>
        <v>68</v>
      </c>
      <c r="AB14" s="233">
        <f t="shared" si="4"/>
        <v>67.495484194681381</v>
      </c>
      <c r="AC14" s="233">
        <f t="shared" si="5"/>
        <v>67.5</v>
      </c>
      <c r="AD14" s="233">
        <f t="shared" si="6"/>
        <v>48.296867230233715</v>
      </c>
      <c r="AE14" s="233">
        <f t="shared" si="7"/>
        <v>15.241670810542018</v>
      </c>
      <c r="AF14" s="233">
        <f t="shared" si="8"/>
        <v>0</v>
      </c>
      <c r="AG14" s="233">
        <f t="shared" si="9"/>
        <v>0</v>
      </c>
      <c r="AH14" s="233">
        <f t="shared" si="10"/>
        <v>0</v>
      </c>
      <c r="AI14" s="233">
        <f t="shared" si="11"/>
        <v>0</v>
      </c>
      <c r="AJ14" s="233">
        <f t="shared" si="12"/>
        <v>0</v>
      </c>
      <c r="AK14" s="233">
        <f t="shared" si="13"/>
        <v>0</v>
      </c>
      <c r="AL14" s="234">
        <f t="shared" si="14"/>
        <v>27.877835186288092</v>
      </c>
      <c r="AN14" s="234">
        <f t="shared" si="15"/>
        <v>0</v>
      </c>
    </row>
    <row r="15" spans="1:41">
      <c r="A15" s="218" t="str">
        <f>$A$1&amp;"Residential"&amp;B15</f>
        <v>PIERCE UTCResidentialRL032.0G1W001WREC</v>
      </c>
      <c r="B15" s="230" t="s">
        <v>166</v>
      </c>
      <c r="C15" s="230" t="s">
        <v>167</v>
      </c>
      <c r="D15" s="230" t="s">
        <v>343</v>
      </c>
      <c r="E15" s="380">
        <v>32000</v>
      </c>
      <c r="F15" s="231">
        <v>18.93</v>
      </c>
      <c r="G15" s="231">
        <v>19.11</v>
      </c>
      <c r="H15" s="231">
        <v>19.11</v>
      </c>
      <c r="I15" s="231">
        <v>0</v>
      </c>
      <c r="J15" s="231"/>
      <c r="K15" s="231">
        <v>3478.915</v>
      </c>
      <c r="L15" s="231">
        <v>3422.12</v>
      </c>
      <c r="M15" s="231">
        <v>3336.05</v>
      </c>
      <c r="N15" s="231">
        <v>3360.375</v>
      </c>
      <c r="O15" s="231">
        <v>2548</v>
      </c>
      <c r="P15" s="231">
        <v>764.4</v>
      </c>
      <c r="Q15" s="231">
        <v>-9.4700000000000006</v>
      </c>
      <c r="R15" s="231">
        <v>0</v>
      </c>
      <c r="S15" s="231">
        <v>0</v>
      </c>
      <c r="T15" s="231">
        <v>0</v>
      </c>
      <c r="U15" s="231">
        <v>0</v>
      </c>
      <c r="V15" s="231">
        <v>0</v>
      </c>
      <c r="W15" s="231"/>
      <c r="X15" s="388">
        <f t="shared" si="1"/>
        <v>16900.39</v>
      </c>
      <c r="Y15" s="389"/>
      <c r="Z15" s="233">
        <f t="shared" si="2"/>
        <v>183.77786582144745</v>
      </c>
      <c r="AA15" s="233">
        <f t="shared" si="3"/>
        <v>180.77760169043844</v>
      </c>
      <c r="AB15" s="233">
        <f t="shared" si="4"/>
        <v>176.23085050184892</v>
      </c>
      <c r="AC15" s="233">
        <f t="shared" si="5"/>
        <v>175.84379905808478</v>
      </c>
      <c r="AD15" s="233">
        <f t="shared" si="6"/>
        <v>133.33333333333334</v>
      </c>
      <c r="AE15" s="233">
        <f t="shared" si="7"/>
        <v>40</v>
      </c>
      <c r="AF15" s="233">
        <f t="shared" si="8"/>
        <v>-0.49555206698063847</v>
      </c>
      <c r="AG15" s="233">
        <f t="shared" si="9"/>
        <v>0</v>
      </c>
      <c r="AH15" s="233">
        <f t="shared" si="10"/>
        <v>0</v>
      </c>
      <c r="AI15" s="233">
        <f t="shared" si="11"/>
        <v>0</v>
      </c>
      <c r="AJ15" s="233">
        <f t="shared" si="12"/>
        <v>0</v>
      </c>
      <c r="AK15" s="233">
        <f t="shared" si="13"/>
        <v>0</v>
      </c>
      <c r="AL15" s="234">
        <f t="shared" si="14"/>
        <v>74.122324861514372</v>
      </c>
      <c r="AN15" s="234">
        <f t="shared" si="15"/>
        <v>-0.99110413396127695</v>
      </c>
    </row>
    <row r="16" spans="1:41">
      <c r="A16" s="218" t="str">
        <f>$A$1&amp;"Residential"&amp;B16</f>
        <v>PIERCE UTCResidentialRL032.0G1W002NOREC</v>
      </c>
      <c r="B16" s="230" t="s">
        <v>168</v>
      </c>
      <c r="C16" s="230" t="s">
        <v>745</v>
      </c>
      <c r="D16" s="230" t="s">
        <v>343</v>
      </c>
      <c r="E16" s="380">
        <v>32000</v>
      </c>
      <c r="F16" s="231">
        <v>29.91</v>
      </c>
      <c r="G16" s="231">
        <v>30.28</v>
      </c>
      <c r="H16" s="231">
        <v>30.28</v>
      </c>
      <c r="I16" s="231">
        <v>0</v>
      </c>
      <c r="J16" s="231"/>
      <c r="K16" s="231">
        <v>644.72500000000002</v>
      </c>
      <c r="L16" s="231">
        <v>658.02</v>
      </c>
      <c r="M16" s="231">
        <v>654.13</v>
      </c>
      <c r="N16" s="231">
        <v>666.16000000000008</v>
      </c>
      <c r="O16" s="231">
        <v>484.48</v>
      </c>
      <c r="P16" s="231">
        <v>121.12</v>
      </c>
      <c r="Q16" s="231">
        <v>0</v>
      </c>
      <c r="R16" s="231">
        <v>0</v>
      </c>
      <c r="S16" s="231">
        <v>0</v>
      </c>
      <c r="T16" s="231">
        <v>0</v>
      </c>
      <c r="U16" s="231">
        <v>0</v>
      </c>
      <c r="V16" s="231">
        <v>0</v>
      </c>
      <c r="W16" s="231"/>
      <c r="X16" s="388">
        <f t="shared" si="1"/>
        <v>3228.6349999999998</v>
      </c>
      <c r="Y16" s="389"/>
      <c r="Z16" s="233">
        <f t="shared" si="2"/>
        <v>21.555499832831831</v>
      </c>
      <c r="AA16" s="233">
        <f t="shared" si="3"/>
        <v>22</v>
      </c>
      <c r="AB16" s="233">
        <f t="shared" si="4"/>
        <v>21.869943162821798</v>
      </c>
      <c r="AC16" s="233">
        <f t="shared" si="5"/>
        <v>22.000000000000004</v>
      </c>
      <c r="AD16" s="233">
        <f t="shared" si="6"/>
        <v>16</v>
      </c>
      <c r="AE16" s="233">
        <f t="shared" si="7"/>
        <v>4</v>
      </c>
      <c r="AF16" s="233">
        <f t="shared" si="8"/>
        <v>0</v>
      </c>
      <c r="AG16" s="233">
        <f t="shared" si="9"/>
        <v>0</v>
      </c>
      <c r="AH16" s="233">
        <f t="shared" si="10"/>
        <v>0</v>
      </c>
      <c r="AI16" s="233">
        <f t="shared" si="11"/>
        <v>0</v>
      </c>
      <c r="AJ16" s="233">
        <f t="shared" si="12"/>
        <v>0</v>
      </c>
      <c r="AK16" s="233">
        <f t="shared" si="13"/>
        <v>0</v>
      </c>
      <c r="AL16" s="234">
        <f t="shared" si="14"/>
        <v>8.9521202496378027</v>
      </c>
      <c r="AN16" s="234">
        <f t="shared" si="15"/>
        <v>0</v>
      </c>
    </row>
    <row r="17" spans="1:40">
      <c r="A17" s="218" t="str">
        <f>$A$1&amp;"Residential"&amp;B17</f>
        <v>PIERCE UTCResidentialRL032.0G1W002WREC</v>
      </c>
      <c r="B17" s="230" t="s">
        <v>169</v>
      </c>
      <c r="C17" s="230" t="s">
        <v>170</v>
      </c>
      <c r="D17" s="230" t="s">
        <v>343</v>
      </c>
      <c r="E17" s="380">
        <v>32000</v>
      </c>
      <c r="F17" s="231">
        <v>27.91</v>
      </c>
      <c r="G17" s="231">
        <v>28.28</v>
      </c>
      <c r="H17" s="231">
        <v>28.28</v>
      </c>
      <c r="I17" s="231">
        <v>0</v>
      </c>
      <c r="J17" s="231"/>
      <c r="K17" s="231">
        <v>5135.4400000000005</v>
      </c>
      <c r="L17" s="231">
        <v>5054.8100000000004</v>
      </c>
      <c r="M17" s="231">
        <v>4919.5349999999999</v>
      </c>
      <c r="N17" s="231">
        <v>4968.7749999999996</v>
      </c>
      <c r="O17" s="231">
        <v>3528.72</v>
      </c>
      <c r="P17" s="231">
        <v>1300.8800000000001</v>
      </c>
      <c r="Q17" s="231">
        <v>0</v>
      </c>
      <c r="R17" s="231">
        <v>56.56</v>
      </c>
      <c r="S17" s="231">
        <v>0</v>
      </c>
      <c r="T17" s="231">
        <v>0</v>
      </c>
      <c r="U17" s="231">
        <v>0</v>
      </c>
      <c r="V17" s="231">
        <v>0</v>
      </c>
      <c r="W17" s="231"/>
      <c r="X17" s="388">
        <f t="shared" si="1"/>
        <v>24964.720000000001</v>
      </c>
      <c r="Y17" s="389"/>
      <c r="Z17" s="233">
        <f t="shared" si="2"/>
        <v>184.00000000000003</v>
      </c>
      <c r="AA17" s="233">
        <f t="shared" si="3"/>
        <v>181.11107130060913</v>
      </c>
      <c r="AB17" s="233">
        <f t="shared" si="4"/>
        <v>176.26424220709421</v>
      </c>
      <c r="AC17" s="233">
        <f t="shared" si="5"/>
        <v>175.69925742574256</v>
      </c>
      <c r="AD17" s="233">
        <f t="shared" si="6"/>
        <v>124.77793493635076</v>
      </c>
      <c r="AE17" s="233">
        <f t="shared" si="7"/>
        <v>46</v>
      </c>
      <c r="AF17" s="233">
        <f t="shared" si="8"/>
        <v>0</v>
      </c>
      <c r="AG17" s="233">
        <f t="shared" si="9"/>
        <v>2</v>
      </c>
      <c r="AH17" s="233">
        <f t="shared" si="10"/>
        <v>0</v>
      </c>
      <c r="AI17" s="233">
        <f t="shared" si="11"/>
        <v>0</v>
      </c>
      <c r="AJ17" s="233">
        <f t="shared" si="12"/>
        <v>0</v>
      </c>
      <c r="AK17" s="233">
        <f t="shared" si="13"/>
        <v>0</v>
      </c>
      <c r="AL17" s="234">
        <f t="shared" si="14"/>
        <v>74.154375489149729</v>
      </c>
      <c r="AN17" s="234">
        <f t="shared" si="15"/>
        <v>4</v>
      </c>
    </row>
    <row r="18" spans="1:40">
      <c r="A18" s="218" t="str">
        <f>$A$1&amp;"Residential"&amp;B18</f>
        <v>PIERCE UTCResidentialRL032.0G1W003WREC</v>
      </c>
      <c r="B18" s="230" t="s">
        <v>171</v>
      </c>
      <c r="C18" s="230" t="s">
        <v>746</v>
      </c>
      <c r="D18" s="230" t="s">
        <v>343</v>
      </c>
      <c r="E18" s="380">
        <v>32000</v>
      </c>
      <c r="F18" s="231">
        <v>37.65</v>
      </c>
      <c r="G18" s="231">
        <v>38.200000000000003</v>
      </c>
      <c r="H18" s="231">
        <v>38.200000000000003</v>
      </c>
      <c r="I18" s="231">
        <v>0</v>
      </c>
      <c r="J18" s="231"/>
      <c r="K18" s="231">
        <v>301.2</v>
      </c>
      <c r="L18" s="231">
        <v>301.2</v>
      </c>
      <c r="M18" s="231">
        <v>301.2</v>
      </c>
      <c r="N18" s="231">
        <v>305.60000000000002</v>
      </c>
      <c r="O18" s="231">
        <v>210.1</v>
      </c>
      <c r="P18" s="231">
        <v>95.5</v>
      </c>
      <c r="Q18" s="231">
        <v>0</v>
      </c>
      <c r="R18" s="231">
        <v>0</v>
      </c>
      <c r="S18" s="231">
        <v>0</v>
      </c>
      <c r="T18" s="231">
        <v>0</v>
      </c>
      <c r="U18" s="231">
        <v>0</v>
      </c>
      <c r="V18" s="231">
        <v>0</v>
      </c>
      <c r="W18" s="231"/>
      <c r="X18" s="388">
        <f t="shared" si="1"/>
        <v>1514.7999999999997</v>
      </c>
      <c r="Y18" s="389"/>
      <c r="Z18" s="233">
        <f t="shared" si="2"/>
        <v>8</v>
      </c>
      <c r="AA18" s="233">
        <f t="shared" si="3"/>
        <v>8</v>
      </c>
      <c r="AB18" s="233">
        <f t="shared" si="4"/>
        <v>8</v>
      </c>
      <c r="AC18" s="233">
        <f t="shared" si="5"/>
        <v>8</v>
      </c>
      <c r="AD18" s="233">
        <f t="shared" si="6"/>
        <v>5.4999999999999991</v>
      </c>
      <c r="AE18" s="233">
        <f t="shared" si="7"/>
        <v>2.5</v>
      </c>
      <c r="AF18" s="233">
        <f t="shared" si="8"/>
        <v>0</v>
      </c>
      <c r="AG18" s="233">
        <f t="shared" si="9"/>
        <v>0</v>
      </c>
      <c r="AH18" s="233">
        <f t="shared" si="10"/>
        <v>0</v>
      </c>
      <c r="AI18" s="233">
        <f t="shared" si="11"/>
        <v>0</v>
      </c>
      <c r="AJ18" s="233">
        <f t="shared" si="12"/>
        <v>0</v>
      </c>
      <c r="AK18" s="233">
        <f t="shared" si="13"/>
        <v>0</v>
      </c>
      <c r="AL18" s="234">
        <f t="shared" si="14"/>
        <v>3.3333333333333335</v>
      </c>
      <c r="AN18" s="234">
        <f t="shared" si="15"/>
        <v>0</v>
      </c>
    </row>
    <row r="19" spans="1:40">
      <c r="A19" s="218" t="str">
        <f>$A$1&amp;"Residential"&amp;B19</f>
        <v>PIERCE UTCResidentialRL032.0G1W004NOREC</v>
      </c>
      <c r="B19" s="230" t="s">
        <v>172</v>
      </c>
      <c r="C19" s="230" t="s">
        <v>747</v>
      </c>
      <c r="D19" s="230" t="s">
        <v>343</v>
      </c>
      <c r="E19" s="380">
        <v>32000</v>
      </c>
      <c r="F19" s="231">
        <v>50.79</v>
      </c>
      <c r="G19" s="231">
        <v>51.52</v>
      </c>
      <c r="H19" s="231">
        <v>51.52</v>
      </c>
      <c r="I19" s="231">
        <v>0</v>
      </c>
      <c r="J19" s="231"/>
      <c r="K19" s="231">
        <v>50.79</v>
      </c>
      <c r="L19" s="231">
        <v>50.79</v>
      </c>
      <c r="M19" s="231">
        <v>50.79</v>
      </c>
      <c r="N19" s="231">
        <v>51.52</v>
      </c>
      <c r="O19" s="231">
        <v>25.76</v>
      </c>
      <c r="P19" s="231">
        <v>25.76</v>
      </c>
      <c r="Q19" s="231">
        <v>0</v>
      </c>
      <c r="R19" s="231">
        <v>0</v>
      </c>
      <c r="S19" s="231">
        <v>0</v>
      </c>
      <c r="T19" s="231">
        <v>0</v>
      </c>
      <c r="U19" s="231">
        <v>0</v>
      </c>
      <c r="V19" s="231">
        <v>0</v>
      </c>
      <c r="W19" s="231"/>
      <c r="X19" s="388">
        <f t="shared" si="1"/>
        <v>255.41</v>
      </c>
      <c r="Y19" s="389"/>
      <c r="Z19" s="233">
        <f t="shared" si="2"/>
        <v>1</v>
      </c>
      <c r="AA19" s="233">
        <f t="shared" si="3"/>
        <v>1</v>
      </c>
      <c r="AB19" s="233">
        <f t="shared" si="4"/>
        <v>1</v>
      </c>
      <c r="AC19" s="233">
        <f t="shared" si="5"/>
        <v>1</v>
      </c>
      <c r="AD19" s="233">
        <f t="shared" si="6"/>
        <v>0.5</v>
      </c>
      <c r="AE19" s="233">
        <f t="shared" si="7"/>
        <v>0.5</v>
      </c>
      <c r="AF19" s="233">
        <f t="shared" si="8"/>
        <v>0</v>
      </c>
      <c r="AG19" s="233">
        <f t="shared" si="9"/>
        <v>0</v>
      </c>
      <c r="AH19" s="233">
        <f t="shared" si="10"/>
        <v>0</v>
      </c>
      <c r="AI19" s="233">
        <f t="shared" si="11"/>
        <v>0</v>
      </c>
      <c r="AJ19" s="233">
        <f t="shared" si="12"/>
        <v>0</v>
      </c>
      <c r="AK19" s="233">
        <f t="shared" si="13"/>
        <v>0</v>
      </c>
      <c r="AL19" s="234">
        <f t="shared" si="14"/>
        <v>0.41666666666666669</v>
      </c>
      <c r="AN19" s="234">
        <f t="shared" si="15"/>
        <v>0</v>
      </c>
    </row>
    <row r="20" spans="1:40">
      <c r="A20" s="218" t="str">
        <f>$A$1&amp;"Residential"&amp;B20</f>
        <v>PIERCE UTCResidentialRL032.0G1W004WREC</v>
      </c>
      <c r="B20" s="230" t="s">
        <v>173</v>
      </c>
      <c r="C20" s="230" t="s">
        <v>748</v>
      </c>
      <c r="D20" s="230" t="s">
        <v>343</v>
      </c>
      <c r="E20" s="380">
        <v>32000</v>
      </c>
      <c r="F20" s="231">
        <v>46.79</v>
      </c>
      <c r="G20" s="231">
        <v>47.52</v>
      </c>
      <c r="H20" s="231">
        <v>47.52</v>
      </c>
      <c r="I20" s="231">
        <v>0</v>
      </c>
      <c r="J20" s="231"/>
      <c r="K20" s="231">
        <v>35.729999999999997</v>
      </c>
      <c r="L20" s="231">
        <v>93.58</v>
      </c>
      <c r="M20" s="231">
        <v>93.58</v>
      </c>
      <c r="N20" s="231">
        <v>95.04</v>
      </c>
      <c r="O20" s="231">
        <v>47.52</v>
      </c>
      <c r="P20" s="231">
        <v>47.52</v>
      </c>
      <c r="Q20" s="231">
        <v>0</v>
      </c>
      <c r="R20" s="231">
        <v>0</v>
      </c>
      <c r="S20" s="231">
        <v>0</v>
      </c>
      <c r="T20" s="231">
        <v>0</v>
      </c>
      <c r="U20" s="231">
        <v>0</v>
      </c>
      <c r="V20" s="231">
        <v>0</v>
      </c>
      <c r="W20" s="231"/>
      <c r="X20" s="388">
        <f t="shared" si="1"/>
        <v>412.96999999999997</v>
      </c>
      <c r="Y20" s="389"/>
      <c r="Z20" s="233">
        <f t="shared" si="2"/>
        <v>0.76362470613378919</v>
      </c>
      <c r="AA20" s="233">
        <f t="shared" si="3"/>
        <v>2</v>
      </c>
      <c r="AB20" s="233">
        <f t="shared" si="4"/>
        <v>2</v>
      </c>
      <c r="AC20" s="233">
        <f t="shared" si="5"/>
        <v>2</v>
      </c>
      <c r="AD20" s="233">
        <f t="shared" si="6"/>
        <v>1</v>
      </c>
      <c r="AE20" s="233">
        <f t="shared" si="7"/>
        <v>1</v>
      </c>
      <c r="AF20" s="233">
        <f t="shared" si="8"/>
        <v>0</v>
      </c>
      <c r="AG20" s="233">
        <f t="shared" si="9"/>
        <v>0</v>
      </c>
      <c r="AH20" s="233">
        <f t="shared" si="10"/>
        <v>0</v>
      </c>
      <c r="AI20" s="233">
        <f t="shared" si="11"/>
        <v>0</v>
      </c>
      <c r="AJ20" s="233">
        <f t="shared" si="12"/>
        <v>0</v>
      </c>
      <c r="AK20" s="233">
        <f t="shared" si="13"/>
        <v>0</v>
      </c>
      <c r="AL20" s="234">
        <f t="shared" si="14"/>
        <v>0.73030205884448252</v>
      </c>
      <c r="AN20" s="234">
        <f t="shared" si="15"/>
        <v>0</v>
      </c>
    </row>
    <row r="21" spans="1:40">
      <c r="A21" s="218" t="str">
        <f>$A$1&amp;"Residential"&amp;B21</f>
        <v>PIERCE UTCResidentialSL035.0G1M001WREC</v>
      </c>
      <c r="B21" s="230" t="s">
        <v>174</v>
      </c>
      <c r="C21" s="230" t="s">
        <v>749</v>
      </c>
      <c r="D21" s="230" t="s">
        <v>343</v>
      </c>
      <c r="E21" s="380">
        <v>32000</v>
      </c>
      <c r="F21" s="231">
        <v>9.3699999999999992</v>
      </c>
      <c r="G21" s="231">
        <v>9.41</v>
      </c>
      <c r="H21" s="231">
        <v>9.32</v>
      </c>
      <c r="I21" s="231">
        <v>9.35</v>
      </c>
      <c r="J21" s="231"/>
      <c r="K21" s="231">
        <v>543.46</v>
      </c>
      <c r="L21" s="231">
        <v>552.83000000000004</v>
      </c>
      <c r="M21" s="231">
        <v>580.94000000000005</v>
      </c>
      <c r="N21" s="231">
        <v>621.02</v>
      </c>
      <c r="O21" s="231">
        <v>718.78500000000008</v>
      </c>
      <c r="P21" s="231">
        <v>869.21500000000003</v>
      </c>
      <c r="Q21" s="231">
        <v>997.24</v>
      </c>
      <c r="R21" s="231">
        <v>988.55</v>
      </c>
      <c r="S21" s="231">
        <v>995.08500000000004</v>
      </c>
      <c r="T21" s="231">
        <v>958.375</v>
      </c>
      <c r="U21" s="231">
        <v>920.97499999999991</v>
      </c>
      <c r="V21" s="231">
        <v>939.67499999999995</v>
      </c>
      <c r="W21" s="231"/>
      <c r="X21" s="388">
        <f t="shared" si="1"/>
        <v>9686.15</v>
      </c>
      <c r="Y21" s="389"/>
      <c r="Z21" s="233">
        <f t="shared" si="2"/>
        <v>58.000000000000007</v>
      </c>
      <c r="AA21" s="233">
        <f t="shared" si="3"/>
        <v>59.000000000000007</v>
      </c>
      <c r="AB21" s="233">
        <f t="shared" si="4"/>
        <v>62.000000000000014</v>
      </c>
      <c r="AC21" s="233">
        <f t="shared" si="5"/>
        <v>65.99574920297556</v>
      </c>
      <c r="AD21" s="233">
        <f t="shared" si="6"/>
        <v>76.385228480340075</v>
      </c>
      <c r="AE21" s="233">
        <f t="shared" si="7"/>
        <v>93.263412017167383</v>
      </c>
      <c r="AF21" s="233">
        <f t="shared" si="8"/>
        <v>107</v>
      </c>
      <c r="AG21" s="233">
        <f t="shared" si="9"/>
        <v>106.06759656652359</v>
      </c>
      <c r="AH21" s="233">
        <f t="shared" si="10"/>
        <v>106.42620320855616</v>
      </c>
      <c r="AI21" s="233">
        <f t="shared" si="11"/>
        <v>102.5</v>
      </c>
      <c r="AJ21" s="233">
        <f t="shared" si="12"/>
        <v>98.5</v>
      </c>
      <c r="AK21" s="233">
        <f t="shared" si="13"/>
        <v>100.5</v>
      </c>
      <c r="AL21" s="234">
        <f t="shared" si="14"/>
        <v>86.303182456296895</v>
      </c>
      <c r="AN21" s="234">
        <f t="shared" si="15"/>
        <v>1241.9875995501595</v>
      </c>
    </row>
    <row r="22" spans="1:40">
      <c r="A22" s="218" t="str">
        <f>$A$1&amp;"Residential"&amp;B22</f>
        <v>PIERCE UTCResidentialSL035.0GEO001WREC</v>
      </c>
      <c r="B22" s="230" t="s">
        <v>176</v>
      </c>
      <c r="C22" s="230" t="s">
        <v>177</v>
      </c>
      <c r="D22" s="230" t="s">
        <v>343</v>
      </c>
      <c r="E22" s="380">
        <v>32000</v>
      </c>
      <c r="F22" s="231">
        <v>12.78</v>
      </c>
      <c r="G22" s="231">
        <v>12.87</v>
      </c>
      <c r="H22" s="231">
        <v>12.75</v>
      </c>
      <c r="I22" s="231">
        <v>12.79</v>
      </c>
      <c r="J22" s="231"/>
      <c r="K22" s="231">
        <v>4230.1849999999995</v>
      </c>
      <c r="L22" s="231">
        <v>4314.87</v>
      </c>
      <c r="M22" s="231">
        <v>4701.55</v>
      </c>
      <c r="N22" s="231">
        <v>4969.375</v>
      </c>
      <c r="O22" s="231">
        <v>5098.4549999999999</v>
      </c>
      <c r="P22" s="231">
        <v>5162.4649999999992</v>
      </c>
      <c r="Q22" s="231">
        <v>5110.2299999999996</v>
      </c>
      <c r="R22" s="231">
        <v>5285.5950000000003</v>
      </c>
      <c r="S22" s="231">
        <v>5359.33</v>
      </c>
      <c r="T22" s="231">
        <v>5396.46</v>
      </c>
      <c r="U22" s="231">
        <v>5466.375</v>
      </c>
      <c r="V22" s="231">
        <v>5470.78</v>
      </c>
      <c r="W22" s="231"/>
      <c r="X22" s="388">
        <f t="shared" si="1"/>
        <v>60565.67</v>
      </c>
      <c r="Y22" s="389"/>
      <c r="Z22" s="233">
        <f t="shared" si="2"/>
        <v>331.00039123630671</v>
      </c>
      <c r="AA22" s="233">
        <f t="shared" si="3"/>
        <v>337.62676056338029</v>
      </c>
      <c r="AB22" s="233">
        <f t="shared" si="4"/>
        <v>367.88341158059472</v>
      </c>
      <c r="AC22" s="233">
        <f t="shared" si="5"/>
        <v>386.12082362082367</v>
      </c>
      <c r="AD22" s="233">
        <f t="shared" si="6"/>
        <v>396.15034965034965</v>
      </c>
      <c r="AE22" s="233">
        <f t="shared" si="7"/>
        <v>404.89921568627443</v>
      </c>
      <c r="AF22" s="233">
        <f t="shared" si="8"/>
        <v>400.80235294117642</v>
      </c>
      <c r="AG22" s="233">
        <f t="shared" si="9"/>
        <v>414.5564705882353</v>
      </c>
      <c r="AH22" s="233">
        <f t="shared" si="10"/>
        <v>419.02501954652075</v>
      </c>
      <c r="AI22" s="233">
        <f t="shared" si="11"/>
        <v>421.92806880375298</v>
      </c>
      <c r="AJ22" s="233">
        <f t="shared" si="12"/>
        <v>427.39444878811577</v>
      </c>
      <c r="AK22" s="233">
        <f t="shared" si="13"/>
        <v>427.73885848319003</v>
      </c>
      <c r="AL22" s="234">
        <f t="shared" si="14"/>
        <v>394.59384762406006</v>
      </c>
      <c r="AN22" s="234">
        <f t="shared" si="15"/>
        <v>5022.8904383019826</v>
      </c>
    </row>
    <row r="23" spans="1:40">
      <c r="A23" s="218" t="str">
        <f>$A$1&amp;"Residential"&amp;B23</f>
        <v>PIERCE UTCResidentialSL035.0G1W001NOREC</v>
      </c>
      <c r="B23" s="230" t="s">
        <v>699</v>
      </c>
      <c r="C23" s="230" t="s">
        <v>733</v>
      </c>
      <c r="D23" s="230" t="s">
        <v>343</v>
      </c>
      <c r="E23" s="380">
        <v>32000</v>
      </c>
      <c r="F23" s="231">
        <v>20.21</v>
      </c>
      <c r="G23" s="231">
        <v>20.39</v>
      </c>
      <c r="H23" s="231">
        <v>20.21</v>
      </c>
      <c r="I23" s="231">
        <v>20.27</v>
      </c>
      <c r="J23" s="231"/>
      <c r="K23" s="231">
        <v>550.16</v>
      </c>
      <c r="L23" s="231">
        <v>550.16</v>
      </c>
      <c r="M23" s="231">
        <v>558.29499999999996</v>
      </c>
      <c r="N23" s="231">
        <v>563.25500000000011</v>
      </c>
      <c r="O23" s="231">
        <v>1106.9349999999999</v>
      </c>
      <c r="P23" s="231">
        <v>2127.2800000000002</v>
      </c>
      <c r="Q23" s="231">
        <v>2555.4549999999999</v>
      </c>
      <c r="R23" s="231">
        <v>2489.9749999999999</v>
      </c>
      <c r="S23" s="231">
        <v>2435.0050000000001</v>
      </c>
      <c r="T23" s="231">
        <v>2414.37</v>
      </c>
      <c r="U23" s="231">
        <v>2363.3599999999997</v>
      </c>
      <c r="V23" s="231">
        <v>2372.9949999999999</v>
      </c>
      <c r="W23" s="231"/>
      <c r="X23" s="388">
        <f t="shared" si="1"/>
        <v>20087.244999999999</v>
      </c>
      <c r="Y23" s="389"/>
      <c r="Z23" s="233">
        <f t="shared" si="2"/>
        <v>27.222167243938642</v>
      </c>
      <c r="AA23" s="233">
        <f t="shared" si="3"/>
        <v>27.222167243938642</v>
      </c>
      <c r="AB23" s="233">
        <f t="shared" si="4"/>
        <v>27.624690747154872</v>
      </c>
      <c r="AC23" s="233">
        <f t="shared" si="5"/>
        <v>27.624080431584115</v>
      </c>
      <c r="AD23" s="233">
        <f t="shared" si="6"/>
        <v>54.288131436978908</v>
      </c>
      <c r="AE23" s="233">
        <f t="shared" si="7"/>
        <v>105.2587827808016</v>
      </c>
      <c r="AF23" s="233">
        <f t="shared" si="8"/>
        <v>126.44507669470558</v>
      </c>
      <c r="AG23" s="233">
        <f t="shared" si="9"/>
        <v>123.20509648688767</v>
      </c>
      <c r="AH23" s="233">
        <f t="shared" si="10"/>
        <v>120.12851504686729</v>
      </c>
      <c r="AI23" s="233">
        <f t="shared" si="11"/>
        <v>119.11050814010854</v>
      </c>
      <c r="AJ23" s="233">
        <f t="shared" si="12"/>
        <v>116.59398125308336</v>
      </c>
      <c r="AK23" s="233">
        <f t="shared" si="13"/>
        <v>117.06931425752343</v>
      </c>
      <c r="AL23" s="234">
        <f t="shared" si="14"/>
        <v>82.649375980297719</v>
      </c>
      <c r="AN23" s="234">
        <f t="shared" si="15"/>
        <v>1445.1049837583516</v>
      </c>
    </row>
    <row r="24" spans="1:40">
      <c r="A24" s="218" t="str">
        <f>$A$1&amp;"Residential"&amp;B24</f>
        <v>PIERCE UTCResidentialSL035.0G1W001WREC</v>
      </c>
      <c r="B24" s="230" t="s">
        <v>178</v>
      </c>
      <c r="C24" s="230" t="s">
        <v>179</v>
      </c>
      <c r="D24" s="230" t="s">
        <v>343</v>
      </c>
      <c r="E24" s="380">
        <v>32000</v>
      </c>
      <c r="F24" s="231">
        <v>19.21</v>
      </c>
      <c r="G24" s="231">
        <v>19.39</v>
      </c>
      <c r="H24" s="231">
        <v>19.21</v>
      </c>
      <c r="I24" s="231">
        <v>19.27</v>
      </c>
      <c r="J24" s="231"/>
      <c r="K24" s="231">
        <v>46332.355000000003</v>
      </c>
      <c r="L24" s="231">
        <v>46455.950000000004</v>
      </c>
      <c r="M24" s="231">
        <v>46434.13</v>
      </c>
      <c r="N24" s="231">
        <v>46886.005000000019</v>
      </c>
      <c r="O24" s="231">
        <v>49489.675000000003</v>
      </c>
      <c r="P24" s="231">
        <v>54276.18</v>
      </c>
      <c r="Q24" s="231">
        <v>56601.664999999994</v>
      </c>
      <c r="R24" s="231">
        <v>56334.335000000006</v>
      </c>
      <c r="S24" s="231">
        <v>57180.934999999998</v>
      </c>
      <c r="T24" s="231">
        <v>57364.535000000003</v>
      </c>
      <c r="U24" s="231">
        <v>57604.14</v>
      </c>
      <c r="V24" s="231">
        <v>57618.21</v>
      </c>
      <c r="W24" s="231"/>
      <c r="X24" s="388">
        <f t="shared" si="1"/>
        <v>632578.11499999999</v>
      </c>
      <c r="Y24" s="389"/>
      <c r="Z24" s="233">
        <f t="shared" si="2"/>
        <v>2411.8872982821449</v>
      </c>
      <c r="AA24" s="233">
        <f t="shared" si="3"/>
        <v>2418.3211868818325</v>
      </c>
      <c r="AB24" s="233">
        <f t="shared" si="4"/>
        <v>2417.185320145757</v>
      </c>
      <c r="AC24" s="233">
        <f t="shared" si="5"/>
        <v>2418.0507993811252</v>
      </c>
      <c r="AD24" s="233">
        <f t="shared" si="6"/>
        <v>2552.3298091799898</v>
      </c>
      <c r="AE24" s="233">
        <f t="shared" si="7"/>
        <v>2825.4128058302967</v>
      </c>
      <c r="AF24" s="233">
        <f t="shared" si="8"/>
        <v>2946.4687662675683</v>
      </c>
      <c r="AG24" s="233">
        <f t="shared" si="9"/>
        <v>2932.5525767829258</v>
      </c>
      <c r="AH24" s="233">
        <f t="shared" si="10"/>
        <v>2967.3552153606643</v>
      </c>
      <c r="AI24" s="233">
        <f t="shared" si="11"/>
        <v>2976.8829787234044</v>
      </c>
      <c r="AJ24" s="233">
        <f t="shared" si="12"/>
        <v>2989.3170731707319</v>
      </c>
      <c r="AK24" s="233">
        <f t="shared" si="13"/>
        <v>2990.0472236637261</v>
      </c>
      <c r="AL24" s="234">
        <f t="shared" si="14"/>
        <v>2737.1509211391808</v>
      </c>
      <c r="AN24" s="234">
        <f t="shared" si="15"/>
        <v>35605.247667938042</v>
      </c>
    </row>
    <row r="25" spans="1:40">
      <c r="A25" s="218" t="str">
        <f>$A$1&amp;"Residential"&amp;B25</f>
        <v>PIERCE UTCResidentialSL035.0G1W003WREC</v>
      </c>
      <c r="B25" s="230" t="s">
        <v>700</v>
      </c>
      <c r="C25" s="230" t="s">
        <v>750</v>
      </c>
      <c r="D25" s="230" t="s">
        <v>343</v>
      </c>
      <c r="E25" s="380">
        <v>32000</v>
      </c>
      <c r="F25" s="231">
        <v>57.63</v>
      </c>
      <c r="G25" s="231">
        <v>58.17</v>
      </c>
      <c r="H25" s="231">
        <v>57.63</v>
      </c>
      <c r="I25" s="231">
        <v>57.81</v>
      </c>
      <c r="J25" s="231"/>
      <c r="K25" s="231">
        <v>57.63</v>
      </c>
      <c r="L25" s="231">
        <v>57.63</v>
      </c>
      <c r="M25" s="231">
        <v>57.63</v>
      </c>
      <c r="N25" s="231">
        <v>58.17</v>
      </c>
      <c r="O25" s="231">
        <v>58.17</v>
      </c>
      <c r="P25" s="231">
        <v>57.63</v>
      </c>
      <c r="Q25" s="231">
        <v>57.63</v>
      </c>
      <c r="R25" s="231">
        <v>57.72</v>
      </c>
      <c r="S25" s="231">
        <v>57.72</v>
      </c>
      <c r="T25" s="231">
        <v>57.81</v>
      </c>
      <c r="U25" s="231">
        <v>57.81</v>
      </c>
      <c r="V25" s="231">
        <v>57.81</v>
      </c>
      <c r="W25" s="231"/>
      <c r="X25" s="388">
        <f t="shared" si="1"/>
        <v>693.3599999999999</v>
      </c>
      <c r="Y25" s="389"/>
      <c r="Z25" s="233">
        <f t="shared" si="2"/>
        <v>1</v>
      </c>
      <c r="AA25" s="233">
        <f t="shared" si="3"/>
        <v>1</v>
      </c>
      <c r="AB25" s="233">
        <f t="shared" si="4"/>
        <v>1</v>
      </c>
      <c r="AC25" s="233">
        <f t="shared" si="5"/>
        <v>1</v>
      </c>
      <c r="AD25" s="233">
        <f t="shared" si="6"/>
        <v>1</v>
      </c>
      <c r="AE25" s="233">
        <f t="shared" si="7"/>
        <v>1</v>
      </c>
      <c r="AF25" s="233">
        <f t="shared" si="8"/>
        <v>1</v>
      </c>
      <c r="AG25" s="233">
        <f t="shared" si="9"/>
        <v>1.0015616866215513</v>
      </c>
      <c r="AH25" s="233">
        <f t="shared" si="10"/>
        <v>0.99844317592112086</v>
      </c>
      <c r="AI25" s="233">
        <f t="shared" si="11"/>
        <v>1</v>
      </c>
      <c r="AJ25" s="233">
        <f t="shared" si="12"/>
        <v>1</v>
      </c>
      <c r="AK25" s="233">
        <f t="shared" si="13"/>
        <v>1</v>
      </c>
      <c r="AL25" s="234">
        <f t="shared" si="14"/>
        <v>1.0000004052118894</v>
      </c>
      <c r="AN25" s="234">
        <f t="shared" si="15"/>
        <v>12.000009725085345</v>
      </c>
    </row>
    <row r="26" spans="1:40">
      <c r="A26" s="218" t="str">
        <f>$A$1&amp;"Residential"&amp;B26</f>
        <v>PIERCE UTCResidentialSL035.0G1W004WREC</v>
      </c>
      <c r="B26" s="230" t="s">
        <v>701</v>
      </c>
      <c r="C26" s="230" t="s">
        <v>751</v>
      </c>
      <c r="D26" s="230" t="s">
        <v>343</v>
      </c>
      <c r="E26" s="380">
        <v>32000</v>
      </c>
      <c r="F26" s="231">
        <v>76.84</v>
      </c>
      <c r="G26" s="231">
        <v>77.56</v>
      </c>
      <c r="H26" s="231">
        <v>76.84</v>
      </c>
      <c r="I26" s="231">
        <v>77.08</v>
      </c>
      <c r="J26" s="231"/>
      <c r="K26" s="231">
        <v>0</v>
      </c>
      <c r="L26" s="231">
        <v>0</v>
      </c>
      <c r="M26" s="231">
        <v>0</v>
      </c>
      <c r="N26" s="231">
        <v>0</v>
      </c>
      <c r="O26" s="231">
        <v>0</v>
      </c>
      <c r="P26" s="231">
        <v>0</v>
      </c>
      <c r="Q26" s="231">
        <v>0</v>
      </c>
      <c r="R26" s="231">
        <v>0</v>
      </c>
      <c r="S26" s="231">
        <v>0</v>
      </c>
      <c r="T26" s="231">
        <v>0</v>
      </c>
      <c r="U26" s="231">
        <v>0</v>
      </c>
      <c r="V26" s="231">
        <v>0</v>
      </c>
      <c r="W26" s="231"/>
      <c r="X26" s="388">
        <f t="shared" si="1"/>
        <v>0</v>
      </c>
      <c r="Y26" s="389"/>
      <c r="Z26" s="233">
        <f t="shared" si="2"/>
        <v>0</v>
      </c>
      <c r="AA26" s="233">
        <f t="shared" si="3"/>
        <v>0</v>
      </c>
      <c r="AB26" s="233">
        <f t="shared" si="4"/>
        <v>0</v>
      </c>
      <c r="AC26" s="233">
        <f t="shared" si="5"/>
        <v>0</v>
      </c>
      <c r="AD26" s="233">
        <f t="shared" si="6"/>
        <v>0</v>
      </c>
      <c r="AE26" s="233">
        <f t="shared" si="7"/>
        <v>0</v>
      </c>
      <c r="AF26" s="233">
        <f t="shared" si="8"/>
        <v>0</v>
      </c>
      <c r="AG26" s="233">
        <f t="shared" si="9"/>
        <v>0</v>
      </c>
      <c r="AH26" s="233">
        <f t="shared" si="10"/>
        <v>0</v>
      </c>
      <c r="AI26" s="233">
        <f t="shared" si="11"/>
        <v>0</v>
      </c>
      <c r="AJ26" s="233">
        <f t="shared" si="12"/>
        <v>0</v>
      </c>
      <c r="AK26" s="233">
        <f t="shared" si="13"/>
        <v>0</v>
      </c>
      <c r="AL26" s="234">
        <f t="shared" si="14"/>
        <v>0</v>
      </c>
      <c r="AN26" s="234">
        <f t="shared" si="15"/>
        <v>0</v>
      </c>
    </row>
    <row r="27" spans="1:40">
      <c r="A27" s="218" t="str">
        <f>$A$1&amp;"Residential"&amp;B27</f>
        <v>PIERCE UTCResidentialSL035.0GEO001NOREC</v>
      </c>
      <c r="B27" s="230" t="s">
        <v>702</v>
      </c>
      <c r="C27" s="230" t="s">
        <v>731</v>
      </c>
      <c r="D27" s="230" t="s">
        <v>343</v>
      </c>
      <c r="E27" s="380">
        <v>32000</v>
      </c>
      <c r="F27" s="231">
        <v>13.78</v>
      </c>
      <c r="G27" s="231">
        <v>13.87</v>
      </c>
      <c r="H27" s="231">
        <v>13.75</v>
      </c>
      <c r="I27" s="231">
        <v>13.79</v>
      </c>
      <c r="J27" s="231"/>
      <c r="K27" s="231">
        <v>110.24</v>
      </c>
      <c r="L27" s="231">
        <v>110.24</v>
      </c>
      <c r="M27" s="231">
        <v>110.24000000000001</v>
      </c>
      <c r="N27" s="231">
        <v>121.36500000000001</v>
      </c>
      <c r="O27" s="231">
        <v>121.36499999999999</v>
      </c>
      <c r="P27" s="231">
        <v>123.75</v>
      </c>
      <c r="Q27" s="231">
        <v>85.25</v>
      </c>
      <c r="R27" s="231">
        <v>85.289999999999992</v>
      </c>
      <c r="S27" s="231">
        <v>82.699999999999989</v>
      </c>
      <c r="T27" s="231">
        <v>96.53</v>
      </c>
      <c r="U27" s="231">
        <v>96.53</v>
      </c>
      <c r="V27" s="231">
        <v>107.565</v>
      </c>
      <c r="W27" s="231"/>
      <c r="X27" s="388">
        <f t="shared" si="1"/>
        <v>1251.0650000000001</v>
      </c>
      <c r="Y27" s="389"/>
      <c r="Z27" s="233">
        <f t="shared" si="2"/>
        <v>8</v>
      </c>
      <c r="AA27" s="233">
        <f t="shared" si="3"/>
        <v>8</v>
      </c>
      <c r="AB27" s="233">
        <f t="shared" si="4"/>
        <v>8.0000000000000018</v>
      </c>
      <c r="AC27" s="233">
        <f t="shared" si="5"/>
        <v>8.7501802451333823</v>
      </c>
      <c r="AD27" s="233">
        <f t="shared" si="6"/>
        <v>8.7501802451333823</v>
      </c>
      <c r="AE27" s="233">
        <f t="shared" si="7"/>
        <v>9</v>
      </c>
      <c r="AF27" s="233">
        <f t="shared" si="8"/>
        <v>6.2</v>
      </c>
      <c r="AG27" s="233">
        <f t="shared" si="9"/>
        <v>6.20290909090909</v>
      </c>
      <c r="AH27" s="233">
        <f t="shared" si="10"/>
        <v>5.9970993473531538</v>
      </c>
      <c r="AI27" s="233">
        <f t="shared" si="11"/>
        <v>7.0000000000000009</v>
      </c>
      <c r="AJ27" s="233">
        <f t="shared" si="12"/>
        <v>7.0000000000000009</v>
      </c>
      <c r="AK27" s="233">
        <f t="shared" si="13"/>
        <v>7.8002175489485142</v>
      </c>
      <c r="AL27" s="234">
        <f t="shared" si="14"/>
        <v>7.5583822064564599</v>
      </c>
      <c r="AN27" s="234">
        <f t="shared" si="15"/>
        <v>80.400451974421529</v>
      </c>
    </row>
    <row r="28" spans="1:40">
      <c r="A28" s="218" t="str">
        <f>$A$1&amp;"Residential"&amp;B28</f>
        <v>PIERCE UTCResidentialSL035.0G1W002WREC</v>
      </c>
      <c r="B28" s="230" t="s">
        <v>180</v>
      </c>
      <c r="C28" s="230" t="s">
        <v>181</v>
      </c>
      <c r="D28" s="230" t="s">
        <v>343</v>
      </c>
      <c r="E28" s="380">
        <v>32000</v>
      </c>
      <c r="F28" s="231">
        <v>38.42</v>
      </c>
      <c r="G28" s="231">
        <v>38.78</v>
      </c>
      <c r="H28" s="231">
        <v>38.42</v>
      </c>
      <c r="I28" s="231">
        <v>38.54</v>
      </c>
      <c r="J28" s="231"/>
      <c r="K28" s="231">
        <v>153.68</v>
      </c>
      <c r="L28" s="231">
        <v>153.68</v>
      </c>
      <c r="M28" s="231">
        <v>153.68</v>
      </c>
      <c r="N28" s="231">
        <v>116.34</v>
      </c>
      <c r="O28" s="231">
        <v>116.34</v>
      </c>
      <c r="P28" s="231">
        <v>115.26</v>
      </c>
      <c r="Q28" s="231">
        <v>115.26</v>
      </c>
      <c r="R28" s="231">
        <v>115.32</v>
      </c>
      <c r="S28" s="231">
        <v>115.56</v>
      </c>
      <c r="T28" s="231">
        <v>115.62</v>
      </c>
      <c r="U28" s="231">
        <v>115.62</v>
      </c>
      <c r="V28" s="231">
        <v>115.62</v>
      </c>
      <c r="W28" s="231"/>
      <c r="X28" s="388">
        <f t="shared" si="1"/>
        <v>1501.9799999999996</v>
      </c>
      <c r="Y28" s="389"/>
      <c r="Z28" s="233">
        <f t="shared" si="2"/>
        <v>4</v>
      </c>
      <c r="AA28" s="233">
        <f t="shared" si="3"/>
        <v>4</v>
      </c>
      <c r="AB28" s="233">
        <f t="shared" si="4"/>
        <v>4</v>
      </c>
      <c r="AC28" s="233">
        <f t="shared" si="5"/>
        <v>3</v>
      </c>
      <c r="AD28" s="233">
        <f t="shared" si="6"/>
        <v>3</v>
      </c>
      <c r="AE28" s="233">
        <f t="shared" si="7"/>
        <v>3</v>
      </c>
      <c r="AF28" s="233">
        <f t="shared" si="8"/>
        <v>3</v>
      </c>
      <c r="AG28" s="233">
        <f t="shared" si="9"/>
        <v>3.0015616866215509</v>
      </c>
      <c r="AH28" s="233">
        <f t="shared" si="10"/>
        <v>2.9984431759211212</v>
      </c>
      <c r="AI28" s="233">
        <f t="shared" si="11"/>
        <v>3</v>
      </c>
      <c r="AJ28" s="233">
        <f t="shared" si="12"/>
        <v>3</v>
      </c>
      <c r="AK28" s="233">
        <f t="shared" si="13"/>
        <v>3</v>
      </c>
      <c r="AL28" s="234">
        <f t="shared" si="14"/>
        <v>3.2500004052118889</v>
      </c>
      <c r="AN28" s="234">
        <f t="shared" si="15"/>
        <v>36.000009725085349</v>
      </c>
    </row>
    <row r="29" spans="1:40">
      <c r="A29" s="218" t="str">
        <f>$A$1&amp;"Residential"&amp;B29</f>
        <v>PIERCE UTCResidentialSL065.0G1M001NOREC</v>
      </c>
      <c r="B29" s="230" t="s">
        <v>182</v>
      </c>
      <c r="C29" s="230" t="s">
        <v>183</v>
      </c>
      <c r="D29" s="230" t="s">
        <v>343</v>
      </c>
      <c r="E29" s="380">
        <v>32000</v>
      </c>
      <c r="F29" s="231">
        <v>11.42</v>
      </c>
      <c r="G29" s="231">
        <v>11.48</v>
      </c>
      <c r="H29" s="231">
        <v>11.39</v>
      </c>
      <c r="I29" s="231">
        <v>11.42</v>
      </c>
      <c r="J29" s="231"/>
      <c r="K29" s="231">
        <v>234.11</v>
      </c>
      <c r="L29" s="231">
        <v>225.86</v>
      </c>
      <c r="M29" s="231">
        <v>228.4</v>
      </c>
      <c r="N29" s="231">
        <v>235.34</v>
      </c>
      <c r="O29" s="231">
        <v>235.34</v>
      </c>
      <c r="P29" s="231">
        <v>227.8</v>
      </c>
      <c r="Q29" s="231">
        <v>227.8</v>
      </c>
      <c r="R29" s="231">
        <v>205.08</v>
      </c>
      <c r="S29" s="231">
        <v>205.5</v>
      </c>
      <c r="T29" s="231">
        <v>205.56</v>
      </c>
      <c r="U29" s="231">
        <v>194.14000000000001</v>
      </c>
      <c r="V29" s="231">
        <v>182.72</v>
      </c>
      <c r="W29" s="231"/>
      <c r="X29" s="388">
        <f t="shared" si="1"/>
        <v>2607.6499999999996</v>
      </c>
      <c r="Y29" s="389"/>
      <c r="Z29" s="233">
        <f t="shared" si="2"/>
        <v>20.5</v>
      </c>
      <c r="AA29" s="233">
        <f t="shared" si="3"/>
        <v>19.777583187390544</v>
      </c>
      <c r="AB29" s="233">
        <f t="shared" si="4"/>
        <v>20</v>
      </c>
      <c r="AC29" s="233">
        <f t="shared" si="5"/>
        <v>20.5</v>
      </c>
      <c r="AD29" s="233">
        <f t="shared" si="6"/>
        <v>20.5</v>
      </c>
      <c r="AE29" s="233">
        <f t="shared" si="7"/>
        <v>20</v>
      </c>
      <c r="AF29" s="233">
        <f t="shared" si="8"/>
        <v>20</v>
      </c>
      <c r="AG29" s="233">
        <f t="shared" si="9"/>
        <v>18.005267778753293</v>
      </c>
      <c r="AH29" s="233">
        <f t="shared" si="10"/>
        <v>17.99474605954466</v>
      </c>
      <c r="AI29" s="233">
        <f t="shared" si="11"/>
        <v>18</v>
      </c>
      <c r="AJ29" s="233">
        <f t="shared" si="12"/>
        <v>17</v>
      </c>
      <c r="AK29" s="233">
        <f t="shared" si="13"/>
        <v>16</v>
      </c>
      <c r="AL29" s="234">
        <f t="shared" si="14"/>
        <v>19.02313308547404</v>
      </c>
      <c r="AN29" s="234">
        <f t="shared" si="15"/>
        <v>214.00002767659589</v>
      </c>
    </row>
    <row r="30" spans="1:40">
      <c r="A30" s="218" t="str">
        <f>$A$1&amp;"Residential"&amp;B30</f>
        <v>PIERCE UTCResidentialSL065.0G1M001WREC</v>
      </c>
      <c r="B30" s="230" t="s">
        <v>184</v>
      </c>
      <c r="C30" s="230" t="s">
        <v>185</v>
      </c>
      <c r="D30" s="230" t="s">
        <v>343</v>
      </c>
      <c r="E30" s="380">
        <v>32000</v>
      </c>
      <c r="F30" s="231">
        <v>9.42</v>
      </c>
      <c r="G30" s="231">
        <v>9.48</v>
      </c>
      <c r="H30" s="231">
        <v>9.39</v>
      </c>
      <c r="I30" s="231">
        <v>9.41</v>
      </c>
      <c r="J30" s="231"/>
      <c r="K30" s="231">
        <v>16838.25</v>
      </c>
      <c r="L30" s="231">
        <v>16830.815000000002</v>
      </c>
      <c r="M30" s="231">
        <v>16928.785</v>
      </c>
      <c r="N30" s="231">
        <v>17068.400000000001</v>
      </c>
      <c r="O30" s="231">
        <v>17087.780000000002</v>
      </c>
      <c r="P30" s="231">
        <v>16873.875</v>
      </c>
      <c r="Q30" s="231">
        <v>16809.190000000002</v>
      </c>
      <c r="R30" s="231">
        <v>16526.395</v>
      </c>
      <c r="S30" s="231">
        <v>16420.849999999999</v>
      </c>
      <c r="T30" s="231">
        <v>16283.995000000001</v>
      </c>
      <c r="U30" s="231">
        <v>16229.61</v>
      </c>
      <c r="V30" s="231">
        <v>16142.51</v>
      </c>
      <c r="W30" s="231"/>
      <c r="X30" s="388">
        <f t="shared" si="1"/>
        <v>200040.45500000002</v>
      </c>
      <c r="Y30" s="389"/>
      <c r="Z30" s="233">
        <f t="shared" si="2"/>
        <v>1787.5</v>
      </c>
      <c r="AA30" s="233">
        <f t="shared" si="3"/>
        <v>1786.7107218683655</v>
      </c>
      <c r="AB30" s="233">
        <f t="shared" si="4"/>
        <v>1797.1109341825902</v>
      </c>
      <c r="AC30" s="233">
        <f t="shared" si="5"/>
        <v>1800.464135021097</v>
      </c>
      <c r="AD30" s="233">
        <f t="shared" si="6"/>
        <v>1802.5084388185655</v>
      </c>
      <c r="AE30" s="233">
        <f t="shared" si="7"/>
        <v>1797.0047923322682</v>
      </c>
      <c r="AF30" s="233">
        <f t="shared" si="8"/>
        <v>1790.1160809371672</v>
      </c>
      <c r="AG30" s="233">
        <f t="shared" si="9"/>
        <v>1759.9994675186367</v>
      </c>
      <c r="AH30" s="233">
        <f t="shared" si="10"/>
        <v>1745.0425079702443</v>
      </c>
      <c r="AI30" s="233">
        <f t="shared" si="11"/>
        <v>1730.498937300744</v>
      </c>
      <c r="AJ30" s="233">
        <f t="shared" si="12"/>
        <v>1724.7194473963868</v>
      </c>
      <c r="AK30" s="233">
        <f t="shared" si="13"/>
        <v>1715.4633368756643</v>
      </c>
      <c r="AL30" s="234">
        <f t="shared" si="14"/>
        <v>1769.7615666851443</v>
      </c>
      <c r="AN30" s="234">
        <f t="shared" si="15"/>
        <v>20931.679555997685</v>
      </c>
    </row>
    <row r="31" spans="1:40">
      <c r="A31" s="218" t="str">
        <f>$A$1&amp;"Residential"&amp;B31</f>
        <v>PIERCE UTCResidentialSL065.0G1W001NOREC</v>
      </c>
      <c r="B31" s="230" t="s">
        <v>186</v>
      </c>
      <c r="C31" s="230" t="s">
        <v>187</v>
      </c>
      <c r="D31" s="230" t="s">
        <v>343</v>
      </c>
      <c r="E31" s="380">
        <v>32000</v>
      </c>
      <c r="F31" s="231">
        <v>28.59</v>
      </c>
      <c r="G31" s="231">
        <v>28.84</v>
      </c>
      <c r="H31" s="231">
        <v>28.59</v>
      </c>
      <c r="I31" s="231">
        <v>28.67</v>
      </c>
      <c r="J31" s="231"/>
      <c r="K31" s="231">
        <v>8854.9599999999991</v>
      </c>
      <c r="L31" s="231">
        <v>8716.7799999999988</v>
      </c>
      <c r="M31" s="231">
        <v>8643.31</v>
      </c>
      <c r="N31" s="231">
        <v>8662.4700000000012</v>
      </c>
      <c r="O31" s="231">
        <v>8743.32</v>
      </c>
      <c r="P31" s="231">
        <v>8738.6299999999992</v>
      </c>
      <c r="Q31" s="231">
        <v>8696.9850000000006</v>
      </c>
      <c r="R31" s="231">
        <v>8610.2250000000004</v>
      </c>
      <c r="S31" s="231">
        <v>8611.1</v>
      </c>
      <c r="T31" s="231">
        <v>8612.1450000000004</v>
      </c>
      <c r="U31" s="231">
        <v>8497.4700000000012</v>
      </c>
      <c r="V31" s="231">
        <v>8363.8450000000012</v>
      </c>
      <c r="W31" s="231"/>
      <c r="X31" s="388">
        <f t="shared" si="1"/>
        <v>103751.24</v>
      </c>
      <c r="Y31" s="389"/>
      <c r="Z31" s="233">
        <f t="shared" si="2"/>
        <v>309.72228051766348</v>
      </c>
      <c r="AA31" s="233">
        <f t="shared" si="3"/>
        <v>304.88912207065403</v>
      </c>
      <c r="AB31" s="233">
        <f t="shared" si="4"/>
        <v>302.31934242742216</v>
      </c>
      <c r="AC31" s="233">
        <f t="shared" si="5"/>
        <v>300.36303744798897</v>
      </c>
      <c r="AD31" s="233">
        <f t="shared" si="6"/>
        <v>303.16643550624133</v>
      </c>
      <c r="AE31" s="233">
        <f t="shared" si="7"/>
        <v>305.65337530605103</v>
      </c>
      <c r="AF31" s="233">
        <f t="shared" si="8"/>
        <v>304.19674711437568</v>
      </c>
      <c r="AG31" s="233">
        <f t="shared" si="9"/>
        <v>301.16211962224554</v>
      </c>
      <c r="AH31" s="233">
        <f t="shared" si="10"/>
        <v>300.35228461806764</v>
      </c>
      <c r="AI31" s="233">
        <f t="shared" si="11"/>
        <v>300.38873386815487</v>
      </c>
      <c r="AJ31" s="233">
        <f t="shared" si="12"/>
        <v>296.38890826648066</v>
      </c>
      <c r="AK31" s="233">
        <f t="shared" si="13"/>
        <v>291.72811301011512</v>
      </c>
      <c r="AL31" s="234">
        <f t="shared" si="14"/>
        <v>301.69420831462168</v>
      </c>
      <c r="AN31" s="234">
        <f t="shared" si="15"/>
        <v>3588.4338129988787</v>
      </c>
    </row>
    <row r="32" spans="1:40">
      <c r="A32" s="218" t="str">
        <f>$A$1&amp;"Residential"&amp;B32</f>
        <v>PIERCE UTCResidentialSL065.0G1W001WREC</v>
      </c>
      <c r="B32" s="230" t="s">
        <v>188</v>
      </c>
      <c r="C32" s="230" t="s">
        <v>189</v>
      </c>
      <c r="D32" s="230" t="s">
        <v>343</v>
      </c>
      <c r="E32" s="380">
        <v>32000</v>
      </c>
      <c r="F32" s="231">
        <v>26.59</v>
      </c>
      <c r="G32" s="231">
        <v>26.84</v>
      </c>
      <c r="H32" s="231">
        <v>26.59</v>
      </c>
      <c r="I32" s="231">
        <v>26.67</v>
      </c>
      <c r="J32" s="231"/>
      <c r="K32" s="231">
        <v>709833.84000000008</v>
      </c>
      <c r="L32" s="231">
        <v>711643.17999999993</v>
      </c>
      <c r="M32" s="231">
        <v>709880.495</v>
      </c>
      <c r="N32" s="231">
        <v>719863.40499999991</v>
      </c>
      <c r="O32" s="231">
        <v>725760.53500000015</v>
      </c>
      <c r="P32" s="231">
        <v>723441.75000000012</v>
      </c>
      <c r="Q32" s="231">
        <v>724778.90500000014</v>
      </c>
      <c r="R32" s="231">
        <v>727091.71000000008</v>
      </c>
      <c r="S32" s="231">
        <v>728940.5199999999</v>
      </c>
      <c r="T32" s="231">
        <v>730841.06499999994</v>
      </c>
      <c r="U32" s="231">
        <v>733547.96</v>
      </c>
      <c r="V32" s="231">
        <v>733753.67500000005</v>
      </c>
      <c r="W32" s="231"/>
      <c r="X32" s="388">
        <f t="shared" si="1"/>
        <v>8679377.0399999991</v>
      </c>
      <c r="Y32" s="389"/>
      <c r="Z32" s="233">
        <f t="shared" si="2"/>
        <v>26695.518616021065</v>
      </c>
      <c r="AA32" s="233">
        <f t="shared" si="3"/>
        <v>26763.564497931551</v>
      </c>
      <c r="AB32" s="233">
        <f t="shared" si="4"/>
        <v>26697.273223016171</v>
      </c>
      <c r="AC32" s="233">
        <f t="shared" si="5"/>
        <v>26820.544150521608</v>
      </c>
      <c r="AD32" s="233">
        <f t="shared" si="6"/>
        <v>27040.258383010438</v>
      </c>
      <c r="AE32" s="233">
        <f t="shared" si="7"/>
        <v>27207.286573899968</v>
      </c>
      <c r="AF32" s="233">
        <f t="shared" si="8"/>
        <v>27257.574464084249</v>
      </c>
      <c r="AG32" s="233">
        <f t="shared" si="9"/>
        <v>27344.554719819484</v>
      </c>
      <c r="AH32" s="233">
        <f t="shared" si="10"/>
        <v>27331.853018372698</v>
      </c>
      <c r="AI32" s="233">
        <f t="shared" si="11"/>
        <v>27403.114548181475</v>
      </c>
      <c r="AJ32" s="233">
        <f t="shared" si="12"/>
        <v>27504.610423697035</v>
      </c>
      <c r="AK32" s="233">
        <f t="shared" si="13"/>
        <v>27512.323772028496</v>
      </c>
      <c r="AL32" s="234">
        <f t="shared" si="14"/>
        <v>27131.539699215351</v>
      </c>
      <c r="AN32" s="234">
        <f t="shared" si="15"/>
        <v>328708.06189236685</v>
      </c>
    </row>
    <row r="33" spans="1:40">
      <c r="A33" s="218" t="str">
        <f>$A$1&amp;"Residential"&amp;B33</f>
        <v>PIERCE UTCResidentialSL065.0GEO001NOREC</v>
      </c>
      <c r="B33" s="230" t="s">
        <v>190</v>
      </c>
      <c r="C33" s="230" t="s">
        <v>191</v>
      </c>
      <c r="D33" s="230" t="s">
        <v>343</v>
      </c>
      <c r="E33" s="380">
        <v>32000</v>
      </c>
      <c r="F33" s="231">
        <v>18.579999999999998</v>
      </c>
      <c r="G33" s="231">
        <v>18.71</v>
      </c>
      <c r="H33" s="231">
        <v>18.55</v>
      </c>
      <c r="I33" s="231">
        <v>18.600000000000001</v>
      </c>
      <c r="J33" s="231"/>
      <c r="K33" s="231">
        <v>2780.4949999999999</v>
      </c>
      <c r="L33" s="231">
        <v>2745.1950000000002</v>
      </c>
      <c r="M33" s="231">
        <v>2740.4849999999997</v>
      </c>
      <c r="N33" s="231">
        <v>2748.5</v>
      </c>
      <c r="O33" s="231">
        <v>2720.4349999999999</v>
      </c>
      <c r="P33" s="231">
        <v>2617.375</v>
      </c>
      <c r="Q33" s="231">
        <v>2578.4449999999997</v>
      </c>
      <c r="R33" s="231">
        <v>2483.5149999999999</v>
      </c>
      <c r="S33" s="231">
        <v>2422.5749999999998</v>
      </c>
      <c r="T33" s="231">
        <v>2402.1899999999996</v>
      </c>
      <c r="U33" s="231">
        <v>2353.83</v>
      </c>
      <c r="V33" s="231">
        <v>2399.4</v>
      </c>
      <c r="W33" s="231"/>
      <c r="X33" s="388">
        <f t="shared" si="1"/>
        <v>30992.440000000002</v>
      </c>
      <c r="Y33" s="389"/>
      <c r="Z33" s="233">
        <f t="shared" si="2"/>
        <v>149.64989235737352</v>
      </c>
      <c r="AA33" s="233">
        <f t="shared" si="3"/>
        <v>147.75000000000003</v>
      </c>
      <c r="AB33" s="233">
        <f t="shared" si="4"/>
        <v>147.49650161463939</v>
      </c>
      <c r="AC33" s="233">
        <f t="shared" si="5"/>
        <v>146.90005344735434</v>
      </c>
      <c r="AD33" s="233">
        <f t="shared" si="6"/>
        <v>145.40005344735434</v>
      </c>
      <c r="AE33" s="233">
        <f t="shared" si="7"/>
        <v>141.09838274932613</v>
      </c>
      <c r="AF33" s="233">
        <f t="shared" si="8"/>
        <v>138.99973045822099</v>
      </c>
      <c r="AG33" s="233">
        <f t="shared" si="9"/>
        <v>133.88221024258758</v>
      </c>
      <c r="AH33" s="233">
        <f t="shared" si="10"/>
        <v>130.24596774193546</v>
      </c>
      <c r="AI33" s="233">
        <f t="shared" si="11"/>
        <v>129.14999999999998</v>
      </c>
      <c r="AJ33" s="233">
        <f t="shared" si="12"/>
        <v>126.54999999999998</v>
      </c>
      <c r="AK33" s="233">
        <f t="shared" si="13"/>
        <v>129</v>
      </c>
      <c r="AL33" s="234">
        <f t="shared" si="14"/>
        <v>138.84356600489929</v>
      </c>
      <c r="AN33" s="234">
        <f t="shared" si="15"/>
        <v>1575.6558168854879</v>
      </c>
    </row>
    <row r="34" spans="1:40" s="217" customFormat="1">
      <c r="A34" s="218" t="str">
        <f>$A$1&amp;"Residential"&amp;B34</f>
        <v>PIERCE UTCResidentialSL065.0GEO001WREC</v>
      </c>
      <c r="B34" s="230" t="s">
        <v>192</v>
      </c>
      <c r="C34" s="230" t="s">
        <v>193</v>
      </c>
      <c r="D34" s="230" t="s">
        <v>343</v>
      </c>
      <c r="E34" s="380">
        <v>32000</v>
      </c>
      <c r="F34" s="231">
        <v>16.579999999999998</v>
      </c>
      <c r="G34" s="231">
        <v>16.71</v>
      </c>
      <c r="H34" s="231">
        <v>16.55</v>
      </c>
      <c r="I34" s="231">
        <v>16.59</v>
      </c>
      <c r="J34" s="231"/>
      <c r="K34" s="231">
        <v>191111.35500000001</v>
      </c>
      <c r="L34" s="231">
        <v>190054.17</v>
      </c>
      <c r="M34" s="231">
        <v>190044.98500000002</v>
      </c>
      <c r="N34" s="231">
        <v>192248.19499999998</v>
      </c>
      <c r="O34" s="231">
        <v>191735.88499999995</v>
      </c>
      <c r="P34" s="231">
        <v>189160.81</v>
      </c>
      <c r="Q34" s="231">
        <v>187761.98500000002</v>
      </c>
      <c r="R34" s="231">
        <v>185692.36000000002</v>
      </c>
      <c r="S34" s="231">
        <v>185053.03</v>
      </c>
      <c r="T34" s="231">
        <v>184602.48499999999</v>
      </c>
      <c r="U34" s="231">
        <v>182247.245</v>
      </c>
      <c r="V34" s="231">
        <v>181968.63</v>
      </c>
      <c r="W34" s="231"/>
      <c r="X34" s="388">
        <f t="shared" si="1"/>
        <v>2251681.1350000002</v>
      </c>
      <c r="Y34" s="389"/>
      <c r="Z34" s="233">
        <f t="shared" si="2"/>
        <v>11526.6197225573</v>
      </c>
      <c r="AA34" s="233">
        <f t="shared" si="3"/>
        <v>11462.857056694815</v>
      </c>
      <c r="AB34" s="233">
        <f t="shared" si="4"/>
        <v>11462.303075995176</v>
      </c>
      <c r="AC34" s="233">
        <f t="shared" si="5"/>
        <v>11504.978755236383</v>
      </c>
      <c r="AD34" s="233">
        <f t="shared" si="6"/>
        <v>11474.319868342307</v>
      </c>
      <c r="AE34" s="233">
        <f t="shared" si="7"/>
        <v>11429.656193353474</v>
      </c>
      <c r="AF34" s="233">
        <f t="shared" si="8"/>
        <v>11345.135045317222</v>
      </c>
      <c r="AG34" s="233">
        <f t="shared" si="9"/>
        <v>11220.082175226587</v>
      </c>
      <c r="AH34" s="233">
        <f t="shared" si="10"/>
        <v>11154.492465340567</v>
      </c>
      <c r="AI34" s="233">
        <f t="shared" si="11"/>
        <v>11127.334840265219</v>
      </c>
      <c r="AJ34" s="233">
        <f t="shared" si="12"/>
        <v>10985.367389993971</v>
      </c>
      <c r="AK34" s="233">
        <f t="shared" si="13"/>
        <v>10968.573236889693</v>
      </c>
      <c r="AL34" s="234">
        <f t="shared" si="14"/>
        <v>11305.143318767727</v>
      </c>
      <c r="AN34" s="234">
        <f t="shared" si="15"/>
        <v>133601.97030606651</v>
      </c>
    </row>
    <row r="35" spans="1:40">
      <c r="A35" s="218" t="str">
        <f>$A$1&amp;"Residential"&amp;B35</f>
        <v>PIERCE UTCResidentialSL095.0G1M001NOREC</v>
      </c>
      <c r="B35" s="230" t="s">
        <v>194</v>
      </c>
      <c r="C35" s="230" t="s">
        <v>195</v>
      </c>
      <c r="D35" s="230" t="s">
        <v>343</v>
      </c>
      <c r="E35" s="380">
        <v>32000</v>
      </c>
      <c r="F35" s="231">
        <v>15.92</v>
      </c>
      <c r="G35" s="231">
        <v>16</v>
      </c>
      <c r="H35" s="231">
        <v>15.88</v>
      </c>
      <c r="I35" s="231">
        <v>15.93</v>
      </c>
      <c r="J35" s="231"/>
      <c r="K35" s="231">
        <v>47.76</v>
      </c>
      <c r="L35" s="231">
        <v>47.76</v>
      </c>
      <c r="M35" s="231">
        <v>39.800000000000004</v>
      </c>
      <c r="N35" s="231">
        <v>39.96</v>
      </c>
      <c r="O35" s="231">
        <v>31.999999999999996</v>
      </c>
      <c r="P35" s="231">
        <v>31.759999999999998</v>
      </c>
      <c r="Q35" s="231">
        <v>31.76</v>
      </c>
      <c r="R35" s="231">
        <v>31.785</v>
      </c>
      <c r="S35" s="231">
        <v>47.715000000000003</v>
      </c>
      <c r="T35" s="231">
        <v>47.79</v>
      </c>
      <c r="U35" s="231">
        <v>47.79</v>
      </c>
      <c r="V35" s="231">
        <v>63.72</v>
      </c>
      <c r="W35" s="231"/>
      <c r="X35" s="388">
        <f t="shared" si="1"/>
        <v>509.60000000000014</v>
      </c>
      <c r="Y35" s="389"/>
      <c r="Z35" s="233">
        <f t="shared" si="2"/>
        <v>3</v>
      </c>
      <c r="AA35" s="233">
        <f t="shared" si="3"/>
        <v>3</v>
      </c>
      <c r="AB35" s="233">
        <f t="shared" si="4"/>
        <v>2.5000000000000004</v>
      </c>
      <c r="AC35" s="233">
        <f t="shared" si="5"/>
        <v>2.4975000000000001</v>
      </c>
      <c r="AD35" s="233">
        <f t="shared" si="6"/>
        <v>1.9999999999999998</v>
      </c>
      <c r="AE35" s="233">
        <f t="shared" si="7"/>
        <v>1.9999999999999998</v>
      </c>
      <c r="AF35" s="233">
        <f t="shared" si="8"/>
        <v>2</v>
      </c>
      <c r="AG35" s="233">
        <f t="shared" si="9"/>
        <v>2.0015743073047858</v>
      </c>
      <c r="AH35" s="233">
        <f t="shared" si="10"/>
        <v>2.9952919020715632</v>
      </c>
      <c r="AI35" s="233">
        <f t="shared" si="11"/>
        <v>3</v>
      </c>
      <c r="AJ35" s="233">
        <f t="shared" si="12"/>
        <v>3</v>
      </c>
      <c r="AK35" s="233">
        <f t="shared" si="13"/>
        <v>4</v>
      </c>
      <c r="AL35" s="234">
        <f t="shared" si="14"/>
        <v>2.6661971841146959</v>
      </c>
      <c r="AN35" s="234">
        <f t="shared" si="15"/>
        <v>33.9937324187527</v>
      </c>
    </row>
    <row r="36" spans="1:40">
      <c r="A36" s="218" t="str">
        <f>$A$1&amp;"Residential"&amp;B36</f>
        <v>PIERCE UTCResidentialSL095.0G1M001WREC</v>
      </c>
      <c r="B36" s="230" t="s">
        <v>196</v>
      </c>
      <c r="C36" s="230" t="s">
        <v>197</v>
      </c>
      <c r="D36" s="230" t="s">
        <v>343</v>
      </c>
      <c r="E36" s="380">
        <v>32000</v>
      </c>
      <c r="F36" s="231">
        <v>12.92</v>
      </c>
      <c r="G36" s="231">
        <v>13</v>
      </c>
      <c r="H36" s="231">
        <v>12.88</v>
      </c>
      <c r="I36" s="231">
        <v>12.92</v>
      </c>
      <c r="J36" s="231"/>
      <c r="K36" s="231">
        <v>2351.44</v>
      </c>
      <c r="L36" s="231">
        <v>2403.12</v>
      </c>
      <c r="M36" s="231">
        <v>2467.6799999999998</v>
      </c>
      <c r="N36" s="231">
        <v>2619.58</v>
      </c>
      <c r="O36" s="231">
        <v>2619.5</v>
      </c>
      <c r="P36" s="231">
        <v>2601.8200000000002</v>
      </c>
      <c r="Q36" s="231">
        <v>2525.91</v>
      </c>
      <c r="R36" s="231">
        <v>2546.91</v>
      </c>
      <c r="S36" s="231">
        <v>2581.92</v>
      </c>
      <c r="T36" s="231">
        <v>2545.2400000000002</v>
      </c>
      <c r="U36" s="231">
        <v>2519.44</v>
      </c>
      <c r="V36" s="231">
        <v>2557.1</v>
      </c>
      <c r="W36" s="231"/>
      <c r="X36" s="388">
        <f t="shared" si="1"/>
        <v>30339.659999999996</v>
      </c>
      <c r="Y36" s="389"/>
      <c r="Z36" s="233">
        <f t="shared" si="2"/>
        <v>182</v>
      </c>
      <c r="AA36" s="233">
        <f t="shared" si="3"/>
        <v>186</v>
      </c>
      <c r="AB36" s="233">
        <f t="shared" si="4"/>
        <v>190.99690402476779</v>
      </c>
      <c r="AC36" s="233">
        <f t="shared" si="5"/>
        <v>201.50615384615384</v>
      </c>
      <c r="AD36" s="233">
        <f t="shared" si="6"/>
        <v>201.5</v>
      </c>
      <c r="AE36" s="233">
        <f t="shared" si="7"/>
        <v>202.00465838509317</v>
      </c>
      <c r="AF36" s="233">
        <f t="shared" si="8"/>
        <v>196.11102484472048</v>
      </c>
      <c r="AG36" s="233">
        <f t="shared" si="9"/>
        <v>197.74145962732916</v>
      </c>
      <c r="AH36" s="233">
        <f t="shared" si="10"/>
        <v>199.83900928792571</v>
      </c>
      <c r="AI36" s="233">
        <f t="shared" si="11"/>
        <v>197.00000000000003</v>
      </c>
      <c r="AJ36" s="233">
        <f t="shared" si="12"/>
        <v>195.00309597523221</v>
      </c>
      <c r="AK36" s="233">
        <f t="shared" si="13"/>
        <v>197.91795665634675</v>
      </c>
      <c r="AL36" s="234">
        <f t="shared" si="14"/>
        <v>195.6350218872974</v>
      </c>
      <c r="AN36" s="234">
        <f t="shared" si="15"/>
        <v>2367.2250927831087</v>
      </c>
    </row>
    <row r="37" spans="1:40">
      <c r="A37" s="218" t="str">
        <f>$A$1&amp;"Residential"&amp;B37</f>
        <v>PIERCE UTCResidentialSL095.0G1W001NOREC</v>
      </c>
      <c r="B37" s="230" t="s">
        <v>198</v>
      </c>
      <c r="C37" s="230" t="s">
        <v>199</v>
      </c>
      <c r="D37" s="230" t="s">
        <v>343</v>
      </c>
      <c r="E37" s="380">
        <v>32000</v>
      </c>
      <c r="F37" s="231">
        <v>38.24</v>
      </c>
      <c r="G37" s="231">
        <v>38.61</v>
      </c>
      <c r="H37" s="231">
        <v>38.28</v>
      </c>
      <c r="I37" s="231">
        <v>38.380000000000003</v>
      </c>
      <c r="J37" s="231"/>
      <c r="K37" s="231">
        <v>3159.58</v>
      </c>
      <c r="L37" s="231">
        <v>3029.46</v>
      </c>
      <c r="M37" s="231">
        <v>3082.915</v>
      </c>
      <c r="N37" s="231">
        <v>3069.6549999999997</v>
      </c>
      <c r="O37" s="231">
        <v>3103.8150000000001</v>
      </c>
      <c r="P37" s="231">
        <v>3085.9250000000002</v>
      </c>
      <c r="Q37" s="231">
        <v>3135.7649999999999</v>
      </c>
      <c r="R37" s="231">
        <v>3161.34</v>
      </c>
      <c r="S37" s="231">
        <v>3217.2849999999999</v>
      </c>
      <c r="T37" s="231">
        <v>3175.9399999999996</v>
      </c>
      <c r="U37" s="231">
        <v>3089.59</v>
      </c>
      <c r="V37" s="231">
        <v>3098.12</v>
      </c>
      <c r="W37" s="231"/>
      <c r="X37" s="388">
        <f t="shared" si="1"/>
        <v>37409.390000000007</v>
      </c>
      <c r="Y37" s="389"/>
      <c r="Z37" s="233">
        <f t="shared" si="2"/>
        <v>82.625</v>
      </c>
      <c r="AA37" s="233">
        <f t="shared" si="3"/>
        <v>79.222280334728026</v>
      </c>
      <c r="AB37" s="233">
        <f t="shared" si="4"/>
        <v>80.620162133891213</v>
      </c>
      <c r="AC37" s="233">
        <f t="shared" si="5"/>
        <v>79.504144004143996</v>
      </c>
      <c r="AD37" s="233">
        <f t="shared" si="6"/>
        <v>80.388888888888886</v>
      </c>
      <c r="AE37" s="233">
        <f t="shared" si="7"/>
        <v>80.614550679205848</v>
      </c>
      <c r="AF37" s="233">
        <f t="shared" si="8"/>
        <v>81.916536050156736</v>
      </c>
      <c r="AG37" s="233">
        <f t="shared" si="9"/>
        <v>82.584639498432608</v>
      </c>
      <c r="AH37" s="233">
        <f t="shared" si="10"/>
        <v>83.827123501823863</v>
      </c>
      <c r="AI37" s="233">
        <f t="shared" si="11"/>
        <v>82.74986972381447</v>
      </c>
      <c r="AJ37" s="233">
        <f t="shared" si="12"/>
        <v>80.5</v>
      </c>
      <c r="AK37" s="233">
        <f t="shared" si="13"/>
        <v>80.722251172485656</v>
      </c>
      <c r="AL37" s="234">
        <f t="shared" si="14"/>
        <v>81.272953832297603</v>
      </c>
      <c r="AN37" s="234">
        <f t="shared" si="15"/>
        <v>984.60083989342661</v>
      </c>
    </row>
    <row r="38" spans="1:40">
      <c r="A38" s="218" t="str">
        <f>$A$1&amp;"Residential"&amp;B38</f>
        <v>PIERCE UTCResidentialSL095.0G1W001WREC</v>
      </c>
      <c r="B38" s="230" t="s">
        <v>200</v>
      </c>
      <c r="C38" s="230" t="s">
        <v>201</v>
      </c>
      <c r="D38" s="230" t="s">
        <v>343</v>
      </c>
      <c r="E38" s="380">
        <v>32000</v>
      </c>
      <c r="F38" s="231">
        <v>35.24</v>
      </c>
      <c r="G38" s="231">
        <v>35.61</v>
      </c>
      <c r="H38" s="231">
        <v>35.28</v>
      </c>
      <c r="I38" s="231">
        <v>35.369999999999997</v>
      </c>
      <c r="J38" s="231"/>
      <c r="K38" s="231">
        <v>272378.78500000003</v>
      </c>
      <c r="L38" s="231">
        <v>274250.54000000004</v>
      </c>
      <c r="M38" s="231">
        <v>275844.66500000015</v>
      </c>
      <c r="N38" s="231">
        <v>280184.3899999999</v>
      </c>
      <c r="O38" s="231">
        <v>287302.96499999997</v>
      </c>
      <c r="P38" s="231">
        <v>292114.65499999997</v>
      </c>
      <c r="Q38" s="231">
        <v>298381.88</v>
      </c>
      <c r="R38" s="231">
        <v>300585.91500000004</v>
      </c>
      <c r="S38" s="231">
        <v>310322.52999999997</v>
      </c>
      <c r="T38" s="231">
        <v>318048.64000000001</v>
      </c>
      <c r="U38" s="231">
        <v>322093.54999999993</v>
      </c>
      <c r="V38" s="231">
        <v>324523.97499999998</v>
      </c>
      <c r="W38" s="231"/>
      <c r="X38" s="388">
        <f t="shared" si="1"/>
        <v>3556032.49</v>
      </c>
      <c r="Y38" s="389"/>
      <c r="Z38" s="233">
        <f t="shared" si="2"/>
        <v>7729.2504256526681</v>
      </c>
      <c r="AA38" s="233">
        <f t="shared" si="3"/>
        <v>7782.3649262202052</v>
      </c>
      <c r="AB38" s="233">
        <f t="shared" si="4"/>
        <v>7827.6011634506285</v>
      </c>
      <c r="AC38" s="233">
        <f t="shared" si="5"/>
        <v>7868.1378826172395</v>
      </c>
      <c r="AD38" s="233">
        <f t="shared" si="6"/>
        <v>8068.0417017691652</v>
      </c>
      <c r="AE38" s="233">
        <f t="shared" si="7"/>
        <v>8279.893849206348</v>
      </c>
      <c r="AF38" s="233">
        <f t="shared" si="8"/>
        <v>8457.5362811791383</v>
      </c>
      <c r="AG38" s="233">
        <f t="shared" si="9"/>
        <v>8520.0089285714294</v>
      </c>
      <c r="AH38" s="233">
        <f t="shared" si="10"/>
        <v>8773.6084252191122</v>
      </c>
      <c r="AI38" s="233">
        <f t="shared" si="11"/>
        <v>8992.0452360757718</v>
      </c>
      <c r="AJ38" s="233">
        <f t="shared" si="12"/>
        <v>9106.4051456036177</v>
      </c>
      <c r="AK38" s="233">
        <f t="shared" si="13"/>
        <v>9175.1194515125808</v>
      </c>
      <c r="AL38" s="234">
        <f t="shared" si="14"/>
        <v>8381.6677847564933</v>
      </c>
      <c r="AN38" s="234">
        <f t="shared" si="15"/>
        <v>106049.44693632331</v>
      </c>
    </row>
    <row r="39" spans="1:40">
      <c r="A39" s="218" t="str">
        <f>$A$1&amp;"Residential"&amp;B39</f>
        <v>PIERCE UTCResidentialSL095.0GEO001NOREC</v>
      </c>
      <c r="B39" s="230" t="s">
        <v>202</v>
      </c>
      <c r="C39" s="230" t="s">
        <v>203</v>
      </c>
      <c r="D39" s="230" t="s">
        <v>343</v>
      </c>
      <c r="E39" s="380">
        <v>32000</v>
      </c>
      <c r="F39" s="231">
        <v>24.76</v>
      </c>
      <c r="G39" s="231">
        <v>24.94</v>
      </c>
      <c r="H39" s="231">
        <v>24.73</v>
      </c>
      <c r="I39" s="231">
        <v>24.8</v>
      </c>
      <c r="J39" s="231"/>
      <c r="K39" s="231">
        <v>173.32</v>
      </c>
      <c r="L39" s="231">
        <v>173.32</v>
      </c>
      <c r="M39" s="231">
        <v>173.32</v>
      </c>
      <c r="N39" s="231">
        <v>174.57999999999998</v>
      </c>
      <c r="O39" s="231">
        <v>174.57999999999998</v>
      </c>
      <c r="P39" s="231">
        <v>173.10999999999999</v>
      </c>
      <c r="Q39" s="231">
        <v>173.10999999999999</v>
      </c>
      <c r="R39" s="231">
        <v>173.32</v>
      </c>
      <c r="S39" s="231">
        <v>198.19</v>
      </c>
      <c r="T39" s="231">
        <v>223.2</v>
      </c>
      <c r="U39" s="231">
        <v>198.4</v>
      </c>
      <c r="V39" s="231">
        <v>198.4</v>
      </c>
      <c r="W39" s="231"/>
      <c r="X39" s="388">
        <f t="shared" si="1"/>
        <v>2206.85</v>
      </c>
      <c r="Y39" s="389"/>
      <c r="Z39" s="233">
        <f t="shared" si="2"/>
        <v>6.9999999999999991</v>
      </c>
      <c r="AA39" s="233">
        <f t="shared" si="3"/>
        <v>6.9999999999999991</v>
      </c>
      <c r="AB39" s="233">
        <f t="shared" si="4"/>
        <v>6.9999999999999991</v>
      </c>
      <c r="AC39" s="233">
        <f t="shared" si="5"/>
        <v>6.9999999999999991</v>
      </c>
      <c r="AD39" s="233">
        <f t="shared" si="6"/>
        <v>6.9999999999999991</v>
      </c>
      <c r="AE39" s="233">
        <f t="shared" si="7"/>
        <v>6.9999999999999991</v>
      </c>
      <c r="AF39" s="233">
        <f t="shared" si="8"/>
        <v>6.9999999999999991</v>
      </c>
      <c r="AG39" s="233">
        <f t="shared" si="9"/>
        <v>7.008491710473109</v>
      </c>
      <c r="AH39" s="233">
        <f t="shared" si="10"/>
        <v>7.9915322580645158</v>
      </c>
      <c r="AI39" s="233">
        <f t="shared" si="11"/>
        <v>9</v>
      </c>
      <c r="AJ39" s="233">
        <f t="shared" si="12"/>
        <v>8</v>
      </c>
      <c r="AK39" s="233">
        <f t="shared" si="13"/>
        <v>8</v>
      </c>
      <c r="AL39" s="234">
        <f t="shared" si="14"/>
        <v>7.4166686640448019</v>
      </c>
      <c r="AN39" s="234">
        <f t="shared" si="15"/>
        <v>94.000047937075252</v>
      </c>
    </row>
    <row r="40" spans="1:40">
      <c r="A40" s="218" t="str">
        <f>$A$1&amp;"Residential"&amp;B40</f>
        <v>PIERCE UTCResidentialSL095.0GEO001WREC</v>
      </c>
      <c r="B40" s="230" t="s">
        <v>204</v>
      </c>
      <c r="C40" s="230" t="s">
        <v>205</v>
      </c>
      <c r="D40" s="230" t="s">
        <v>343</v>
      </c>
      <c r="E40" s="380">
        <v>32000</v>
      </c>
      <c r="F40" s="231">
        <v>21.76</v>
      </c>
      <c r="G40" s="231">
        <v>21.94</v>
      </c>
      <c r="H40" s="231">
        <v>21.73</v>
      </c>
      <c r="I40" s="231">
        <v>21.79</v>
      </c>
      <c r="J40" s="231"/>
      <c r="K40" s="231">
        <v>34951.270000000004</v>
      </c>
      <c r="L40" s="231">
        <v>34871.539999999994</v>
      </c>
      <c r="M40" s="231">
        <v>35152.195</v>
      </c>
      <c r="N40" s="231">
        <v>35741.820000000007</v>
      </c>
      <c r="O40" s="231">
        <v>36835.504999999997</v>
      </c>
      <c r="P40" s="231">
        <v>35531.525000000001</v>
      </c>
      <c r="Q40" s="231">
        <v>34886.53</v>
      </c>
      <c r="R40" s="231">
        <v>34813.644999999997</v>
      </c>
      <c r="S40" s="231">
        <v>34510.004999999997</v>
      </c>
      <c r="T40" s="231">
        <v>34680.85</v>
      </c>
      <c r="U40" s="231">
        <v>34355.26</v>
      </c>
      <c r="V40" s="231">
        <v>34227.82</v>
      </c>
      <c r="W40" s="231"/>
      <c r="X40" s="388">
        <f t="shared" si="1"/>
        <v>420557.96500000003</v>
      </c>
      <c r="Y40" s="389"/>
      <c r="Z40" s="233">
        <f t="shared" si="2"/>
        <v>1606.2164522058824</v>
      </c>
      <c r="AA40" s="233">
        <f t="shared" si="3"/>
        <v>1602.552389705882</v>
      </c>
      <c r="AB40" s="233">
        <f t="shared" si="4"/>
        <v>1615.4501378676468</v>
      </c>
      <c r="AC40" s="233">
        <f t="shared" si="5"/>
        <v>1629.0711030082043</v>
      </c>
      <c r="AD40" s="233">
        <f t="shared" si="6"/>
        <v>1678.92000911577</v>
      </c>
      <c r="AE40" s="233">
        <f t="shared" si="7"/>
        <v>1635.1369075011505</v>
      </c>
      <c r="AF40" s="233">
        <f t="shared" si="8"/>
        <v>1605.4546709618039</v>
      </c>
      <c r="AG40" s="233">
        <f t="shared" si="9"/>
        <v>1602.1005522319372</v>
      </c>
      <c r="AH40" s="233">
        <f t="shared" si="10"/>
        <v>1583.7542450665442</v>
      </c>
      <c r="AI40" s="233">
        <f t="shared" si="11"/>
        <v>1591.594768242313</v>
      </c>
      <c r="AJ40" s="233">
        <f t="shared" si="12"/>
        <v>1576.652592932538</v>
      </c>
      <c r="AK40" s="233">
        <f t="shared" si="13"/>
        <v>1570.8040385497936</v>
      </c>
      <c r="AL40" s="234">
        <f t="shared" si="14"/>
        <v>1608.1423222824553</v>
      </c>
      <c r="AN40" s="234">
        <f t="shared" si="15"/>
        <v>19060.721735969859</v>
      </c>
    </row>
    <row r="41" spans="1:40">
      <c r="A41" s="218" t="str">
        <f>$A$1&amp;"Residential"&amp;B41</f>
        <v>PIERCE UTCResidentialBULKY-RES</v>
      </c>
      <c r="B41" s="230" t="s">
        <v>206</v>
      </c>
      <c r="C41" s="230" t="s">
        <v>207</v>
      </c>
      <c r="D41" s="230" t="s">
        <v>344</v>
      </c>
      <c r="E41" s="380">
        <v>32001</v>
      </c>
      <c r="F41" s="231">
        <v>32.04</v>
      </c>
      <c r="G41" s="231">
        <v>32.200000000000003</v>
      </c>
      <c r="H41" s="231">
        <v>31.9</v>
      </c>
      <c r="I41" s="231">
        <v>31.98</v>
      </c>
      <c r="J41" s="231"/>
      <c r="K41" s="231">
        <v>1922.4</v>
      </c>
      <c r="L41" s="231">
        <v>1281.54</v>
      </c>
      <c r="M41" s="231">
        <v>2739.42</v>
      </c>
      <c r="N41" s="231">
        <v>1546.67</v>
      </c>
      <c r="O41" s="231">
        <v>0</v>
      </c>
      <c r="P41" s="231">
        <v>0</v>
      </c>
      <c r="Q41" s="231">
        <v>0</v>
      </c>
      <c r="R41" s="231">
        <v>0</v>
      </c>
      <c r="S41" s="231">
        <v>0</v>
      </c>
      <c r="T41" s="231">
        <v>0</v>
      </c>
      <c r="U41" s="231">
        <v>0</v>
      </c>
      <c r="V41" s="231">
        <v>63.96</v>
      </c>
      <c r="W41" s="231"/>
      <c r="X41" s="388">
        <f t="shared" si="1"/>
        <v>7553.9900000000007</v>
      </c>
      <c r="Y41" s="389"/>
      <c r="Z41" s="233">
        <f t="shared" si="2"/>
        <v>60.000000000000007</v>
      </c>
      <c r="AA41" s="233">
        <f t="shared" si="3"/>
        <v>39.99812734082397</v>
      </c>
      <c r="AB41" s="233">
        <f t="shared" si="4"/>
        <v>85.5</v>
      </c>
      <c r="AC41" s="233">
        <f t="shared" si="5"/>
        <v>48.033229813664597</v>
      </c>
      <c r="AD41" s="233">
        <f t="shared" si="6"/>
        <v>0</v>
      </c>
      <c r="AE41" s="233">
        <f t="shared" si="7"/>
        <v>0</v>
      </c>
      <c r="AF41" s="233">
        <f t="shared" si="8"/>
        <v>0</v>
      </c>
      <c r="AG41" s="233">
        <f t="shared" si="9"/>
        <v>0</v>
      </c>
      <c r="AH41" s="233">
        <f t="shared" si="10"/>
        <v>0</v>
      </c>
      <c r="AI41" s="233">
        <f t="shared" si="11"/>
        <v>0</v>
      </c>
      <c r="AJ41" s="233">
        <f t="shared" si="12"/>
        <v>0</v>
      </c>
      <c r="AK41" s="233">
        <f t="shared" si="13"/>
        <v>2</v>
      </c>
      <c r="AL41" s="234">
        <f t="shared" si="14"/>
        <v>19.62761309620738</v>
      </c>
      <c r="AN41" s="234">
        <f t="shared" si="15"/>
        <v>4</v>
      </c>
    </row>
    <row r="42" spans="1:40">
      <c r="A42" s="218" t="str">
        <f>$A$1&amp;"Residential"&amp;B42</f>
        <v>PIERCE UTCResidentialEXTRA-RES</v>
      </c>
      <c r="B42" s="230" t="s">
        <v>208</v>
      </c>
      <c r="C42" s="230" t="s">
        <v>209</v>
      </c>
      <c r="D42" s="230" t="s">
        <v>344</v>
      </c>
      <c r="E42" s="380">
        <v>32001</v>
      </c>
      <c r="F42" s="231">
        <v>4.3899999999999997</v>
      </c>
      <c r="G42" s="231">
        <v>4.43</v>
      </c>
      <c r="H42" s="231">
        <v>4.3899999999999997</v>
      </c>
      <c r="I42" s="231">
        <v>4.4000000000000004</v>
      </c>
      <c r="J42" s="231"/>
      <c r="K42" s="231">
        <v>14987.56</v>
      </c>
      <c r="L42" s="231">
        <v>14635.789999999999</v>
      </c>
      <c r="M42" s="231">
        <v>8863.44</v>
      </c>
      <c r="N42" s="231">
        <v>10654.939999999999</v>
      </c>
      <c r="O42" s="231">
        <v>14318.2</v>
      </c>
      <c r="P42" s="231">
        <v>12455.32</v>
      </c>
      <c r="Q42" s="231">
        <v>11966.34</v>
      </c>
      <c r="R42" s="231">
        <v>14238.29</v>
      </c>
      <c r="S42" s="231">
        <v>10900.17</v>
      </c>
      <c r="T42" s="231">
        <v>11885.86</v>
      </c>
      <c r="U42" s="231">
        <v>10388.67</v>
      </c>
      <c r="V42" s="231">
        <v>11836.009999999998</v>
      </c>
      <c r="W42" s="231"/>
      <c r="X42" s="388">
        <f t="shared" si="1"/>
        <v>147130.59000000003</v>
      </c>
      <c r="Y42" s="389"/>
      <c r="Z42" s="233">
        <f t="shared" si="2"/>
        <v>3414.0227790432805</v>
      </c>
      <c r="AA42" s="233">
        <f t="shared" si="3"/>
        <v>3333.8929384965832</v>
      </c>
      <c r="AB42" s="233">
        <f t="shared" si="4"/>
        <v>2019.0068337129844</v>
      </c>
      <c r="AC42" s="233">
        <f t="shared" si="5"/>
        <v>2405.1783295711061</v>
      </c>
      <c r="AD42" s="233">
        <f t="shared" si="6"/>
        <v>3232.0993227990975</v>
      </c>
      <c r="AE42" s="233">
        <f t="shared" si="7"/>
        <v>2837.2027334851937</v>
      </c>
      <c r="AF42" s="233">
        <f t="shared" si="8"/>
        <v>2725.8177676537589</v>
      </c>
      <c r="AG42" s="233">
        <f t="shared" si="9"/>
        <v>3243.3462414578594</v>
      </c>
      <c r="AH42" s="233">
        <f t="shared" si="10"/>
        <v>2477.3113636363632</v>
      </c>
      <c r="AI42" s="233">
        <f t="shared" si="11"/>
        <v>2701.3318181818181</v>
      </c>
      <c r="AJ42" s="233">
        <f t="shared" si="12"/>
        <v>2361.0613636363632</v>
      </c>
      <c r="AK42" s="233">
        <f t="shared" si="13"/>
        <v>2690.0022727272722</v>
      </c>
      <c r="AL42" s="234">
        <f t="shared" si="14"/>
        <v>2786.6894803668069</v>
      </c>
      <c r="AN42" s="234">
        <f t="shared" si="15"/>
        <v>32397.741654586869</v>
      </c>
    </row>
    <row r="43" spans="1:40">
      <c r="A43" s="218" t="str">
        <f>$A$1&amp;"Residential"&amp;B43</f>
        <v>PIERCE UTCResidentialEXTRA65-RES</v>
      </c>
      <c r="B43" s="230" t="s">
        <v>703</v>
      </c>
      <c r="C43" s="230" t="s">
        <v>728</v>
      </c>
      <c r="D43" s="230" t="s">
        <v>344</v>
      </c>
      <c r="E43" s="380">
        <v>32001</v>
      </c>
      <c r="F43" s="231">
        <v>9.32</v>
      </c>
      <c r="G43" s="231">
        <v>9.57</v>
      </c>
      <c r="H43" s="231">
        <v>9.2899999999999991</v>
      </c>
      <c r="I43" s="231">
        <v>9.31</v>
      </c>
      <c r="J43" s="231"/>
      <c r="K43" s="231">
        <v>9.32</v>
      </c>
      <c r="L43" s="231">
        <v>0</v>
      </c>
      <c r="M43" s="231">
        <v>0</v>
      </c>
      <c r="N43" s="231">
        <v>9.57</v>
      </c>
      <c r="O43" s="231">
        <v>19.14</v>
      </c>
      <c r="P43" s="231">
        <v>27.869999999999997</v>
      </c>
      <c r="Q43" s="231">
        <v>37.159999999999997</v>
      </c>
      <c r="R43" s="231">
        <v>18.579999999999998</v>
      </c>
      <c r="S43" s="231">
        <v>18.62</v>
      </c>
      <c r="T43" s="231">
        <v>27.93</v>
      </c>
      <c r="U43" s="231">
        <v>0</v>
      </c>
      <c r="V43" s="231">
        <v>9.31</v>
      </c>
      <c r="W43" s="231"/>
      <c r="X43" s="388">
        <f t="shared" ref="X43:X66" si="16">SUM(K43:V43)</f>
        <v>177.5</v>
      </c>
      <c r="Y43" s="389"/>
      <c r="Z43" s="233">
        <f t="shared" ref="Z43:Z66" si="17">IFERROR(K43/$F43,0)</f>
        <v>1</v>
      </c>
      <c r="AA43" s="233">
        <f t="shared" ref="AA43:AA66" si="18">IFERROR(L43/$F43,0)</f>
        <v>0</v>
      </c>
      <c r="AB43" s="233">
        <f t="shared" ref="AB43:AB66" si="19">IFERROR(M43/$F43,0)</f>
        <v>0</v>
      </c>
      <c r="AC43" s="233">
        <f t="shared" ref="AC43:AC66" si="20">IFERROR(N43/$G43,0)</f>
        <v>1</v>
      </c>
      <c r="AD43" s="233">
        <f t="shared" ref="AD43:AD66" si="21">IFERROR(O43/$G43,0)</f>
        <v>2</v>
      </c>
      <c r="AE43" s="233">
        <f t="shared" ref="AE43:AE66" si="22">IFERROR(P43/$H43,0)</f>
        <v>3</v>
      </c>
      <c r="AF43" s="233">
        <f t="shared" ref="AF43:AF66" si="23">IFERROR(Q43/$H43,0)</f>
        <v>4</v>
      </c>
      <c r="AG43" s="233">
        <f t="shared" ref="AG43:AG66" si="24">IFERROR(R43/$H43,0)</f>
        <v>2</v>
      </c>
      <c r="AH43" s="233">
        <f t="shared" ref="AH43:AH66" si="25">IFERROR(S43/$I43,0)</f>
        <v>2</v>
      </c>
      <c r="AI43" s="233">
        <f t="shared" ref="AI43:AI66" si="26">IFERROR(T43/$I43,0)</f>
        <v>3</v>
      </c>
      <c r="AJ43" s="233">
        <f t="shared" ref="AJ43:AJ66" si="27">IFERROR(U43/$I43,0)</f>
        <v>0</v>
      </c>
      <c r="AK43" s="233">
        <f t="shared" ref="AK43:AK66" si="28">IFERROR(V43/$I43,0)</f>
        <v>1</v>
      </c>
      <c r="AL43" s="234">
        <f t="shared" ref="AL43:AL66" si="29">AVERAGE(Z43:AK43)</f>
        <v>1.5833333333333333</v>
      </c>
      <c r="AN43" s="234">
        <f t="shared" ref="AN43:AN66" si="30">+SUM(AF43:AK43)*2</f>
        <v>24</v>
      </c>
    </row>
    <row r="44" spans="1:40">
      <c r="A44" s="218" t="str">
        <f>$A$1&amp;"Residential"&amp;B44</f>
        <v>PIERCE UTCResidentialEXTRA95-RES</v>
      </c>
      <c r="B44" s="230" t="s">
        <v>704</v>
      </c>
      <c r="C44" s="230" t="s">
        <v>729</v>
      </c>
      <c r="D44" s="230" t="s">
        <v>344</v>
      </c>
      <c r="E44" s="380">
        <v>32001</v>
      </c>
      <c r="F44" s="231">
        <v>12.27</v>
      </c>
      <c r="G44" s="231">
        <v>12.64</v>
      </c>
      <c r="H44" s="231">
        <v>12.23</v>
      </c>
      <c r="I44" s="231">
        <v>12.27</v>
      </c>
      <c r="J44" s="231"/>
      <c r="K44" s="231">
        <v>147.24</v>
      </c>
      <c r="L44" s="231">
        <v>147.24</v>
      </c>
      <c r="M44" s="231">
        <v>122.7</v>
      </c>
      <c r="N44" s="231">
        <v>339.8</v>
      </c>
      <c r="O44" s="231">
        <v>366.56</v>
      </c>
      <c r="P44" s="231">
        <v>344.08000000000004</v>
      </c>
      <c r="Q44" s="231">
        <v>379.13</v>
      </c>
      <c r="R44" s="231">
        <v>287.39999999999998</v>
      </c>
      <c r="S44" s="231">
        <v>331.09</v>
      </c>
      <c r="T44" s="231">
        <v>331.28999999999996</v>
      </c>
      <c r="U44" s="231">
        <v>257.66999999999996</v>
      </c>
      <c r="V44" s="231">
        <v>208.59</v>
      </c>
      <c r="W44" s="231"/>
      <c r="X44" s="388">
        <f t="shared" si="16"/>
        <v>3262.7900000000004</v>
      </c>
      <c r="Y44" s="389"/>
      <c r="Z44" s="233">
        <f t="shared" si="17"/>
        <v>12.000000000000002</v>
      </c>
      <c r="AA44" s="233">
        <f t="shared" si="18"/>
        <v>12.000000000000002</v>
      </c>
      <c r="AB44" s="233">
        <f t="shared" si="19"/>
        <v>10</v>
      </c>
      <c r="AC44" s="233">
        <f t="shared" si="20"/>
        <v>26.882911392405063</v>
      </c>
      <c r="AD44" s="233">
        <f t="shared" si="21"/>
        <v>29</v>
      </c>
      <c r="AE44" s="233">
        <f t="shared" si="22"/>
        <v>28.134096484055604</v>
      </c>
      <c r="AF44" s="233">
        <f t="shared" si="23"/>
        <v>31</v>
      </c>
      <c r="AG44" s="233">
        <f t="shared" si="24"/>
        <v>23.499591169255925</v>
      </c>
      <c r="AH44" s="233">
        <f t="shared" si="25"/>
        <v>26.983700081499592</v>
      </c>
      <c r="AI44" s="233">
        <f t="shared" si="26"/>
        <v>26.999999999999996</v>
      </c>
      <c r="AJ44" s="233">
        <f t="shared" si="27"/>
        <v>20.999999999999996</v>
      </c>
      <c r="AK44" s="233">
        <f t="shared" si="28"/>
        <v>17</v>
      </c>
      <c r="AL44" s="234">
        <f t="shared" si="29"/>
        <v>22.041691593934683</v>
      </c>
      <c r="AN44" s="234">
        <f t="shared" si="30"/>
        <v>292.96658250151103</v>
      </c>
    </row>
    <row r="45" spans="1:40">
      <c r="A45" s="218" t="str">
        <f>$A$1&amp;"Residential"&amp;B45</f>
        <v>PIERCE UTCResidentialEXTRAGRAD1-RES</v>
      </c>
      <c r="B45" s="230" t="s">
        <v>345</v>
      </c>
      <c r="C45" s="230" t="s">
        <v>752</v>
      </c>
      <c r="D45" s="230" t="s">
        <v>344</v>
      </c>
      <c r="E45" s="380">
        <v>32001</v>
      </c>
      <c r="F45" s="231">
        <v>0</v>
      </c>
      <c r="G45" s="231">
        <v>0</v>
      </c>
      <c r="H45" s="231">
        <v>0</v>
      </c>
      <c r="I45" s="231">
        <v>0</v>
      </c>
      <c r="J45" s="231"/>
      <c r="K45" s="231">
        <v>0</v>
      </c>
      <c r="L45" s="231">
        <v>0</v>
      </c>
      <c r="M45" s="231">
        <v>0</v>
      </c>
      <c r="N45" s="231">
        <v>0</v>
      </c>
      <c r="O45" s="231">
        <v>0</v>
      </c>
      <c r="P45" s="231">
        <v>0</v>
      </c>
      <c r="Q45" s="231">
        <v>0</v>
      </c>
      <c r="R45" s="231">
        <v>0</v>
      </c>
      <c r="S45" s="231">
        <v>0</v>
      </c>
      <c r="T45" s="231">
        <v>0</v>
      </c>
      <c r="U45" s="231">
        <v>0</v>
      </c>
      <c r="V45" s="231">
        <v>0</v>
      </c>
      <c r="W45" s="231"/>
      <c r="X45" s="388">
        <f t="shared" si="16"/>
        <v>0</v>
      </c>
      <c r="Y45" s="389"/>
      <c r="Z45" s="233">
        <f t="shared" si="17"/>
        <v>0</v>
      </c>
      <c r="AA45" s="233">
        <f t="shared" si="18"/>
        <v>0</v>
      </c>
      <c r="AB45" s="233">
        <f t="shared" si="19"/>
        <v>0</v>
      </c>
      <c r="AC45" s="233">
        <f t="shared" si="20"/>
        <v>0</v>
      </c>
      <c r="AD45" s="233">
        <f t="shared" si="21"/>
        <v>0</v>
      </c>
      <c r="AE45" s="233">
        <f t="shared" si="22"/>
        <v>0</v>
      </c>
      <c r="AF45" s="233">
        <f t="shared" si="23"/>
        <v>0</v>
      </c>
      <c r="AG45" s="233">
        <f t="shared" si="24"/>
        <v>0</v>
      </c>
      <c r="AH45" s="233">
        <f t="shared" si="25"/>
        <v>0</v>
      </c>
      <c r="AI45" s="233">
        <f t="shared" si="26"/>
        <v>0</v>
      </c>
      <c r="AJ45" s="233">
        <f t="shared" si="27"/>
        <v>0</v>
      </c>
      <c r="AK45" s="233">
        <f t="shared" si="28"/>
        <v>0</v>
      </c>
      <c r="AL45" s="234">
        <f t="shared" si="29"/>
        <v>0</v>
      </c>
      <c r="AN45" s="234">
        <f t="shared" si="30"/>
        <v>0</v>
      </c>
    </row>
    <row r="46" spans="1:40">
      <c r="A46" s="218" t="str">
        <f>$A$1&amp;"Residential"&amp;B46</f>
        <v>PIERCE UTCResidentialOS-RES</v>
      </c>
      <c r="B46" s="230" t="s">
        <v>346</v>
      </c>
      <c r="C46" s="230" t="s">
        <v>347</v>
      </c>
      <c r="D46" s="230" t="s">
        <v>344</v>
      </c>
      <c r="E46" s="380">
        <v>32001</v>
      </c>
      <c r="F46" s="231">
        <v>7.74</v>
      </c>
      <c r="G46" s="231">
        <v>7.78</v>
      </c>
      <c r="H46" s="231">
        <v>7.71</v>
      </c>
      <c r="I46" s="231">
        <v>7.73</v>
      </c>
      <c r="J46" s="231"/>
      <c r="K46" s="231">
        <v>0</v>
      </c>
      <c r="L46" s="231">
        <v>0</v>
      </c>
      <c r="M46" s="231">
        <v>0</v>
      </c>
      <c r="N46" s="231">
        <v>0</v>
      </c>
      <c r="O46" s="231">
        <v>0</v>
      </c>
      <c r="P46" s="231">
        <v>0</v>
      </c>
      <c r="Q46" s="231">
        <v>0</v>
      </c>
      <c r="R46" s="231">
        <v>7.71</v>
      </c>
      <c r="S46" s="231">
        <v>7.73</v>
      </c>
      <c r="T46" s="231">
        <v>38.65</v>
      </c>
      <c r="U46" s="231">
        <v>0</v>
      </c>
      <c r="V46" s="231">
        <v>15.46</v>
      </c>
      <c r="W46" s="231"/>
      <c r="X46" s="388">
        <f t="shared" si="16"/>
        <v>69.550000000000011</v>
      </c>
      <c r="Y46" s="389"/>
      <c r="Z46" s="233">
        <f t="shared" si="17"/>
        <v>0</v>
      </c>
      <c r="AA46" s="233">
        <f t="shared" si="18"/>
        <v>0</v>
      </c>
      <c r="AB46" s="233">
        <f t="shared" si="19"/>
        <v>0</v>
      </c>
      <c r="AC46" s="233">
        <f t="shared" si="20"/>
        <v>0</v>
      </c>
      <c r="AD46" s="233">
        <f t="shared" si="21"/>
        <v>0</v>
      </c>
      <c r="AE46" s="233">
        <f t="shared" si="22"/>
        <v>0</v>
      </c>
      <c r="AF46" s="233">
        <f t="shared" si="23"/>
        <v>0</v>
      </c>
      <c r="AG46" s="233">
        <f t="shared" si="24"/>
        <v>1</v>
      </c>
      <c r="AH46" s="233">
        <f t="shared" si="25"/>
        <v>1</v>
      </c>
      <c r="AI46" s="233">
        <f t="shared" si="26"/>
        <v>4.9999999999999991</v>
      </c>
      <c r="AJ46" s="233">
        <f t="shared" si="27"/>
        <v>0</v>
      </c>
      <c r="AK46" s="233">
        <f t="shared" si="28"/>
        <v>2</v>
      </c>
      <c r="AL46" s="234">
        <f t="shared" si="29"/>
        <v>0.75</v>
      </c>
      <c r="AN46" s="234">
        <f t="shared" si="30"/>
        <v>18</v>
      </c>
    </row>
    <row r="47" spans="1:40">
      <c r="A47" s="218" t="str">
        <f>$A$1&amp;"Residential"&amp;B47</f>
        <v>PIERCE UTCResidentialOW-RES</v>
      </c>
      <c r="B47" s="230" t="s">
        <v>348</v>
      </c>
      <c r="C47" s="230" t="s">
        <v>349</v>
      </c>
      <c r="D47" s="230" t="s">
        <v>344</v>
      </c>
      <c r="E47" s="380">
        <v>32001</v>
      </c>
      <c r="F47" s="231">
        <v>7.74</v>
      </c>
      <c r="G47" s="231">
        <v>7.78</v>
      </c>
      <c r="H47" s="231">
        <v>7.71</v>
      </c>
      <c r="I47" s="231">
        <v>7.73</v>
      </c>
      <c r="J47" s="231"/>
      <c r="K47" s="231">
        <v>19272.599999999999</v>
      </c>
      <c r="L47" s="231">
        <v>15821.519999999999</v>
      </c>
      <c r="M47" s="231">
        <v>9342.5400000000009</v>
      </c>
      <c r="N47" s="231">
        <v>12196.320000000002</v>
      </c>
      <c r="O47" s="231">
        <v>13879.600000000002</v>
      </c>
      <c r="P47" s="231">
        <v>14391.18</v>
      </c>
      <c r="Q47" s="231">
        <v>14378.87</v>
      </c>
      <c r="R47" s="231">
        <v>13816.01</v>
      </c>
      <c r="S47" s="231">
        <v>11516.300000000001</v>
      </c>
      <c r="T47" s="231">
        <v>11154.46</v>
      </c>
      <c r="U47" s="231">
        <v>10922.49</v>
      </c>
      <c r="V47" s="231">
        <v>13674.369999999999</v>
      </c>
      <c r="W47" s="231"/>
      <c r="X47" s="388">
        <f t="shared" si="16"/>
        <v>160366.25999999998</v>
      </c>
      <c r="Y47" s="389"/>
      <c r="Z47" s="233">
        <f t="shared" si="17"/>
        <v>2489.9999999999995</v>
      </c>
      <c r="AA47" s="233">
        <f t="shared" si="18"/>
        <v>2044.1240310077517</v>
      </c>
      <c r="AB47" s="233">
        <f t="shared" si="19"/>
        <v>1207.046511627907</v>
      </c>
      <c r="AC47" s="233">
        <f t="shared" si="20"/>
        <v>1567.6503856041134</v>
      </c>
      <c r="AD47" s="233">
        <f t="shared" si="21"/>
        <v>1784.0102827763499</v>
      </c>
      <c r="AE47" s="233">
        <f t="shared" si="22"/>
        <v>1866.5603112840467</v>
      </c>
      <c r="AF47" s="233">
        <f t="shared" si="23"/>
        <v>1864.9636835278859</v>
      </c>
      <c r="AG47" s="233">
        <f t="shared" si="24"/>
        <v>1791.9597924773022</v>
      </c>
      <c r="AH47" s="233">
        <f t="shared" si="25"/>
        <v>1489.8188874514879</v>
      </c>
      <c r="AI47" s="233">
        <f t="shared" si="26"/>
        <v>1443.0090556274254</v>
      </c>
      <c r="AJ47" s="233">
        <f t="shared" si="27"/>
        <v>1413</v>
      </c>
      <c r="AK47" s="233">
        <f t="shared" si="28"/>
        <v>1768.9999999999998</v>
      </c>
      <c r="AL47" s="234">
        <f t="shared" si="29"/>
        <v>1727.595245115356</v>
      </c>
      <c r="AN47" s="234">
        <f t="shared" si="30"/>
        <v>19543.502838168202</v>
      </c>
    </row>
    <row r="48" spans="1:40">
      <c r="A48" s="218" t="str">
        <f>$A$1&amp;"Residential"&amp;B48</f>
        <v>PIERCE UTCResidentialSPGRAD1-RES</v>
      </c>
      <c r="B48" s="230" t="s">
        <v>350</v>
      </c>
      <c r="C48" s="230" t="s">
        <v>753</v>
      </c>
      <c r="D48" s="230"/>
      <c r="F48" s="231">
        <v>0</v>
      </c>
      <c r="G48" s="231">
        <v>0</v>
      </c>
      <c r="H48" s="231">
        <v>0</v>
      </c>
      <c r="I48" s="231">
        <v>0</v>
      </c>
      <c r="J48" s="231"/>
      <c r="K48" s="231">
        <v>0</v>
      </c>
      <c r="L48" s="231">
        <v>0</v>
      </c>
      <c r="M48" s="231">
        <v>27.270000000000003</v>
      </c>
      <c r="N48" s="231">
        <v>0</v>
      </c>
      <c r="O48" s="231">
        <v>0</v>
      </c>
      <c r="P48" s="231">
        <v>36.6</v>
      </c>
      <c r="Q48" s="231">
        <v>0</v>
      </c>
      <c r="R48" s="231">
        <v>18.3</v>
      </c>
      <c r="S48" s="231">
        <v>45.75</v>
      </c>
      <c r="T48" s="231">
        <v>0</v>
      </c>
      <c r="U48" s="231">
        <v>0</v>
      </c>
      <c r="V48" s="231">
        <v>18.3</v>
      </c>
      <c r="W48" s="231"/>
      <c r="X48" s="388">
        <f t="shared" si="16"/>
        <v>146.22</v>
      </c>
      <c r="Y48" s="389"/>
      <c r="Z48" s="233">
        <f t="shared" si="17"/>
        <v>0</v>
      </c>
      <c r="AA48" s="233">
        <f t="shared" si="18"/>
        <v>0</v>
      </c>
      <c r="AB48" s="233">
        <f t="shared" si="19"/>
        <v>0</v>
      </c>
      <c r="AC48" s="233">
        <f t="shared" si="20"/>
        <v>0</v>
      </c>
      <c r="AD48" s="233">
        <f t="shared" si="21"/>
        <v>0</v>
      </c>
      <c r="AE48" s="233">
        <f t="shared" si="22"/>
        <v>0</v>
      </c>
      <c r="AF48" s="233">
        <f t="shared" si="23"/>
        <v>0</v>
      </c>
      <c r="AG48" s="233">
        <f t="shared" si="24"/>
        <v>0</v>
      </c>
      <c r="AH48" s="233">
        <f t="shared" si="25"/>
        <v>0</v>
      </c>
      <c r="AI48" s="233">
        <f t="shared" si="26"/>
        <v>0</v>
      </c>
      <c r="AJ48" s="233">
        <f t="shared" si="27"/>
        <v>0</v>
      </c>
      <c r="AK48" s="233">
        <f t="shared" si="28"/>
        <v>0</v>
      </c>
      <c r="AL48" s="234">
        <f t="shared" si="29"/>
        <v>0</v>
      </c>
      <c r="AN48" s="234">
        <f t="shared" si="30"/>
        <v>0</v>
      </c>
    </row>
    <row r="49" spans="1:40">
      <c r="A49" s="218" t="str">
        <f>$A$1&amp;"Residential"&amp;B49</f>
        <v>PIERCE UTCResidentialWI1-RES</v>
      </c>
      <c r="B49" s="230" t="s">
        <v>351</v>
      </c>
      <c r="C49" s="230" t="s">
        <v>754</v>
      </c>
      <c r="D49" s="230" t="s">
        <v>343</v>
      </c>
      <c r="E49" s="380">
        <v>32000</v>
      </c>
      <c r="F49" s="231">
        <v>2.06</v>
      </c>
      <c r="G49" s="231">
        <v>2.06</v>
      </c>
      <c r="H49" s="231">
        <v>2.04</v>
      </c>
      <c r="I49" s="231">
        <v>2.0499999999999998</v>
      </c>
      <c r="J49" s="231"/>
      <c r="K49" s="231">
        <v>143.28</v>
      </c>
      <c r="L49" s="231">
        <v>140.29999999999998</v>
      </c>
      <c r="M49" s="231">
        <v>134.625</v>
      </c>
      <c r="N49" s="231">
        <v>140.935</v>
      </c>
      <c r="O49" s="231">
        <v>142.07999999999998</v>
      </c>
      <c r="P49" s="231">
        <v>160.47</v>
      </c>
      <c r="Q49" s="231">
        <v>167.16500000000002</v>
      </c>
      <c r="R49" s="231">
        <v>164.69</v>
      </c>
      <c r="S49" s="231">
        <v>162.48000000000002</v>
      </c>
      <c r="T49" s="231">
        <v>166.97500000000002</v>
      </c>
      <c r="U49" s="231">
        <v>143.91</v>
      </c>
      <c r="V49" s="231">
        <v>163.18</v>
      </c>
      <c r="W49" s="231"/>
      <c r="X49" s="388">
        <f t="shared" si="16"/>
        <v>1830.0900000000001</v>
      </c>
      <c r="Y49" s="389"/>
      <c r="Z49" s="233">
        <f t="shared" si="17"/>
        <v>69.553398058252426</v>
      </c>
      <c r="AA49" s="233">
        <f t="shared" si="18"/>
        <v>68.106796116504839</v>
      </c>
      <c r="AB49" s="233">
        <f t="shared" si="19"/>
        <v>65.351941747572809</v>
      </c>
      <c r="AC49" s="233">
        <f t="shared" si="20"/>
        <v>68.415048543689323</v>
      </c>
      <c r="AD49" s="233">
        <f t="shared" si="21"/>
        <v>68.970873786407751</v>
      </c>
      <c r="AE49" s="233">
        <f t="shared" si="22"/>
        <v>78.661764705882348</v>
      </c>
      <c r="AF49" s="233">
        <f t="shared" si="23"/>
        <v>81.943627450980401</v>
      </c>
      <c r="AG49" s="233">
        <f t="shared" si="24"/>
        <v>80.730392156862749</v>
      </c>
      <c r="AH49" s="233">
        <f t="shared" si="25"/>
        <v>79.258536585365874</v>
      </c>
      <c r="AI49" s="233">
        <f t="shared" si="26"/>
        <v>81.451219512195138</v>
      </c>
      <c r="AJ49" s="233">
        <f t="shared" si="27"/>
        <v>70.2</v>
      </c>
      <c r="AK49" s="233">
        <f t="shared" si="28"/>
        <v>79.600000000000009</v>
      </c>
      <c r="AL49" s="234">
        <f t="shared" si="29"/>
        <v>74.353633221976139</v>
      </c>
      <c r="AN49" s="234">
        <f t="shared" si="30"/>
        <v>946.36755141080835</v>
      </c>
    </row>
    <row r="50" spans="1:40">
      <c r="A50" s="218" t="str">
        <f>$A$1&amp;"Residential"&amp;B50</f>
        <v>PIERCE UTCResidentialWI2-RES</v>
      </c>
      <c r="B50" s="230" t="s">
        <v>352</v>
      </c>
      <c r="C50" s="230" t="s">
        <v>755</v>
      </c>
      <c r="D50" s="230" t="s">
        <v>343</v>
      </c>
      <c r="E50" s="380">
        <v>32000</v>
      </c>
      <c r="F50" s="231">
        <v>3.38</v>
      </c>
      <c r="G50" s="231">
        <v>3.38</v>
      </c>
      <c r="H50" s="231">
        <v>3.35</v>
      </c>
      <c r="I50" s="231">
        <v>3.36</v>
      </c>
      <c r="J50" s="231"/>
      <c r="K50" s="231">
        <v>13.52</v>
      </c>
      <c r="L50" s="231">
        <v>13.52</v>
      </c>
      <c r="M50" s="231">
        <v>13.52</v>
      </c>
      <c r="N50" s="231">
        <v>13.52</v>
      </c>
      <c r="O50" s="231">
        <v>6.76</v>
      </c>
      <c r="P50" s="231">
        <v>6.7</v>
      </c>
      <c r="Q50" s="231">
        <v>6.7</v>
      </c>
      <c r="R50" s="231">
        <v>6.7050000000000001</v>
      </c>
      <c r="S50" s="231">
        <v>6.7149999999999999</v>
      </c>
      <c r="T50" s="231">
        <v>6.72</v>
      </c>
      <c r="U50" s="231">
        <v>6.72</v>
      </c>
      <c r="V50" s="231">
        <v>13.44</v>
      </c>
      <c r="W50" s="231"/>
      <c r="X50" s="388">
        <f t="shared" si="16"/>
        <v>114.53999999999999</v>
      </c>
      <c r="Y50" s="389"/>
      <c r="Z50" s="233">
        <f t="shared" si="17"/>
        <v>4</v>
      </c>
      <c r="AA50" s="233">
        <f t="shared" si="18"/>
        <v>4</v>
      </c>
      <c r="AB50" s="233">
        <f t="shared" si="19"/>
        <v>4</v>
      </c>
      <c r="AC50" s="233">
        <f t="shared" si="20"/>
        <v>4</v>
      </c>
      <c r="AD50" s="233">
        <f t="shared" si="21"/>
        <v>2</v>
      </c>
      <c r="AE50" s="233">
        <f t="shared" si="22"/>
        <v>2</v>
      </c>
      <c r="AF50" s="233">
        <f t="shared" si="23"/>
        <v>2</v>
      </c>
      <c r="AG50" s="233">
        <f t="shared" si="24"/>
        <v>2.0014925373134327</v>
      </c>
      <c r="AH50" s="233">
        <f t="shared" si="25"/>
        <v>1.9985119047619049</v>
      </c>
      <c r="AI50" s="233">
        <f t="shared" si="26"/>
        <v>2</v>
      </c>
      <c r="AJ50" s="233">
        <f t="shared" si="27"/>
        <v>2</v>
      </c>
      <c r="AK50" s="233">
        <f t="shared" si="28"/>
        <v>4</v>
      </c>
      <c r="AL50" s="234">
        <f t="shared" si="29"/>
        <v>2.8333337035062782</v>
      </c>
      <c r="AN50" s="234">
        <f t="shared" si="30"/>
        <v>28.000008884150674</v>
      </c>
    </row>
    <row r="51" spans="1:40" s="217" customFormat="1">
      <c r="A51" s="218" t="str">
        <f>$A$1&amp;"Residential"&amp;B51</f>
        <v>PIERCE UTCResidentialDRIVEIN1-RES</v>
      </c>
      <c r="B51" s="230" t="s">
        <v>353</v>
      </c>
      <c r="C51" s="230" t="s">
        <v>756</v>
      </c>
      <c r="D51" s="230" t="s">
        <v>343</v>
      </c>
      <c r="E51" s="380">
        <v>32000</v>
      </c>
      <c r="F51" s="231">
        <v>0</v>
      </c>
      <c r="G51" s="231">
        <v>0</v>
      </c>
      <c r="H51" s="231">
        <v>0</v>
      </c>
      <c r="I51" s="231">
        <v>0</v>
      </c>
      <c r="J51" s="231"/>
      <c r="K51" s="231">
        <v>17</v>
      </c>
      <c r="L51" s="231">
        <v>17</v>
      </c>
      <c r="M51" s="231">
        <v>17</v>
      </c>
      <c r="N51" s="231">
        <v>17</v>
      </c>
      <c r="O51" s="231">
        <v>17</v>
      </c>
      <c r="P51" s="231">
        <v>0</v>
      </c>
      <c r="Q51" s="231">
        <v>0</v>
      </c>
      <c r="R51" s="231">
        <v>0</v>
      </c>
      <c r="S51" s="231">
        <v>0</v>
      </c>
      <c r="T51" s="231">
        <v>0</v>
      </c>
      <c r="U51" s="231">
        <v>0</v>
      </c>
      <c r="V51" s="231">
        <v>0</v>
      </c>
      <c r="W51" s="231"/>
      <c r="X51" s="388">
        <f t="shared" si="16"/>
        <v>85</v>
      </c>
      <c r="Y51" s="389"/>
      <c r="Z51" s="233">
        <f t="shared" si="17"/>
        <v>0</v>
      </c>
      <c r="AA51" s="233">
        <f t="shared" si="18"/>
        <v>0</v>
      </c>
      <c r="AB51" s="233">
        <f t="shared" si="19"/>
        <v>0</v>
      </c>
      <c r="AC51" s="233">
        <f t="shared" si="20"/>
        <v>0</v>
      </c>
      <c r="AD51" s="233">
        <f t="shared" si="21"/>
        <v>0</v>
      </c>
      <c r="AE51" s="233">
        <f t="shared" si="22"/>
        <v>0</v>
      </c>
      <c r="AF51" s="233">
        <f t="shared" si="23"/>
        <v>0</v>
      </c>
      <c r="AG51" s="233">
        <f t="shared" si="24"/>
        <v>0</v>
      </c>
      <c r="AH51" s="233">
        <f t="shared" si="25"/>
        <v>0</v>
      </c>
      <c r="AI51" s="233">
        <f t="shared" si="26"/>
        <v>0</v>
      </c>
      <c r="AJ51" s="233">
        <f t="shared" si="27"/>
        <v>0</v>
      </c>
      <c r="AK51" s="233">
        <f t="shared" si="28"/>
        <v>0</v>
      </c>
      <c r="AL51" s="234">
        <f t="shared" si="29"/>
        <v>0</v>
      </c>
      <c r="AN51" s="234">
        <f t="shared" si="30"/>
        <v>0</v>
      </c>
    </row>
    <row r="52" spans="1:40" s="217" customFormat="1">
      <c r="A52" s="218" t="str">
        <f>$A$1&amp;"Residential"&amp;B52</f>
        <v>PIERCE UTCResidentialDRIVEIN2-RES</v>
      </c>
      <c r="B52" s="230" t="s">
        <v>354</v>
      </c>
      <c r="C52" s="230" t="s">
        <v>757</v>
      </c>
      <c r="D52" s="230" t="s">
        <v>343</v>
      </c>
      <c r="E52" s="380">
        <v>32000</v>
      </c>
      <c r="F52" s="231">
        <v>8.4499999999999993</v>
      </c>
      <c r="G52" s="231">
        <v>8.4499999999999993</v>
      </c>
      <c r="H52" s="231">
        <v>8.3699999999999992</v>
      </c>
      <c r="I52" s="231">
        <v>8.39</v>
      </c>
      <c r="J52" s="231"/>
      <c r="K52" s="231">
        <v>8.4499999999999993</v>
      </c>
      <c r="L52" s="231">
        <v>8.4499999999999993</v>
      </c>
      <c r="M52" s="231">
        <v>25.349999999999998</v>
      </c>
      <c r="N52" s="231">
        <v>25.35</v>
      </c>
      <c r="O52" s="231">
        <v>25.35</v>
      </c>
      <c r="P52" s="231">
        <v>25.11</v>
      </c>
      <c r="Q52" s="231">
        <v>25.11</v>
      </c>
      <c r="R52" s="231">
        <v>25.14</v>
      </c>
      <c r="S52" s="231">
        <v>25.14</v>
      </c>
      <c r="T52" s="231">
        <v>25.17</v>
      </c>
      <c r="U52" s="231">
        <v>25.17</v>
      </c>
      <c r="V52" s="231">
        <v>25.17</v>
      </c>
      <c r="W52" s="231"/>
      <c r="X52" s="388">
        <f t="shared" si="16"/>
        <v>268.96000000000004</v>
      </c>
      <c r="Y52" s="389"/>
      <c r="Z52" s="233">
        <f t="shared" si="17"/>
        <v>1</v>
      </c>
      <c r="AA52" s="233">
        <f t="shared" si="18"/>
        <v>1</v>
      </c>
      <c r="AB52" s="233">
        <f t="shared" si="19"/>
        <v>3</v>
      </c>
      <c r="AC52" s="233">
        <f t="shared" si="20"/>
        <v>3.0000000000000004</v>
      </c>
      <c r="AD52" s="233">
        <f t="shared" si="21"/>
        <v>3.0000000000000004</v>
      </c>
      <c r="AE52" s="233">
        <f t="shared" si="22"/>
        <v>3</v>
      </c>
      <c r="AF52" s="233">
        <f t="shared" si="23"/>
        <v>3</v>
      </c>
      <c r="AG52" s="233">
        <f t="shared" si="24"/>
        <v>3.0035842293906811</v>
      </c>
      <c r="AH52" s="233">
        <f t="shared" si="25"/>
        <v>2.9964243146603096</v>
      </c>
      <c r="AI52" s="233">
        <f t="shared" si="26"/>
        <v>3</v>
      </c>
      <c r="AJ52" s="233">
        <f t="shared" si="27"/>
        <v>3</v>
      </c>
      <c r="AK52" s="233">
        <f t="shared" si="28"/>
        <v>3</v>
      </c>
      <c r="AL52" s="234">
        <f t="shared" si="29"/>
        <v>2.6666673786709159</v>
      </c>
      <c r="AN52" s="234">
        <f t="shared" si="30"/>
        <v>36.000017088101984</v>
      </c>
    </row>
    <row r="53" spans="1:40" s="217" customFormat="1">
      <c r="A53" s="218" t="str">
        <f>$A$1&amp;"Residential"&amp;B53</f>
        <v>PIERCE UTCResidentialDRIVEIN4-RES</v>
      </c>
      <c r="B53" s="230" t="s">
        <v>355</v>
      </c>
      <c r="C53" s="230" t="s">
        <v>758</v>
      </c>
      <c r="D53" s="230" t="s">
        <v>343</v>
      </c>
      <c r="E53" s="380">
        <v>32000</v>
      </c>
      <c r="F53" s="231">
        <v>11.31</v>
      </c>
      <c r="G53" s="231">
        <v>11.31</v>
      </c>
      <c r="H53" s="231">
        <v>11.21</v>
      </c>
      <c r="I53" s="231">
        <v>11.23</v>
      </c>
      <c r="J53" s="231"/>
      <c r="K53" s="231">
        <v>22.62</v>
      </c>
      <c r="L53" s="231">
        <v>22.62</v>
      </c>
      <c r="M53" s="231">
        <v>22.62</v>
      </c>
      <c r="N53" s="231">
        <v>22.62</v>
      </c>
      <c r="O53" s="231">
        <v>22.62</v>
      </c>
      <c r="P53" s="231">
        <v>22.42</v>
      </c>
      <c r="Q53" s="231">
        <v>22.42</v>
      </c>
      <c r="R53" s="231">
        <v>22.44</v>
      </c>
      <c r="S53" s="231">
        <v>22.44</v>
      </c>
      <c r="T53" s="231">
        <v>22.46</v>
      </c>
      <c r="U53" s="231">
        <v>22.46</v>
      </c>
      <c r="V53" s="231">
        <v>22.46</v>
      </c>
      <c r="W53" s="231"/>
      <c r="X53" s="388">
        <f t="shared" si="16"/>
        <v>270.2</v>
      </c>
      <c r="Y53" s="389"/>
      <c r="Z53" s="233">
        <f t="shared" si="17"/>
        <v>2</v>
      </c>
      <c r="AA53" s="233">
        <f t="shared" si="18"/>
        <v>2</v>
      </c>
      <c r="AB53" s="233">
        <f t="shared" si="19"/>
        <v>2</v>
      </c>
      <c r="AC53" s="233">
        <f t="shared" si="20"/>
        <v>2</v>
      </c>
      <c r="AD53" s="233">
        <f t="shared" si="21"/>
        <v>2</v>
      </c>
      <c r="AE53" s="233">
        <f t="shared" si="22"/>
        <v>2</v>
      </c>
      <c r="AF53" s="233">
        <f t="shared" si="23"/>
        <v>2</v>
      </c>
      <c r="AG53" s="233">
        <f t="shared" si="24"/>
        <v>2.0017841213202496</v>
      </c>
      <c r="AH53" s="233">
        <f t="shared" si="25"/>
        <v>1.9982190560997328</v>
      </c>
      <c r="AI53" s="233">
        <f t="shared" si="26"/>
        <v>2</v>
      </c>
      <c r="AJ53" s="233">
        <f t="shared" si="27"/>
        <v>2</v>
      </c>
      <c r="AK53" s="233">
        <f t="shared" si="28"/>
        <v>2</v>
      </c>
      <c r="AL53" s="234">
        <f t="shared" si="29"/>
        <v>2.0000002647849984</v>
      </c>
      <c r="AN53" s="234">
        <f t="shared" si="30"/>
        <v>24.000006354839964</v>
      </c>
    </row>
    <row r="54" spans="1:40">
      <c r="A54" s="218" t="str">
        <f>$A$1&amp;"Residential"&amp;B54</f>
        <v>PIERCE UTCResidentialDRIVEIN-RES</v>
      </c>
      <c r="B54" s="230" t="s">
        <v>356</v>
      </c>
      <c r="C54" s="230" t="s">
        <v>759</v>
      </c>
      <c r="D54" s="230" t="s">
        <v>343</v>
      </c>
      <c r="E54" s="380">
        <v>32000</v>
      </c>
      <c r="F54" s="231">
        <v>7.02</v>
      </c>
      <c r="G54" s="231">
        <v>7.02</v>
      </c>
      <c r="H54" s="231">
        <v>6.95</v>
      </c>
      <c r="I54" s="231">
        <v>6.97</v>
      </c>
      <c r="J54" s="231"/>
      <c r="K54" s="231">
        <v>1119.0149999999999</v>
      </c>
      <c r="L54" s="231">
        <v>1111.06</v>
      </c>
      <c r="M54" s="231">
        <v>1090.44</v>
      </c>
      <c r="N54" s="231">
        <v>1074.06</v>
      </c>
      <c r="O54" s="231">
        <v>1083.4100000000001</v>
      </c>
      <c r="P54" s="231">
        <v>1122.23</v>
      </c>
      <c r="Q54" s="231">
        <v>1122.81</v>
      </c>
      <c r="R54" s="231">
        <v>1126.9299999999998</v>
      </c>
      <c r="S54" s="231">
        <v>1122.25</v>
      </c>
      <c r="T54" s="231">
        <v>1167.9349999999999</v>
      </c>
      <c r="U54" s="231">
        <v>1159.6949999999999</v>
      </c>
      <c r="V54" s="231">
        <v>1219.395</v>
      </c>
      <c r="W54" s="231"/>
      <c r="X54" s="388">
        <f t="shared" si="16"/>
        <v>13519.23</v>
      </c>
      <c r="Y54" s="389"/>
      <c r="Z54" s="233">
        <f t="shared" si="17"/>
        <v>159.40384615384613</v>
      </c>
      <c r="AA54" s="233">
        <f t="shared" si="18"/>
        <v>158.27065527065528</v>
      </c>
      <c r="AB54" s="233">
        <f t="shared" si="19"/>
        <v>155.33333333333334</v>
      </c>
      <c r="AC54" s="233">
        <f t="shared" si="20"/>
        <v>153</v>
      </c>
      <c r="AD54" s="233">
        <f t="shared" si="21"/>
        <v>154.33190883190886</v>
      </c>
      <c r="AE54" s="233">
        <f t="shared" si="22"/>
        <v>161.47194244604316</v>
      </c>
      <c r="AF54" s="233">
        <f t="shared" si="23"/>
        <v>161.55539568345321</v>
      </c>
      <c r="AG54" s="233">
        <f t="shared" si="24"/>
        <v>162.1482014388489</v>
      </c>
      <c r="AH54" s="233">
        <f t="shared" si="25"/>
        <v>161.01147776183646</v>
      </c>
      <c r="AI54" s="233">
        <f t="shared" si="26"/>
        <v>167.56599713055954</v>
      </c>
      <c r="AJ54" s="233">
        <f t="shared" si="27"/>
        <v>166.38378766140602</v>
      </c>
      <c r="AK54" s="233">
        <f t="shared" si="28"/>
        <v>174.94906743185078</v>
      </c>
      <c r="AL54" s="234">
        <f t="shared" si="29"/>
        <v>161.28546776197848</v>
      </c>
      <c r="AN54" s="234">
        <f t="shared" si="30"/>
        <v>1987.2278542159097</v>
      </c>
    </row>
    <row r="55" spans="1:40">
      <c r="A55" s="218" t="str">
        <f>$A$1&amp;"Residential"&amp;B55</f>
        <v>PIERCE UTCResidentialDRIVEINMUL-RES</v>
      </c>
      <c r="B55" s="230" t="s">
        <v>705</v>
      </c>
      <c r="C55" s="230" t="s">
        <v>760</v>
      </c>
      <c r="D55" s="230" t="s">
        <v>343</v>
      </c>
      <c r="E55" s="380">
        <v>32000</v>
      </c>
      <c r="F55" s="231">
        <v>3.4</v>
      </c>
      <c r="G55" s="231">
        <v>3.4</v>
      </c>
      <c r="H55" s="231">
        <v>3.37</v>
      </c>
      <c r="I55" s="231">
        <v>3.38</v>
      </c>
      <c r="J55" s="231"/>
      <c r="K55" s="231">
        <v>64.599999999999994</v>
      </c>
      <c r="L55" s="231">
        <v>71.400000000000006</v>
      </c>
      <c r="M55" s="231">
        <v>85</v>
      </c>
      <c r="N55" s="231">
        <v>85</v>
      </c>
      <c r="O55" s="231">
        <v>85</v>
      </c>
      <c r="P55" s="231">
        <v>101.25</v>
      </c>
      <c r="Q55" s="231">
        <v>101.1</v>
      </c>
      <c r="R55" s="231">
        <v>101.185</v>
      </c>
      <c r="S55" s="231">
        <v>101.315</v>
      </c>
      <c r="T55" s="231">
        <v>101.4</v>
      </c>
      <c r="U55" s="231">
        <v>101.4</v>
      </c>
      <c r="V55" s="231">
        <v>108.16</v>
      </c>
      <c r="W55" s="231"/>
      <c r="X55" s="388">
        <f t="shared" si="16"/>
        <v>1106.8100000000002</v>
      </c>
      <c r="Y55" s="389"/>
      <c r="Z55" s="233">
        <f t="shared" si="17"/>
        <v>19</v>
      </c>
      <c r="AA55" s="233">
        <f t="shared" si="18"/>
        <v>21.000000000000004</v>
      </c>
      <c r="AB55" s="233">
        <f t="shared" si="19"/>
        <v>25</v>
      </c>
      <c r="AC55" s="233">
        <f t="shared" si="20"/>
        <v>25</v>
      </c>
      <c r="AD55" s="233">
        <f t="shared" si="21"/>
        <v>25</v>
      </c>
      <c r="AE55" s="233">
        <f t="shared" si="22"/>
        <v>30.044510385756677</v>
      </c>
      <c r="AF55" s="233">
        <f t="shared" si="23"/>
        <v>29.999999999999996</v>
      </c>
      <c r="AG55" s="233">
        <f t="shared" si="24"/>
        <v>30.025222551928785</v>
      </c>
      <c r="AH55" s="233">
        <f t="shared" si="25"/>
        <v>29.974852071005916</v>
      </c>
      <c r="AI55" s="233">
        <f t="shared" si="26"/>
        <v>30.000000000000004</v>
      </c>
      <c r="AJ55" s="233">
        <f t="shared" si="27"/>
        <v>30.000000000000004</v>
      </c>
      <c r="AK55" s="233">
        <f t="shared" si="28"/>
        <v>32</v>
      </c>
      <c r="AL55" s="234">
        <f t="shared" si="29"/>
        <v>27.25371541739095</v>
      </c>
      <c r="AN55" s="234">
        <f t="shared" si="30"/>
        <v>364.00014924586941</v>
      </c>
    </row>
    <row r="56" spans="1:40">
      <c r="A56" s="218" t="str">
        <f>$A$1&amp;"Residential"&amp;B56</f>
        <v>PIERCE UTCResidentialACCESS-RES</v>
      </c>
      <c r="B56" s="230" t="s">
        <v>357</v>
      </c>
      <c r="C56" s="230" t="s">
        <v>761</v>
      </c>
      <c r="D56" s="230" t="s">
        <v>343</v>
      </c>
      <c r="E56" s="380">
        <v>32000</v>
      </c>
      <c r="F56" s="231">
        <v>4.8</v>
      </c>
      <c r="G56" s="231">
        <v>4.8</v>
      </c>
      <c r="H56" s="231">
        <v>4.75</v>
      </c>
      <c r="I56" s="231">
        <v>4.76</v>
      </c>
      <c r="J56" s="231"/>
      <c r="K56" s="231">
        <v>67.2</v>
      </c>
      <c r="L56" s="231">
        <v>67.2</v>
      </c>
      <c r="M56" s="231">
        <v>74.400000000000006</v>
      </c>
      <c r="N56" s="231">
        <v>62.440000000000005</v>
      </c>
      <c r="O56" s="231">
        <v>69.599999999999994</v>
      </c>
      <c r="P56" s="231">
        <v>66.599999999999994</v>
      </c>
      <c r="Q56" s="231">
        <v>66.5</v>
      </c>
      <c r="R56" s="231">
        <v>66.784999999999997</v>
      </c>
      <c r="S56" s="231">
        <v>66.875</v>
      </c>
      <c r="T56" s="231">
        <v>66.64</v>
      </c>
      <c r="U56" s="231">
        <v>63.47</v>
      </c>
      <c r="V56" s="231">
        <v>61.88</v>
      </c>
      <c r="W56" s="231"/>
      <c r="X56" s="388">
        <f t="shared" si="16"/>
        <v>799.59</v>
      </c>
      <c r="Y56" s="389"/>
      <c r="Z56" s="233">
        <f t="shared" si="17"/>
        <v>14.000000000000002</v>
      </c>
      <c r="AA56" s="233">
        <f t="shared" si="18"/>
        <v>14.000000000000002</v>
      </c>
      <c r="AB56" s="233">
        <f t="shared" si="19"/>
        <v>15.500000000000002</v>
      </c>
      <c r="AC56" s="233">
        <f t="shared" si="20"/>
        <v>13.008333333333335</v>
      </c>
      <c r="AD56" s="233">
        <f t="shared" si="21"/>
        <v>14.5</v>
      </c>
      <c r="AE56" s="233">
        <f t="shared" si="22"/>
        <v>14.021052631578947</v>
      </c>
      <c r="AF56" s="233">
        <f t="shared" si="23"/>
        <v>14</v>
      </c>
      <c r="AG56" s="233">
        <f t="shared" si="24"/>
        <v>14.059999999999999</v>
      </c>
      <c r="AH56" s="233">
        <f t="shared" si="25"/>
        <v>14.04936974789916</v>
      </c>
      <c r="AI56" s="233">
        <f t="shared" si="26"/>
        <v>14</v>
      </c>
      <c r="AJ56" s="233">
        <f t="shared" si="27"/>
        <v>13.334033613445378</v>
      </c>
      <c r="AK56" s="233">
        <f t="shared" si="28"/>
        <v>13.000000000000002</v>
      </c>
      <c r="AL56" s="234">
        <f t="shared" si="29"/>
        <v>13.956065777188067</v>
      </c>
      <c r="AN56" s="234">
        <f t="shared" si="30"/>
        <v>164.88680672268907</v>
      </c>
    </row>
    <row r="57" spans="1:40">
      <c r="A57" s="218" t="str">
        <f>$A$1&amp;"Residential"&amp;B57</f>
        <v>PIERCE UTCResidentialOC-RES</v>
      </c>
      <c r="B57" s="230" t="s">
        <v>360</v>
      </c>
      <c r="C57" s="230" t="s">
        <v>361</v>
      </c>
      <c r="D57" s="230" t="s">
        <v>344</v>
      </c>
      <c r="E57" s="380">
        <v>32001</v>
      </c>
      <c r="F57" s="231">
        <v>7.89</v>
      </c>
      <c r="G57" s="231">
        <v>7.89</v>
      </c>
      <c r="H57" s="231">
        <v>7.82</v>
      </c>
      <c r="I57" s="231">
        <v>7.84</v>
      </c>
      <c r="J57" s="231"/>
      <c r="K57" s="231">
        <v>844.23</v>
      </c>
      <c r="L57" s="231">
        <v>947.09999999999991</v>
      </c>
      <c r="M57" s="231">
        <v>647.08000000000004</v>
      </c>
      <c r="N57" s="231">
        <v>860.01</v>
      </c>
      <c r="O57" s="231">
        <v>1199.28</v>
      </c>
      <c r="P57" s="231">
        <v>1087.75</v>
      </c>
      <c r="Q57" s="231">
        <v>946.15</v>
      </c>
      <c r="R57" s="231">
        <v>1407.53</v>
      </c>
      <c r="S57" s="231">
        <v>971.84</v>
      </c>
      <c r="T57" s="231">
        <v>956.48</v>
      </c>
      <c r="U57" s="231">
        <v>1183.8400000000001</v>
      </c>
      <c r="V57" s="231">
        <v>925.12</v>
      </c>
      <c r="W57" s="231"/>
      <c r="X57" s="388">
        <f t="shared" si="16"/>
        <v>11976.41</v>
      </c>
      <c r="Y57" s="389"/>
      <c r="Z57" s="233">
        <f t="shared" si="17"/>
        <v>107</v>
      </c>
      <c r="AA57" s="233">
        <f t="shared" si="18"/>
        <v>120.0380228136882</v>
      </c>
      <c r="AB57" s="233">
        <f t="shared" si="19"/>
        <v>82.012674271229415</v>
      </c>
      <c r="AC57" s="233">
        <f t="shared" si="20"/>
        <v>109</v>
      </c>
      <c r="AD57" s="233">
        <f t="shared" si="21"/>
        <v>152</v>
      </c>
      <c r="AE57" s="233">
        <f t="shared" si="22"/>
        <v>139.09846547314578</v>
      </c>
      <c r="AF57" s="233">
        <f t="shared" si="23"/>
        <v>120.99104859335037</v>
      </c>
      <c r="AG57" s="233">
        <f t="shared" si="24"/>
        <v>179.99104859335037</v>
      </c>
      <c r="AH57" s="233">
        <f t="shared" si="25"/>
        <v>123.9591836734694</v>
      </c>
      <c r="AI57" s="233">
        <f t="shared" si="26"/>
        <v>122</v>
      </c>
      <c r="AJ57" s="233">
        <f t="shared" si="27"/>
        <v>151.00000000000003</v>
      </c>
      <c r="AK57" s="233">
        <f t="shared" si="28"/>
        <v>118</v>
      </c>
      <c r="AL57" s="234">
        <f t="shared" si="29"/>
        <v>127.09087028485278</v>
      </c>
      <c r="AN57" s="234">
        <f t="shared" si="30"/>
        <v>1631.8825617203402</v>
      </c>
    </row>
    <row r="58" spans="1:40">
      <c r="A58" s="218" t="str">
        <f>$A$1&amp;"Residential"&amp;B58</f>
        <v>PIERCE UTCResidentialREDEL-RES</v>
      </c>
      <c r="B58" s="230" t="s">
        <v>362</v>
      </c>
      <c r="C58" s="230" t="s">
        <v>363</v>
      </c>
      <c r="D58" s="230" t="s">
        <v>344</v>
      </c>
      <c r="E58" s="380">
        <v>32001</v>
      </c>
      <c r="F58" s="231">
        <v>13.7</v>
      </c>
      <c r="G58" s="231">
        <v>13.7</v>
      </c>
      <c r="H58" s="231">
        <v>15.45</v>
      </c>
      <c r="I58" s="231">
        <v>15.49</v>
      </c>
      <c r="J58" s="231"/>
      <c r="K58" s="231">
        <v>27.4</v>
      </c>
      <c r="L58" s="231">
        <v>13.7</v>
      </c>
      <c r="M58" s="231">
        <v>27.4</v>
      </c>
      <c r="N58" s="231">
        <v>164.4</v>
      </c>
      <c r="O58" s="231">
        <v>109.6</v>
      </c>
      <c r="P58" s="231">
        <v>123.60000000000001</v>
      </c>
      <c r="Q58" s="231">
        <v>123.6</v>
      </c>
      <c r="R58" s="231">
        <v>200.85</v>
      </c>
      <c r="S58" s="231">
        <v>108.31</v>
      </c>
      <c r="T58" s="231">
        <v>216.86</v>
      </c>
      <c r="U58" s="231">
        <v>61.96</v>
      </c>
      <c r="V58" s="231">
        <v>0</v>
      </c>
      <c r="W58" s="231"/>
      <c r="X58" s="388">
        <f t="shared" si="16"/>
        <v>1177.6800000000003</v>
      </c>
      <c r="Y58" s="389"/>
      <c r="Z58" s="233">
        <f t="shared" si="17"/>
        <v>2</v>
      </c>
      <c r="AA58" s="233">
        <f t="shared" si="18"/>
        <v>1</v>
      </c>
      <c r="AB58" s="233">
        <f t="shared" si="19"/>
        <v>2</v>
      </c>
      <c r="AC58" s="233">
        <f t="shared" si="20"/>
        <v>12.000000000000002</v>
      </c>
      <c r="AD58" s="233">
        <f t="shared" si="21"/>
        <v>8</v>
      </c>
      <c r="AE58" s="233">
        <f t="shared" si="22"/>
        <v>8.0000000000000018</v>
      </c>
      <c r="AF58" s="233">
        <f t="shared" si="23"/>
        <v>8</v>
      </c>
      <c r="AG58" s="233">
        <f t="shared" si="24"/>
        <v>13</v>
      </c>
      <c r="AH58" s="233">
        <f t="shared" si="25"/>
        <v>6.9922530664945128</v>
      </c>
      <c r="AI58" s="233">
        <f t="shared" si="26"/>
        <v>14</v>
      </c>
      <c r="AJ58" s="233">
        <f t="shared" si="27"/>
        <v>4</v>
      </c>
      <c r="AK58" s="233">
        <f t="shared" si="28"/>
        <v>0</v>
      </c>
      <c r="AL58" s="234">
        <f t="shared" si="29"/>
        <v>6.5826877555412091</v>
      </c>
      <c r="AN58" s="234">
        <f t="shared" si="30"/>
        <v>91.984506132989026</v>
      </c>
    </row>
    <row r="59" spans="1:40">
      <c r="A59" s="218" t="str">
        <f>$A$1&amp;"Residential"&amp;B59</f>
        <v>PIERCE UTCResidentialREINSTATE-RES</v>
      </c>
      <c r="B59" s="230" t="s">
        <v>364</v>
      </c>
      <c r="C59" s="230" t="s">
        <v>365</v>
      </c>
      <c r="D59" s="230" t="s">
        <v>344</v>
      </c>
      <c r="E59" s="380">
        <v>32001</v>
      </c>
      <c r="F59" s="231">
        <v>12.65</v>
      </c>
      <c r="G59" s="231">
        <v>12.65</v>
      </c>
      <c r="H59" s="231">
        <v>12.53</v>
      </c>
      <c r="I59" s="231">
        <v>12.56</v>
      </c>
      <c r="J59" s="231"/>
      <c r="K59" s="231">
        <v>4770.8500000000004</v>
      </c>
      <c r="L59" s="231">
        <v>4693.1499999999996</v>
      </c>
      <c r="M59" s="231">
        <v>4958.7999999999993</v>
      </c>
      <c r="N59" s="231">
        <v>4275.7</v>
      </c>
      <c r="O59" s="231">
        <v>303.60000000000002</v>
      </c>
      <c r="P59" s="231">
        <v>87.59</v>
      </c>
      <c r="Q59" s="231">
        <v>3365.16</v>
      </c>
      <c r="R59" s="231">
        <v>1014.93</v>
      </c>
      <c r="S59" s="231">
        <v>1092.51</v>
      </c>
      <c r="T59" s="231">
        <v>891.76</v>
      </c>
      <c r="U59" s="231">
        <v>3567.04</v>
      </c>
      <c r="V59" s="231">
        <v>3541.92</v>
      </c>
      <c r="W59" s="231"/>
      <c r="X59" s="388">
        <f t="shared" si="16"/>
        <v>32563.009999999995</v>
      </c>
      <c r="Y59" s="389"/>
      <c r="Z59" s="233">
        <f t="shared" si="17"/>
        <v>377.14229249011862</v>
      </c>
      <c r="AA59" s="233">
        <f t="shared" si="18"/>
        <v>370.99999999999994</v>
      </c>
      <c r="AB59" s="233">
        <f t="shared" si="19"/>
        <v>391.99999999999994</v>
      </c>
      <c r="AC59" s="233">
        <f t="shared" si="20"/>
        <v>338</v>
      </c>
      <c r="AD59" s="233">
        <f t="shared" si="21"/>
        <v>24</v>
      </c>
      <c r="AE59" s="233">
        <f t="shared" si="22"/>
        <v>6.9904229848363935</v>
      </c>
      <c r="AF59" s="233">
        <f t="shared" si="23"/>
        <v>268.56823623304069</v>
      </c>
      <c r="AG59" s="233">
        <f t="shared" si="24"/>
        <v>81</v>
      </c>
      <c r="AH59" s="233">
        <f t="shared" si="25"/>
        <v>86.983280254777071</v>
      </c>
      <c r="AI59" s="233">
        <f t="shared" si="26"/>
        <v>71</v>
      </c>
      <c r="AJ59" s="233">
        <f t="shared" si="27"/>
        <v>284</v>
      </c>
      <c r="AK59" s="233">
        <f t="shared" si="28"/>
        <v>282</v>
      </c>
      <c r="AL59" s="234">
        <f t="shared" si="29"/>
        <v>215.22368599689773</v>
      </c>
      <c r="AN59" s="234">
        <f t="shared" si="30"/>
        <v>2147.1030329756354</v>
      </c>
    </row>
    <row r="60" spans="1:40">
      <c r="A60" s="218" t="str">
        <f>$A$1&amp;"Residential"&amp;B60</f>
        <v>PIERCE UTCResidentialRTRNCART32-RES</v>
      </c>
      <c r="B60" s="230" t="s">
        <v>366</v>
      </c>
      <c r="C60" s="230" t="s">
        <v>367</v>
      </c>
      <c r="D60" s="230"/>
      <c r="F60" s="231">
        <v>6.35</v>
      </c>
      <c r="G60" s="231">
        <v>6.35</v>
      </c>
      <c r="H60" s="231">
        <v>6.29</v>
      </c>
      <c r="I60" s="231">
        <v>6.31</v>
      </c>
      <c r="J60" s="231"/>
      <c r="K60" s="231">
        <v>0</v>
      </c>
      <c r="L60" s="231">
        <v>6.35</v>
      </c>
      <c r="M60" s="231">
        <v>0</v>
      </c>
      <c r="N60" s="231">
        <v>6.35</v>
      </c>
      <c r="O60" s="231">
        <v>6.35</v>
      </c>
      <c r="P60" s="231">
        <v>0</v>
      </c>
      <c r="Q60" s="231">
        <v>0</v>
      </c>
      <c r="R60" s="231">
        <v>0</v>
      </c>
      <c r="S60" s="231">
        <v>0</v>
      </c>
      <c r="T60" s="231">
        <v>0</v>
      </c>
      <c r="U60" s="231">
        <v>0</v>
      </c>
      <c r="V60" s="231">
        <v>0</v>
      </c>
      <c r="W60" s="231"/>
      <c r="X60" s="388">
        <f t="shared" si="16"/>
        <v>19.049999999999997</v>
      </c>
      <c r="Y60" s="389"/>
      <c r="Z60" s="233">
        <f t="shared" si="17"/>
        <v>0</v>
      </c>
      <c r="AA60" s="233">
        <f t="shared" si="18"/>
        <v>1</v>
      </c>
      <c r="AB60" s="233">
        <f t="shared" si="19"/>
        <v>0</v>
      </c>
      <c r="AC60" s="233">
        <f t="shared" si="20"/>
        <v>1</v>
      </c>
      <c r="AD60" s="233">
        <f t="shared" si="21"/>
        <v>1</v>
      </c>
      <c r="AE60" s="233">
        <f t="shared" si="22"/>
        <v>0</v>
      </c>
      <c r="AF60" s="233">
        <f t="shared" si="23"/>
        <v>0</v>
      </c>
      <c r="AG60" s="233">
        <f t="shared" si="24"/>
        <v>0</v>
      </c>
      <c r="AH60" s="233">
        <f t="shared" si="25"/>
        <v>0</v>
      </c>
      <c r="AI60" s="233">
        <f t="shared" si="26"/>
        <v>0</v>
      </c>
      <c r="AJ60" s="233">
        <f t="shared" si="27"/>
        <v>0</v>
      </c>
      <c r="AK60" s="233">
        <f t="shared" si="28"/>
        <v>0</v>
      </c>
      <c r="AL60" s="234">
        <f t="shared" si="29"/>
        <v>0.25</v>
      </c>
      <c r="AN60" s="234">
        <f t="shared" si="30"/>
        <v>0</v>
      </c>
    </row>
    <row r="61" spans="1:40">
      <c r="A61" s="218" t="str">
        <f>$A$1&amp;"Residential"&amp;B61</f>
        <v>PIERCE UTCResidentialRTRNCART64REC-RES</v>
      </c>
      <c r="B61" s="230" t="s">
        <v>706</v>
      </c>
      <c r="C61" s="230" t="s">
        <v>369</v>
      </c>
      <c r="D61" s="230" t="s">
        <v>344</v>
      </c>
      <c r="E61" s="380">
        <v>32001</v>
      </c>
      <c r="F61" s="231">
        <v>7.4</v>
      </c>
      <c r="G61" s="231">
        <v>7.4</v>
      </c>
      <c r="H61" s="231">
        <v>7.33</v>
      </c>
      <c r="I61" s="231">
        <v>7.35</v>
      </c>
      <c r="J61" s="231"/>
      <c r="K61" s="231">
        <v>0</v>
      </c>
      <c r="L61" s="231">
        <v>0</v>
      </c>
      <c r="M61" s="231">
        <v>0</v>
      </c>
      <c r="N61" s="231">
        <v>0</v>
      </c>
      <c r="O61" s="231">
        <v>0</v>
      </c>
      <c r="P61" s="231">
        <v>0</v>
      </c>
      <c r="Q61" s="231">
        <v>7.33</v>
      </c>
      <c r="R61" s="231">
        <v>0</v>
      </c>
      <c r="S61" s="231">
        <v>0</v>
      </c>
      <c r="T61" s="231">
        <v>7.35</v>
      </c>
      <c r="U61" s="231">
        <v>7.35</v>
      </c>
      <c r="V61" s="231">
        <v>0</v>
      </c>
      <c r="W61" s="231"/>
      <c r="X61" s="388">
        <f t="shared" si="16"/>
        <v>22.03</v>
      </c>
      <c r="Y61" s="389"/>
      <c r="Z61" s="233">
        <f t="shared" si="17"/>
        <v>0</v>
      </c>
      <c r="AA61" s="233">
        <f t="shared" si="18"/>
        <v>0</v>
      </c>
      <c r="AB61" s="233">
        <f t="shared" si="19"/>
        <v>0</v>
      </c>
      <c r="AC61" s="233">
        <f t="shared" si="20"/>
        <v>0</v>
      </c>
      <c r="AD61" s="233">
        <f t="shared" si="21"/>
        <v>0</v>
      </c>
      <c r="AE61" s="233">
        <f t="shared" si="22"/>
        <v>0</v>
      </c>
      <c r="AF61" s="233">
        <f t="shared" si="23"/>
        <v>1</v>
      </c>
      <c r="AG61" s="233">
        <f t="shared" si="24"/>
        <v>0</v>
      </c>
      <c r="AH61" s="233">
        <f t="shared" si="25"/>
        <v>0</v>
      </c>
      <c r="AI61" s="233">
        <f t="shared" si="26"/>
        <v>1</v>
      </c>
      <c r="AJ61" s="233">
        <f t="shared" si="27"/>
        <v>1</v>
      </c>
      <c r="AK61" s="233">
        <f t="shared" si="28"/>
        <v>0</v>
      </c>
      <c r="AL61" s="234">
        <f t="shared" si="29"/>
        <v>0.25</v>
      </c>
      <c r="AN61" s="234">
        <f t="shared" si="30"/>
        <v>6</v>
      </c>
    </row>
    <row r="62" spans="1:40">
      <c r="A62" s="218" t="str">
        <f>$A$1&amp;"Residential"&amp;B62</f>
        <v>PIERCE UTCResidentialRTRNCART65-RES</v>
      </c>
      <c r="B62" s="230" t="s">
        <v>368</v>
      </c>
      <c r="C62" s="230" t="s">
        <v>369</v>
      </c>
      <c r="D62" s="230" t="s">
        <v>344</v>
      </c>
      <c r="E62" s="380">
        <v>32001</v>
      </c>
      <c r="F62" s="231">
        <v>7.4</v>
      </c>
      <c r="G62" s="231">
        <v>7.4</v>
      </c>
      <c r="H62" s="231">
        <v>7.33</v>
      </c>
      <c r="I62" s="231">
        <v>7.35</v>
      </c>
      <c r="J62" s="231"/>
      <c r="K62" s="231">
        <v>88.8</v>
      </c>
      <c r="L62" s="231">
        <v>66.599999999999994</v>
      </c>
      <c r="M62" s="231">
        <v>44.400000000000006</v>
      </c>
      <c r="N62" s="231">
        <v>148</v>
      </c>
      <c r="O62" s="231">
        <v>185</v>
      </c>
      <c r="P62" s="231">
        <v>102.75999999999999</v>
      </c>
      <c r="Q62" s="231">
        <v>139.26999999999998</v>
      </c>
      <c r="R62" s="231">
        <v>197.91000000000003</v>
      </c>
      <c r="S62" s="231">
        <v>154.33000000000001</v>
      </c>
      <c r="T62" s="231">
        <v>132.32</v>
      </c>
      <c r="U62" s="231">
        <v>235.2</v>
      </c>
      <c r="V62" s="231">
        <v>227.85000000000002</v>
      </c>
      <c r="W62" s="231"/>
      <c r="X62" s="388">
        <f t="shared" si="16"/>
        <v>1722.44</v>
      </c>
      <c r="Y62" s="389"/>
      <c r="Z62" s="233">
        <f t="shared" si="17"/>
        <v>11.999999999999998</v>
      </c>
      <c r="AA62" s="233">
        <f t="shared" si="18"/>
        <v>8.9999999999999982</v>
      </c>
      <c r="AB62" s="233">
        <f t="shared" si="19"/>
        <v>6.0000000000000009</v>
      </c>
      <c r="AC62" s="233">
        <f t="shared" si="20"/>
        <v>20</v>
      </c>
      <c r="AD62" s="233">
        <f t="shared" si="21"/>
        <v>25</v>
      </c>
      <c r="AE62" s="233">
        <f t="shared" si="22"/>
        <v>14.019099590723055</v>
      </c>
      <c r="AF62" s="233">
        <f t="shared" si="23"/>
        <v>18.999999999999996</v>
      </c>
      <c r="AG62" s="233">
        <f t="shared" si="24"/>
        <v>27.000000000000004</v>
      </c>
      <c r="AH62" s="233">
        <f t="shared" si="25"/>
        <v>20.997278911564628</v>
      </c>
      <c r="AI62" s="233">
        <f t="shared" si="26"/>
        <v>18.002721088435376</v>
      </c>
      <c r="AJ62" s="233">
        <f t="shared" si="27"/>
        <v>32</v>
      </c>
      <c r="AK62" s="233">
        <f t="shared" si="28"/>
        <v>31.000000000000004</v>
      </c>
      <c r="AL62" s="234">
        <f t="shared" si="29"/>
        <v>19.501591632560256</v>
      </c>
      <c r="AN62" s="234">
        <f t="shared" si="30"/>
        <v>296</v>
      </c>
    </row>
    <row r="63" spans="1:40">
      <c r="A63" s="218" t="str">
        <f>$A$1&amp;"Residential"&amp;B63</f>
        <v>PIERCE UTCResidentialRTRNCART95-RES</v>
      </c>
      <c r="B63" s="230" t="s">
        <v>370</v>
      </c>
      <c r="C63" s="230" t="s">
        <v>371</v>
      </c>
      <c r="D63" s="230" t="s">
        <v>344</v>
      </c>
      <c r="E63" s="380">
        <v>32001</v>
      </c>
      <c r="F63" s="231">
        <v>9.5</v>
      </c>
      <c r="G63" s="231">
        <v>9.5</v>
      </c>
      <c r="H63" s="231">
        <v>9.41</v>
      </c>
      <c r="I63" s="231">
        <v>9.44</v>
      </c>
      <c r="J63" s="231"/>
      <c r="K63" s="231">
        <v>28.5</v>
      </c>
      <c r="L63" s="231">
        <v>47.5</v>
      </c>
      <c r="M63" s="231">
        <v>66.5</v>
      </c>
      <c r="N63" s="231">
        <v>171</v>
      </c>
      <c r="O63" s="231">
        <v>85.5</v>
      </c>
      <c r="P63" s="231">
        <v>103.69</v>
      </c>
      <c r="Q63" s="231">
        <v>111.33</v>
      </c>
      <c r="R63" s="231">
        <v>150.56</v>
      </c>
      <c r="S63" s="231">
        <v>130.07</v>
      </c>
      <c r="T63" s="231">
        <v>83.34</v>
      </c>
      <c r="U63" s="231">
        <v>103.84</v>
      </c>
      <c r="V63" s="231">
        <v>113.28</v>
      </c>
      <c r="W63" s="231"/>
      <c r="X63" s="388">
        <f t="shared" si="16"/>
        <v>1195.1099999999999</v>
      </c>
      <c r="Y63" s="389"/>
      <c r="Z63" s="233">
        <f t="shared" si="17"/>
        <v>3</v>
      </c>
      <c r="AA63" s="233">
        <f t="shared" si="18"/>
        <v>5</v>
      </c>
      <c r="AB63" s="233">
        <f t="shared" si="19"/>
        <v>7</v>
      </c>
      <c r="AC63" s="233">
        <f t="shared" si="20"/>
        <v>18</v>
      </c>
      <c r="AD63" s="233">
        <f t="shared" si="21"/>
        <v>9</v>
      </c>
      <c r="AE63" s="233">
        <f t="shared" si="22"/>
        <v>11.019128586609989</v>
      </c>
      <c r="AF63" s="233">
        <f t="shared" si="23"/>
        <v>11.831030818278427</v>
      </c>
      <c r="AG63" s="233">
        <f t="shared" si="24"/>
        <v>16</v>
      </c>
      <c r="AH63" s="233">
        <f t="shared" si="25"/>
        <v>13.778601694915254</v>
      </c>
      <c r="AI63" s="233">
        <f t="shared" si="26"/>
        <v>8.8283898305084758</v>
      </c>
      <c r="AJ63" s="233">
        <f t="shared" si="27"/>
        <v>11.000000000000002</v>
      </c>
      <c r="AK63" s="233">
        <f t="shared" si="28"/>
        <v>12</v>
      </c>
      <c r="AL63" s="234">
        <f t="shared" si="29"/>
        <v>10.538095910859345</v>
      </c>
      <c r="AN63" s="234">
        <f t="shared" si="30"/>
        <v>146.87604468740432</v>
      </c>
    </row>
    <row r="64" spans="1:40">
      <c r="A64" s="218" t="str">
        <f>$A$1&amp;"Residential"&amp;B64</f>
        <v>PIERCE UTCResidentialTIME-RES</v>
      </c>
      <c r="B64" s="230" t="s">
        <v>372</v>
      </c>
      <c r="C64" s="230" t="s">
        <v>373</v>
      </c>
      <c r="D64" s="230" t="s">
        <v>344</v>
      </c>
      <c r="E64" s="380">
        <v>32001</v>
      </c>
      <c r="F64" s="231">
        <v>106</v>
      </c>
      <c r="G64" s="231">
        <v>106</v>
      </c>
      <c r="H64" s="231">
        <v>105</v>
      </c>
      <c r="I64" s="231">
        <v>105.29</v>
      </c>
      <c r="J64" s="231"/>
      <c r="K64" s="231">
        <v>4027.3700000000003</v>
      </c>
      <c r="L64" s="231">
        <v>2703</v>
      </c>
      <c r="M64" s="231">
        <v>2385</v>
      </c>
      <c r="N64" s="231">
        <v>2173</v>
      </c>
      <c r="O64" s="231">
        <v>3608.63</v>
      </c>
      <c r="P64" s="231">
        <v>3029.37</v>
      </c>
      <c r="Q64" s="231">
        <v>3685.15</v>
      </c>
      <c r="R64" s="231">
        <v>4856.75</v>
      </c>
      <c r="S64" s="231">
        <v>3736.6700000000005</v>
      </c>
      <c r="T64" s="231">
        <v>4237.53</v>
      </c>
      <c r="U64" s="231">
        <v>3512.49</v>
      </c>
      <c r="V64" s="231">
        <v>3132.03</v>
      </c>
      <c r="W64" s="231"/>
      <c r="X64" s="388">
        <f t="shared" si="16"/>
        <v>41086.99</v>
      </c>
      <c r="Y64" s="389"/>
      <c r="Z64" s="233">
        <f t="shared" si="17"/>
        <v>37.994056603773586</v>
      </c>
      <c r="AA64" s="233">
        <f t="shared" si="18"/>
        <v>25.5</v>
      </c>
      <c r="AB64" s="233">
        <f t="shared" si="19"/>
        <v>22.5</v>
      </c>
      <c r="AC64" s="233">
        <f t="shared" si="20"/>
        <v>20.5</v>
      </c>
      <c r="AD64" s="233">
        <f t="shared" si="21"/>
        <v>34.043679245283023</v>
      </c>
      <c r="AE64" s="233">
        <f t="shared" si="22"/>
        <v>28.851142857142857</v>
      </c>
      <c r="AF64" s="233">
        <f t="shared" si="23"/>
        <v>35.096666666666664</v>
      </c>
      <c r="AG64" s="233">
        <f t="shared" si="24"/>
        <v>46.254761904761907</v>
      </c>
      <c r="AH64" s="233">
        <f t="shared" si="25"/>
        <v>35.489315224617727</v>
      </c>
      <c r="AI64" s="233">
        <f t="shared" si="26"/>
        <v>40.246272200588848</v>
      </c>
      <c r="AJ64" s="233">
        <f t="shared" si="27"/>
        <v>33.360148162218628</v>
      </c>
      <c r="AK64" s="233">
        <f t="shared" si="28"/>
        <v>29.746699591604141</v>
      </c>
      <c r="AL64" s="234">
        <f t="shared" si="29"/>
        <v>32.465228538054788</v>
      </c>
      <c r="AN64" s="234">
        <f t="shared" si="30"/>
        <v>440.38772750091584</v>
      </c>
    </row>
    <row r="65" spans="1:50">
      <c r="A65" s="218" t="str">
        <f>$A$1&amp;"Residential"&amp;B65</f>
        <v>PIERCE UTCResidentialUNRETURN-RES</v>
      </c>
      <c r="B65" s="230" t="s">
        <v>374</v>
      </c>
      <c r="C65" s="230" t="s">
        <v>375</v>
      </c>
      <c r="D65" s="230" t="s">
        <v>344</v>
      </c>
      <c r="E65" s="380">
        <v>32001</v>
      </c>
      <c r="F65" s="231">
        <v>95</v>
      </c>
      <c r="G65" s="231">
        <v>95</v>
      </c>
      <c r="H65" s="231">
        <v>94</v>
      </c>
      <c r="I65" s="231">
        <v>94.26</v>
      </c>
      <c r="J65" s="231"/>
      <c r="K65" s="231">
        <v>-285</v>
      </c>
      <c r="L65" s="231">
        <v>-285</v>
      </c>
      <c r="M65" s="231">
        <v>-285</v>
      </c>
      <c r="N65" s="231">
        <v>0</v>
      </c>
      <c r="O65" s="231">
        <v>-475</v>
      </c>
      <c r="P65" s="231">
        <v>0</v>
      </c>
      <c r="Q65" s="231">
        <v>0</v>
      </c>
      <c r="R65" s="231">
        <v>-1140</v>
      </c>
      <c r="S65" s="231">
        <v>-190</v>
      </c>
      <c r="T65" s="231">
        <v>0</v>
      </c>
      <c r="U65" s="231">
        <v>0</v>
      </c>
      <c r="V65" s="231">
        <v>0</v>
      </c>
      <c r="W65" s="231"/>
      <c r="X65" s="388">
        <f t="shared" si="16"/>
        <v>-2660</v>
      </c>
      <c r="Y65" s="389"/>
      <c r="Z65" s="233">
        <f t="shared" si="17"/>
        <v>-3</v>
      </c>
      <c r="AA65" s="233">
        <f t="shared" si="18"/>
        <v>-3</v>
      </c>
      <c r="AB65" s="233">
        <f t="shared" si="19"/>
        <v>-3</v>
      </c>
      <c r="AC65" s="233">
        <f t="shared" si="20"/>
        <v>0</v>
      </c>
      <c r="AD65" s="233">
        <f t="shared" si="21"/>
        <v>-5</v>
      </c>
      <c r="AE65" s="233">
        <f t="shared" si="22"/>
        <v>0</v>
      </c>
      <c r="AF65" s="233">
        <f t="shared" si="23"/>
        <v>0</v>
      </c>
      <c r="AG65" s="233">
        <f t="shared" si="24"/>
        <v>-12.127659574468085</v>
      </c>
      <c r="AH65" s="233">
        <f t="shared" si="25"/>
        <v>-2.0157012518565667</v>
      </c>
      <c r="AI65" s="233">
        <f t="shared" si="26"/>
        <v>0</v>
      </c>
      <c r="AJ65" s="233">
        <f t="shared" si="27"/>
        <v>0</v>
      </c>
      <c r="AK65" s="233">
        <f t="shared" si="28"/>
        <v>0</v>
      </c>
      <c r="AL65" s="234">
        <f t="shared" si="29"/>
        <v>-2.3452800688603874</v>
      </c>
      <c r="AN65" s="234">
        <f t="shared" si="30"/>
        <v>-28.286721652649305</v>
      </c>
    </row>
    <row r="66" spans="1:50">
      <c r="A66" s="218" t="str">
        <f>$A$1&amp;"Residential"&amp;B66</f>
        <v>PIERCE UTCResidentialADJ-RES</v>
      </c>
      <c r="B66" s="230" t="s">
        <v>376</v>
      </c>
      <c r="C66" s="230" t="s">
        <v>769</v>
      </c>
      <c r="D66" s="230"/>
      <c r="F66" s="231">
        <v>0</v>
      </c>
      <c r="G66" s="231">
        <v>0</v>
      </c>
      <c r="H66" s="231">
        <v>0</v>
      </c>
      <c r="I66" s="231">
        <v>0</v>
      </c>
      <c r="J66" s="231"/>
      <c r="K66" s="231">
        <v>-3.67</v>
      </c>
      <c r="L66" s="231">
        <v>-35.620000000000005</v>
      </c>
      <c r="M66" s="231">
        <v>-50.72</v>
      </c>
      <c r="N66" s="231">
        <v>0</v>
      </c>
      <c r="O66" s="231">
        <v>0</v>
      </c>
      <c r="P66" s="231">
        <v>0</v>
      </c>
      <c r="Q66" s="231">
        <v>0</v>
      </c>
      <c r="R66" s="231">
        <v>-80.28</v>
      </c>
      <c r="S66" s="231">
        <v>-23.77</v>
      </c>
      <c r="T66" s="231">
        <v>-50</v>
      </c>
      <c r="U66" s="231">
        <v>-19.309999999999999</v>
      </c>
      <c r="V66" s="231">
        <v>-7.43</v>
      </c>
      <c r="W66" s="240"/>
      <c r="X66" s="388">
        <f t="shared" si="16"/>
        <v>-270.8</v>
      </c>
      <c r="Y66" s="389"/>
      <c r="Z66" s="233">
        <f t="shared" si="17"/>
        <v>0</v>
      </c>
      <c r="AA66" s="233">
        <f t="shared" si="18"/>
        <v>0</v>
      </c>
      <c r="AB66" s="233">
        <f t="shared" si="19"/>
        <v>0</v>
      </c>
      <c r="AC66" s="233">
        <f t="shared" si="20"/>
        <v>0</v>
      </c>
      <c r="AD66" s="233">
        <f t="shared" si="21"/>
        <v>0</v>
      </c>
      <c r="AE66" s="233">
        <f t="shared" si="22"/>
        <v>0</v>
      </c>
      <c r="AF66" s="233">
        <f t="shared" si="23"/>
        <v>0</v>
      </c>
      <c r="AG66" s="233">
        <f t="shared" si="24"/>
        <v>0</v>
      </c>
      <c r="AH66" s="233">
        <f t="shared" si="25"/>
        <v>0</v>
      </c>
      <c r="AI66" s="233">
        <f t="shared" si="26"/>
        <v>0</v>
      </c>
      <c r="AJ66" s="233">
        <f t="shared" si="27"/>
        <v>0</v>
      </c>
      <c r="AK66" s="233">
        <f t="shared" si="28"/>
        <v>0</v>
      </c>
      <c r="AL66" s="234">
        <f t="shared" si="29"/>
        <v>0</v>
      </c>
      <c r="AN66" s="234">
        <f t="shared" si="30"/>
        <v>0</v>
      </c>
    </row>
    <row r="67" spans="1:50">
      <c r="B67" s="230"/>
      <c r="C67" s="230"/>
      <c r="D67" s="230"/>
      <c r="F67" s="231"/>
      <c r="G67" s="231"/>
      <c r="H67" s="231"/>
      <c r="I67" s="231"/>
      <c r="J67" s="231"/>
      <c r="K67" s="231"/>
      <c r="L67" s="231"/>
      <c r="M67" s="231"/>
      <c r="N67" s="231"/>
      <c r="O67" s="231"/>
      <c r="P67" s="231"/>
      <c r="Q67" s="231"/>
      <c r="R67" s="231"/>
      <c r="S67" s="231"/>
      <c r="T67" s="231"/>
      <c r="U67" s="231"/>
      <c r="V67" s="231"/>
      <c r="W67" s="240"/>
      <c r="X67" s="388"/>
      <c r="Y67" s="389"/>
      <c r="Z67" s="233"/>
      <c r="AA67" s="233"/>
      <c r="AB67" s="233"/>
      <c r="AC67" s="232"/>
      <c r="AD67" s="232"/>
      <c r="AE67" s="232"/>
      <c r="AF67" s="232"/>
      <c r="AG67" s="232"/>
      <c r="AH67" s="232"/>
      <c r="AI67" s="232"/>
      <c r="AJ67" s="232"/>
      <c r="AK67" s="232"/>
      <c r="AL67" s="385"/>
      <c r="AN67" s="385"/>
    </row>
    <row r="68" spans="1:50">
      <c r="B68" s="230"/>
      <c r="C68" s="235" t="s">
        <v>134</v>
      </c>
      <c r="D68" s="230"/>
      <c r="F68" s="231"/>
      <c r="G68" s="231"/>
      <c r="H68" s="231"/>
      <c r="I68" s="231"/>
      <c r="J68" s="236"/>
      <c r="K68" s="237">
        <f t="shared" ref="K68:U68" si="31">SUM(K11:K66)</f>
        <v>1353436.2600000005</v>
      </c>
      <c r="L68" s="237">
        <f t="shared" si="31"/>
        <v>1350065.3400000003</v>
      </c>
      <c r="M68" s="237">
        <f t="shared" si="31"/>
        <v>1339320.0300000003</v>
      </c>
      <c r="N68" s="237">
        <f t="shared" si="31"/>
        <v>1361230.2200000002</v>
      </c>
      <c r="O68" s="237">
        <f t="shared" si="31"/>
        <v>1376269.3400000005</v>
      </c>
      <c r="P68" s="237">
        <f t="shared" si="31"/>
        <v>1373400.0850000007</v>
      </c>
      <c r="Q68" s="237">
        <f t="shared" si="31"/>
        <v>1382156.6250000005</v>
      </c>
      <c r="R68" s="237">
        <f t="shared" si="31"/>
        <v>1383843.96</v>
      </c>
      <c r="S68" s="237">
        <f t="shared" si="31"/>
        <v>1389064.39</v>
      </c>
      <c r="T68" s="237">
        <f t="shared" si="31"/>
        <v>1399543.9300000002</v>
      </c>
      <c r="U68" s="237">
        <f t="shared" si="31"/>
        <v>1403743.1599999995</v>
      </c>
      <c r="V68" s="237">
        <f>SUM(V11:V66)</f>
        <v>1409535.0250000001</v>
      </c>
      <c r="W68" s="240"/>
      <c r="X68" s="390">
        <f>SUM(X11:X66)</f>
        <v>16521608.364999996</v>
      </c>
      <c r="Y68" s="241"/>
      <c r="Z68" s="391">
        <f>+SUM(Z11:Z40)</f>
        <v>53461.809236434754</v>
      </c>
      <c r="AA68" s="391">
        <f>+SUM(AA11:AA40)</f>
        <v>53517.747365693787</v>
      </c>
      <c r="AB68" s="391">
        <f t="shared" ref="AB68:AL68" si="32">+SUM(AB11:AB40)</f>
        <v>53544.725387252882</v>
      </c>
      <c r="AC68" s="391">
        <f t="shared" si="32"/>
        <v>53797.548976394741</v>
      </c>
      <c r="AD68" s="391">
        <f t="shared" si="32"/>
        <v>54284.815613391445</v>
      </c>
      <c r="AE68" s="391">
        <f t="shared" si="32"/>
        <v>54672.425170537972</v>
      </c>
      <c r="AF68" s="391">
        <f t="shared" si="32"/>
        <v>54796.961224783518</v>
      </c>
      <c r="AG68" s="391">
        <f t="shared" si="32"/>
        <v>54777.719379043934</v>
      </c>
      <c r="AH68" s="391">
        <f>+SUM(AH11:AH40)</f>
        <v>54954.925556200404</v>
      </c>
      <c r="AI68" s="391">
        <f>+SUM(AI11:AI40)</f>
        <v>55215.298489324756</v>
      </c>
      <c r="AJ68" s="391">
        <f>+SUM(AJ11:AJ40)</f>
        <v>55267.002507077195</v>
      </c>
      <c r="AK68" s="391">
        <f>+SUM(AK11:AK40)</f>
        <v>55316.807770648564</v>
      </c>
      <c r="AL68" s="390">
        <f t="shared" si="32"/>
        <v>54467.315556398658</v>
      </c>
      <c r="AN68" s="390">
        <f>+SUM(AN11:AN47,AN57)</f>
        <v>714569.52349113359</v>
      </c>
      <c r="AO68" s="218" t="s">
        <v>377</v>
      </c>
    </row>
    <row r="69" spans="1:50">
      <c r="B69" s="230"/>
      <c r="C69" s="230"/>
      <c r="D69" s="230"/>
      <c r="F69" s="231"/>
      <c r="G69" s="231"/>
      <c r="H69" s="231"/>
      <c r="I69" s="231"/>
      <c r="J69" s="236"/>
      <c r="K69" s="236"/>
      <c r="L69" s="231"/>
      <c r="M69" s="231"/>
      <c r="N69" s="231"/>
      <c r="O69" s="231"/>
      <c r="P69" s="231"/>
      <c r="Q69" s="231"/>
      <c r="R69" s="231"/>
      <c r="S69" s="231"/>
      <c r="T69" s="231"/>
      <c r="U69" s="231"/>
      <c r="V69" s="231"/>
      <c r="W69" s="240"/>
      <c r="X69" s="388"/>
      <c r="Y69" s="236"/>
      <c r="Z69" s="392">
        <f>+Z12+Z14+Z16+Z19+Z29+Z31+Z33+Z35+Z37+Z39</f>
        <v>664.05267270786885</v>
      </c>
      <c r="AA69" s="392">
        <f t="shared" ref="AA69:AF69" si="33">+AA12+AA14+AA16+AA19+AA29+AA31+AA33+AA35+AA37+AA39</f>
        <v>653.63898559277254</v>
      </c>
      <c r="AB69" s="392">
        <f t="shared" si="33"/>
        <v>651.30143353345591</v>
      </c>
      <c r="AC69" s="392">
        <f t="shared" si="33"/>
        <v>648.26473489948728</v>
      </c>
      <c r="AD69" s="392">
        <f>+AD12+AD14+AD16+AD19+AD29+AD31+AD33+AD35+AD37+AD39</f>
        <v>624.25224507271832</v>
      </c>
      <c r="AE69" s="392">
        <f t="shared" si="33"/>
        <v>576.10797954512509</v>
      </c>
      <c r="AF69" s="392">
        <f t="shared" si="33"/>
        <v>554.11301362275344</v>
      </c>
      <c r="AG69" s="392">
        <f t="shared" ref="AG69:AL69" si="34">+AG12+AG14+AG16+AG19+AG29+AG31+AG33+AG35+AG37+AG39</f>
        <v>544.64430315979689</v>
      </c>
      <c r="AH69" s="392">
        <f t="shared" si="34"/>
        <v>543.40694608150761</v>
      </c>
      <c r="AI69" s="392">
        <f t="shared" si="34"/>
        <v>542.28860359196938</v>
      </c>
      <c r="AJ69" s="392">
        <f t="shared" si="34"/>
        <v>531.43890826648067</v>
      </c>
      <c r="AK69" s="392">
        <f t="shared" si="34"/>
        <v>529.45036418260077</v>
      </c>
      <c r="AL69" s="392">
        <f t="shared" si="34"/>
        <v>588.58001585471129</v>
      </c>
      <c r="AN69" s="392">
        <f>+AN12+AN14+AN16+AN19+AN29+AN31+AN33+AN35+AN37+AN39</f>
        <v>6490.6842778102173</v>
      </c>
      <c r="AO69" s="218" t="s">
        <v>378</v>
      </c>
    </row>
    <row r="70" spans="1:50">
      <c r="B70" s="230"/>
      <c r="C70" s="230"/>
      <c r="D70" s="230"/>
      <c r="F70" s="231"/>
      <c r="G70" s="231"/>
      <c r="H70" s="231"/>
      <c r="I70" s="231"/>
      <c r="J70" s="236"/>
      <c r="K70" s="236"/>
      <c r="L70" s="231"/>
      <c r="M70" s="231"/>
      <c r="N70" s="231"/>
      <c r="O70" s="231"/>
      <c r="P70" s="231"/>
      <c r="Q70" s="231"/>
      <c r="R70" s="231"/>
      <c r="S70" s="231"/>
      <c r="T70" s="231"/>
      <c r="U70" s="231"/>
      <c r="V70" s="231"/>
      <c r="W70" s="240"/>
      <c r="X70" s="388"/>
      <c r="Y70" s="236"/>
      <c r="Z70" s="233">
        <f>Z73+Z72-Z69</f>
        <v>53281.410745532317</v>
      </c>
      <c r="AA70" s="233">
        <f t="shared" ref="AA70:AL70" si="35">AA73+AA72-AA69</f>
        <v>53365.326442402125</v>
      </c>
      <c r="AB70" s="233">
        <f t="shared" si="35"/>
        <v>53409.753671438448</v>
      </c>
      <c r="AC70" s="233">
        <f t="shared" si="35"/>
        <v>53598.28953822569</v>
      </c>
      <c r="AD70" s="233">
        <f t="shared" si="35"/>
        <v>54073.215267413463</v>
      </c>
      <c r="AE70" s="233">
        <f t="shared" si="35"/>
        <v>54418.058200829357</v>
      </c>
      <c r="AF70" s="233">
        <f t="shared" si="35"/>
        <v>54252.123502155053</v>
      </c>
      <c r="AG70" s="233">
        <f t="shared" si="35"/>
        <v>54756.256888650722</v>
      </c>
      <c r="AH70" s="233">
        <f t="shared" si="35"/>
        <v>54841.063253928311</v>
      </c>
      <c r="AI70" s="233">
        <f t="shared" si="35"/>
        <v>55031.372760602826</v>
      </c>
      <c r="AJ70" s="233">
        <f t="shared" si="35"/>
        <v>55117.494341524674</v>
      </c>
      <c r="AK70" s="233">
        <f t="shared" si="35"/>
        <v>55160.602994704808</v>
      </c>
      <c r="AL70" s="263">
        <f t="shared" si="35"/>
        <v>54275.413967283974</v>
      </c>
      <c r="AN70" s="263">
        <f>AN73+AN72-AN69</f>
        <v>658317.82748313271</v>
      </c>
      <c r="AO70" s="218" t="s">
        <v>379</v>
      </c>
    </row>
    <row r="71" spans="1:50">
      <c r="B71" s="239" t="s">
        <v>135</v>
      </c>
      <c r="C71" s="230"/>
      <c r="D71" s="230"/>
      <c r="F71" s="231"/>
      <c r="G71" s="231"/>
      <c r="H71" s="231"/>
      <c r="I71" s="231"/>
      <c r="J71" s="236"/>
      <c r="K71" s="236"/>
      <c r="L71" s="231"/>
      <c r="M71" s="231"/>
      <c r="N71" s="231"/>
      <c r="O71" s="231"/>
      <c r="P71" s="231"/>
      <c r="Q71" s="231"/>
      <c r="R71" s="231"/>
      <c r="S71" s="231"/>
      <c r="T71" s="231"/>
      <c r="U71" s="231"/>
      <c r="V71" s="231"/>
      <c r="W71" s="240"/>
      <c r="X71" s="388"/>
      <c r="Y71" s="236"/>
      <c r="Z71" s="218"/>
      <c r="AA71" s="218"/>
    </row>
    <row r="72" spans="1:50">
      <c r="A72" s="218" t="str">
        <f>$A$1&amp;"Residential"&amp;B72</f>
        <v>PIERCE UTCResidentialRECBINONLYR</v>
      </c>
      <c r="B72" s="230" t="s">
        <v>380</v>
      </c>
      <c r="C72" s="230" t="s">
        <v>136</v>
      </c>
      <c r="D72" s="230" t="s">
        <v>381</v>
      </c>
      <c r="E72" s="380">
        <v>32100</v>
      </c>
      <c r="F72" s="231">
        <v>6.07</v>
      </c>
      <c r="G72" s="231">
        <v>6.07</v>
      </c>
      <c r="H72" s="231">
        <v>7.63</v>
      </c>
      <c r="I72" s="231">
        <v>7.65</v>
      </c>
      <c r="J72" s="231"/>
      <c r="K72" s="231">
        <v>1470.4299999999998</v>
      </c>
      <c r="L72" s="231">
        <v>1473.1299999999999</v>
      </c>
      <c r="M72" s="231">
        <v>1462.115</v>
      </c>
      <c r="N72" s="231">
        <v>1437.3750000000002</v>
      </c>
      <c r="O72" s="231">
        <v>1475.16</v>
      </c>
      <c r="P72" s="231">
        <v>1835.65</v>
      </c>
      <c r="Q72" s="231">
        <v>1673.655</v>
      </c>
      <c r="R72" s="231">
        <v>2025.575</v>
      </c>
      <c r="S72" s="231">
        <v>2098.0749999999998</v>
      </c>
      <c r="T72" s="231">
        <v>2128.13</v>
      </c>
      <c r="U72" s="231">
        <v>2109.7849999999999</v>
      </c>
      <c r="V72" s="231">
        <v>2085.9650000000001</v>
      </c>
      <c r="W72" s="240"/>
      <c r="X72" s="388">
        <f>SUM(K72:V72)</f>
        <v>21275.045000000002</v>
      </c>
      <c r="Y72" s="389"/>
      <c r="Z72" s="233">
        <f t="shared" ref="Z72:AB74" si="36">IFERROR(K72/$F72,0)</f>
        <v>242.24546952224048</v>
      </c>
      <c r="AA72" s="233">
        <f t="shared" si="36"/>
        <v>242.69028006589784</v>
      </c>
      <c r="AB72" s="233">
        <f t="shared" si="36"/>
        <v>240.87561779242174</v>
      </c>
      <c r="AC72" s="233">
        <f t="shared" ref="AC72:AD74" si="37">IFERROR(N72/$G72,0)</f>
        <v>236.79983525535422</v>
      </c>
      <c r="AD72" s="233">
        <f t="shared" si="37"/>
        <v>243.02471169686984</v>
      </c>
      <c r="AE72" s="233">
        <f t="shared" ref="AE72:AG74" si="38">IFERROR(P72/$H72,0)</f>
        <v>240.58322411533422</v>
      </c>
      <c r="AF72" s="233">
        <f t="shared" si="38"/>
        <v>219.35190039318479</v>
      </c>
      <c r="AG72" s="233">
        <f t="shared" si="38"/>
        <v>265.47509829619923</v>
      </c>
      <c r="AH72" s="233">
        <f t="shared" ref="AH72:AK74" si="39">IFERROR(S72/$I72,0)</f>
        <v>274.25816993464048</v>
      </c>
      <c r="AI72" s="233">
        <f t="shared" si="39"/>
        <v>278.18692810457514</v>
      </c>
      <c r="AJ72" s="233">
        <f t="shared" si="39"/>
        <v>275.78888888888883</v>
      </c>
      <c r="AK72" s="233">
        <f t="shared" si="39"/>
        <v>272.6751633986928</v>
      </c>
      <c r="AL72" s="234">
        <f>AVERAGE(Z72:AK72)</f>
        <v>252.66294062202496</v>
      </c>
      <c r="AN72" s="234">
        <f>+SUM(AF72:AK72)*2</f>
        <v>3171.4722980323622</v>
      </c>
    </row>
    <row r="73" spans="1:50">
      <c r="A73" s="218" t="str">
        <f>$A$1&amp;"Residential"&amp;B73</f>
        <v>PIERCE UTCResidentialRECPROGADJ-RES</v>
      </c>
      <c r="B73" s="230" t="s">
        <v>382</v>
      </c>
      <c r="C73" s="230" t="s">
        <v>383</v>
      </c>
      <c r="D73" s="230" t="s">
        <v>381</v>
      </c>
      <c r="E73" s="380">
        <v>32100</v>
      </c>
      <c r="F73" s="231">
        <v>5.07</v>
      </c>
      <c r="G73" s="231">
        <v>5.07</v>
      </c>
      <c r="H73" s="231">
        <v>6.63</v>
      </c>
      <c r="I73" s="231">
        <v>6.65</v>
      </c>
      <c r="J73" s="231"/>
      <c r="K73" s="231">
        <v>272275.315</v>
      </c>
      <c r="L73" s="231">
        <v>272645.71500000003</v>
      </c>
      <c r="M73" s="231">
        <v>272868.31</v>
      </c>
      <c r="N73" s="231">
        <v>273829.45500000002</v>
      </c>
      <c r="O73" s="231">
        <v>276084.02500000183</v>
      </c>
      <c r="P73" s="231">
        <v>363016.25499999814</v>
      </c>
      <c r="Q73" s="231">
        <v>361911.04499999998</v>
      </c>
      <c r="R73" s="231">
        <v>364884.87499999994</v>
      </c>
      <c r="S73" s="231">
        <v>366482.91</v>
      </c>
      <c r="T73" s="231">
        <v>367714.90500000003</v>
      </c>
      <c r="U73" s="231">
        <v>368231.41000000003</v>
      </c>
      <c r="V73" s="231">
        <v>368525.565</v>
      </c>
      <c r="W73" s="240"/>
      <c r="X73" s="388">
        <f>SUM(K73:V73)</f>
        <v>3928469.7850000006</v>
      </c>
      <c r="Y73" s="389"/>
      <c r="Z73" s="233">
        <f t="shared" si="36"/>
        <v>53703.217948717946</v>
      </c>
      <c r="AA73" s="233">
        <f t="shared" si="36"/>
        <v>53776.275147928995</v>
      </c>
      <c r="AB73" s="233">
        <f t="shared" si="36"/>
        <v>53820.179487179485</v>
      </c>
      <c r="AC73" s="233">
        <f t="shared" si="37"/>
        <v>54009.754437869822</v>
      </c>
      <c r="AD73" s="233">
        <f t="shared" si="37"/>
        <v>54454.442800789315</v>
      </c>
      <c r="AE73" s="233">
        <f t="shared" si="38"/>
        <v>54753.582956259146</v>
      </c>
      <c r="AF73" s="233">
        <f t="shared" si="38"/>
        <v>54586.884615384617</v>
      </c>
      <c r="AG73" s="233">
        <f t="shared" si="38"/>
        <v>55035.426093514317</v>
      </c>
      <c r="AH73" s="233">
        <f t="shared" si="39"/>
        <v>55110.212030075178</v>
      </c>
      <c r="AI73" s="233">
        <f t="shared" si="39"/>
        <v>55295.474436090226</v>
      </c>
      <c r="AJ73" s="233">
        <f t="shared" si="39"/>
        <v>55373.144360902261</v>
      </c>
      <c r="AK73" s="233">
        <f t="shared" si="39"/>
        <v>55417.378195488716</v>
      </c>
      <c r="AL73" s="234">
        <f>AVERAGE(Z73:AK73)</f>
        <v>54611.331042516664</v>
      </c>
      <c r="AN73" s="234">
        <f>+SUM(AF73:AK73)*2</f>
        <v>661637.03946291062</v>
      </c>
      <c r="AO73" s="218">
        <f>+AE70+'2180 (Reg EA.) - Price Out 2020'!AE58+'2180 (JBLM Housing) -Price 2020'!AB23</f>
        <v>58893.228161939369</v>
      </c>
    </row>
    <row r="74" spans="1:50">
      <c r="A74" s="218" t="str">
        <f>$A$1&amp;"Residential"&amp;B74</f>
        <v>PIERCE UTCResidentialRTRNCART96REC-RES</v>
      </c>
      <c r="B74" s="230" t="s">
        <v>384</v>
      </c>
      <c r="C74" s="230" t="s">
        <v>770</v>
      </c>
      <c r="D74" s="230"/>
      <c r="F74" s="231">
        <v>9.5</v>
      </c>
      <c r="G74" s="231">
        <v>9.5</v>
      </c>
      <c r="H74" s="231">
        <v>9.41</v>
      </c>
      <c r="I74" s="231">
        <v>9.44</v>
      </c>
      <c r="J74" s="231"/>
      <c r="K74" s="231">
        <v>38</v>
      </c>
      <c r="L74" s="231">
        <v>38</v>
      </c>
      <c r="M74" s="231">
        <v>19</v>
      </c>
      <c r="N74" s="231">
        <v>66.5</v>
      </c>
      <c r="O74" s="231">
        <v>57</v>
      </c>
      <c r="P74" s="231">
        <v>28.23</v>
      </c>
      <c r="Q74" s="231">
        <v>28.23</v>
      </c>
      <c r="R74" s="231">
        <v>65.87</v>
      </c>
      <c r="S74" s="231">
        <v>47.199999999999996</v>
      </c>
      <c r="T74" s="231">
        <v>18.88</v>
      </c>
      <c r="U74" s="231">
        <v>56.64</v>
      </c>
      <c r="V74" s="231">
        <v>132.16</v>
      </c>
      <c r="W74" s="240"/>
      <c r="X74" s="388">
        <f>SUM(K74:V74)</f>
        <v>595.70999999999992</v>
      </c>
      <c r="Y74" s="389"/>
      <c r="Z74" s="233">
        <f t="shared" si="36"/>
        <v>4</v>
      </c>
      <c r="AA74" s="233">
        <f t="shared" si="36"/>
        <v>4</v>
      </c>
      <c r="AB74" s="233">
        <f t="shared" si="36"/>
        <v>2</v>
      </c>
      <c r="AC74" s="233">
        <f t="shared" si="37"/>
        <v>7</v>
      </c>
      <c r="AD74" s="233">
        <f t="shared" si="37"/>
        <v>6</v>
      </c>
      <c r="AE74" s="233">
        <f t="shared" si="38"/>
        <v>3</v>
      </c>
      <c r="AF74" s="233">
        <f t="shared" si="38"/>
        <v>3</v>
      </c>
      <c r="AG74" s="233">
        <f t="shared" si="38"/>
        <v>7</v>
      </c>
      <c r="AH74" s="233">
        <f t="shared" si="39"/>
        <v>5</v>
      </c>
      <c r="AI74" s="233">
        <f t="shared" si="39"/>
        <v>2</v>
      </c>
      <c r="AJ74" s="233">
        <f t="shared" si="39"/>
        <v>6</v>
      </c>
      <c r="AK74" s="233">
        <f t="shared" si="39"/>
        <v>14</v>
      </c>
      <c r="AL74" s="234">
        <f>AVERAGE(Z74:AK74)</f>
        <v>5.25</v>
      </c>
      <c r="AN74" s="234">
        <f>+SUM(AF74:AK74)*2</f>
        <v>74</v>
      </c>
    </row>
    <row r="75" spans="1:50">
      <c r="B75" s="230"/>
      <c r="C75" s="230"/>
      <c r="D75" s="230"/>
      <c r="F75" s="231"/>
      <c r="G75" s="231"/>
      <c r="H75" s="231"/>
      <c r="I75" s="231"/>
      <c r="J75" s="231"/>
      <c r="K75" s="231"/>
      <c r="L75" s="231"/>
      <c r="M75" s="231"/>
      <c r="N75" s="231"/>
      <c r="O75" s="231"/>
      <c r="P75" s="231"/>
      <c r="Q75" s="231"/>
      <c r="R75" s="231"/>
      <c r="S75" s="231"/>
      <c r="T75" s="231"/>
      <c r="U75" s="231"/>
      <c r="V75" s="231"/>
      <c r="W75" s="240"/>
      <c r="X75" s="388"/>
      <c r="Y75" s="389"/>
      <c r="Z75" s="217"/>
      <c r="AB75" s="233"/>
      <c r="AC75" s="232"/>
      <c r="AD75" s="232"/>
      <c r="AE75" s="232"/>
      <c r="AF75" s="232"/>
      <c r="AG75" s="232"/>
      <c r="AH75" s="232"/>
      <c r="AI75" s="232"/>
      <c r="AJ75" s="232"/>
      <c r="AK75" s="232"/>
      <c r="AL75" s="385"/>
      <c r="AN75" s="385"/>
    </row>
    <row r="76" spans="1:50">
      <c r="B76" s="230"/>
      <c r="C76" s="235" t="s">
        <v>137</v>
      </c>
      <c r="D76" s="230"/>
      <c r="F76" s="231"/>
      <c r="G76" s="231"/>
      <c r="H76" s="231"/>
      <c r="I76" s="231"/>
      <c r="J76" s="236"/>
      <c r="K76" s="237">
        <f t="shared" ref="K76:V76" si="40">SUM(K72:K75)</f>
        <v>273783.745</v>
      </c>
      <c r="L76" s="237">
        <f t="shared" si="40"/>
        <v>274156.84500000003</v>
      </c>
      <c r="M76" s="237">
        <f t="shared" si="40"/>
        <v>274349.42499999999</v>
      </c>
      <c r="N76" s="237">
        <f t="shared" si="40"/>
        <v>275333.33</v>
      </c>
      <c r="O76" s="237">
        <f t="shared" si="40"/>
        <v>277616.1850000018</v>
      </c>
      <c r="P76" s="237">
        <f t="shared" si="40"/>
        <v>364880.13499999815</v>
      </c>
      <c r="Q76" s="237">
        <f t="shared" si="40"/>
        <v>363612.93</v>
      </c>
      <c r="R76" s="237">
        <f t="shared" si="40"/>
        <v>366976.31999999995</v>
      </c>
      <c r="S76" s="237">
        <f t="shared" si="40"/>
        <v>368628.185</v>
      </c>
      <c r="T76" s="237">
        <f t="shared" si="40"/>
        <v>369861.91500000004</v>
      </c>
      <c r="U76" s="237">
        <f t="shared" si="40"/>
        <v>370397.83500000002</v>
      </c>
      <c r="V76" s="237">
        <f t="shared" si="40"/>
        <v>370743.69</v>
      </c>
      <c r="W76" s="240"/>
      <c r="X76" s="237">
        <f>SUM(X72:X75)</f>
        <v>3950340.5400000005</v>
      </c>
      <c r="Y76" s="241"/>
      <c r="Z76" s="393">
        <f>+Z72+Z73</f>
        <v>53945.463418240186</v>
      </c>
      <c r="AA76" s="393">
        <f>+AA72+AA73</f>
        <v>54018.965427994895</v>
      </c>
      <c r="AB76" s="393">
        <f t="shared" ref="AB76:AN76" si="41">+AB72+AB73</f>
        <v>54061.055104971907</v>
      </c>
      <c r="AC76" s="393">
        <f t="shared" si="41"/>
        <v>54246.554273125177</v>
      </c>
      <c r="AD76" s="393">
        <f t="shared" si="41"/>
        <v>54697.467512486182</v>
      </c>
      <c r="AE76" s="393">
        <f t="shared" si="41"/>
        <v>54994.166180374479</v>
      </c>
      <c r="AF76" s="393">
        <f t="shared" si="41"/>
        <v>54806.236515777804</v>
      </c>
      <c r="AG76" s="393">
        <f t="shared" si="41"/>
        <v>55300.901191810517</v>
      </c>
      <c r="AH76" s="393">
        <f t="shared" si="41"/>
        <v>55384.470200009819</v>
      </c>
      <c r="AI76" s="393">
        <f t="shared" si="41"/>
        <v>55573.661364194799</v>
      </c>
      <c r="AJ76" s="393">
        <f t="shared" si="41"/>
        <v>55648.933249791153</v>
      </c>
      <c r="AK76" s="393">
        <f t="shared" si="41"/>
        <v>55690.05335888741</v>
      </c>
      <c r="AL76" s="394">
        <f t="shared" si="41"/>
        <v>54863.993983138687</v>
      </c>
      <c r="AN76" s="394">
        <f t="shared" si="41"/>
        <v>664808.51176094299</v>
      </c>
    </row>
    <row r="77" spans="1:50">
      <c r="B77" s="230"/>
      <c r="C77" s="235"/>
      <c r="D77" s="230"/>
      <c r="F77" s="231"/>
      <c r="G77" s="231"/>
      <c r="H77" s="231"/>
      <c r="I77" s="231"/>
      <c r="J77" s="236"/>
      <c r="K77" s="236"/>
      <c r="L77" s="240"/>
      <c r="M77" s="240"/>
      <c r="N77" s="240"/>
      <c r="O77" s="240"/>
      <c r="P77" s="240"/>
      <c r="Q77" s="240"/>
      <c r="R77" s="240"/>
      <c r="S77" s="240"/>
      <c r="T77" s="240"/>
      <c r="U77" s="240"/>
      <c r="V77" s="240"/>
      <c r="W77" s="240"/>
      <c r="X77" s="395"/>
      <c r="Y77" s="241"/>
      <c r="Z77" s="233"/>
      <c r="AA77" s="233"/>
      <c r="AB77" s="233"/>
      <c r="AC77" s="232"/>
      <c r="AD77" s="232"/>
      <c r="AE77" s="232"/>
      <c r="AF77" s="232"/>
      <c r="AG77" s="232"/>
      <c r="AH77" s="232"/>
      <c r="AI77" s="232"/>
      <c r="AJ77" s="232"/>
      <c r="AK77" s="232"/>
      <c r="AL77" s="385"/>
      <c r="AM77" s="242"/>
      <c r="AN77" s="385"/>
      <c r="AO77" s="242"/>
    </row>
    <row r="78" spans="1:50">
      <c r="A78" s="218" t="str">
        <f>$A$1&amp;"Residential"&amp;B78</f>
        <v>PIERCE UTCResidentialRECVALRES</v>
      </c>
      <c r="B78" s="230" t="s">
        <v>386</v>
      </c>
      <c r="C78" s="230" t="s">
        <v>387</v>
      </c>
      <c r="D78" s="230" t="s">
        <v>385</v>
      </c>
      <c r="E78" s="380">
        <v>35527</v>
      </c>
      <c r="F78" s="231">
        <v>1.92</v>
      </c>
      <c r="G78" s="231">
        <v>2.15</v>
      </c>
      <c r="H78" s="231">
        <v>2.15</v>
      </c>
      <c r="I78" s="231">
        <v>2.15</v>
      </c>
      <c r="J78" s="231"/>
      <c r="K78" s="231"/>
      <c r="L78" s="231"/>
      <c r="M78" s="231"/>
      <c r="N78" s="231"/>
      <c r="O78" s="231"/>
      <c r="P78" s="231"/>
      <c r="Q78" s="231"/>
      <c r="R78" s="231"/>
      <c r="S78" s="231"/>
      <c r="T78" s="231"/>
      <c r="U78" s="231"/>
      <c r="V78" s="231"/>
      <c r="W78" s="240"/>
      <c r="X78" s="388">
        <f>SUM(K78:V78)</f>
        <v>0</v>
      </c>
      <c r="Y78" s="389"/>
      <c r="Z78" s="233">
        <f>IFERROR(K78/$F78,0)</f>
        <v>0</v>
      </c>
      <c r="AA78" s="233">
        <f>IFERROR(L78/$F78,0)</f>
        <v>0</v>
      </c>
      <c r="AB78" s="233">
        <f>IFERROR(M78/$F78,0)</f>
        <v>0</v>
      </c>
      <c r="AC78" s="233">
        <f t="shared" ref="AC78:AK78" si="42">IFERROR(N78/$H78,0)</f>
        <v>0</v>
      </c>
      <c r="AD78" s="233">
        <f t="shared" si="42"/>
        <v>0</v>
      </c>
      <c r="AE78" s="233">
        <f t="shared" si="42"/>
        <v>0</v>
      </c>
      <c r="AF78" s="233">
        <f t="shared" si="42"/>
        <v>0</v>
      </c>
      <c r="AG78" s="233">
        <f t="shared" si="42"/>
        <v>0</v>
      </c>
      <c r="AH78" s="233">
        <f t="shared" si="42"/>
        <v>0</v>
      </c>
      <c r="AI78" s="233">
        <f t="shared" si="42"/>
        <v>0</v>
      </c>
      <c r="AJ78" s="233">
        <f t="shared" si="42"/>
        <v>0</v>
      </c>
      <c r="AK78" s="233">
        <f t="shared" si="42"/>
        <v>0</v>
      </c>
      <c r="AL78" s="385"/>
      <c r="AM78" s="389"/>
      <c r="AN78" s="385"/>
      <c r="AO78" s="389"/>
      <c r="AP78" s="381"/>
      <c r="AQ78" s="381"/>
      <c r="AR78" s="381"/>
      <c r="AS78" s="381"/>
      <c r="AT78" s="381"/>
      <c r="AU78" s="381"/>
      <c r="AV78" s="381"/>
      <c r="AW78" s="381"/>
      <c r="AX78" s="381"/>
    </row>
    <row r="79" spans="1:50">
      <c r="B79" s="230"/>
      <c r="C79" s="235"/>
      <c r="D79" s="230"/>
      <c r="F79" s="231"/>
      <c r="G79" s="231"/>
      <c r="H79" s="231"/>
      <c r="I79" s="231"/>
      <c r="J79" s="236"/>
      <c r="K79" s="236"/>
      <c r="L79" s="231"/>
      <c r="M79" s="231"/>
      <c r="N79" s="231"/>
      <c r="O79" s="231"/>
      <c r="P79" s="231"/>
      <c r="Q79" s="231"/>
      <c r="R79" s="231"/>
      <c r="S79" s="231"/>
      <c r="T79" s="231"/>
      <c r="U79" s="231"/>
      <c r="V79" s="231"/>
      <c r="W79" s="240"/>
      <c r="X79" s="388"/>
      <c r="Y79" s="236"/>
      <c r="Z79" s="233"/>
      <c r="AA79" s="233"/>
      <c r="AB79" s="233"/>
      <c r="AD79" s="232"/>
      <c r="AE79" s="232"/>
      <c r="AF79" s="232"/>
      <c r="AG79" s="232"/>
      <c r="AH79" s="232"/>
      <c r="AI79" s="232"/>
      <c r="AJ79" s="232"/>
      <c r="AK79" s="232"/>
      <c r="AL79" s="385"/>
      <c r="AM79" s="396"/>
      <c r="AN79" s="385"/>
      <c r="AO79" s="396"/>
      <c r="AP79" s="381"/>
      <c r="AQ79" s="381"/>
      <c r="AR79" s="381"/>
      <c r="AS79" s="381"/>
      <c r="AT79" s="381"/>
      <c r="AU79" s="381"/>
      <c r="AV79" s="381"/>
      <c r="AW79" s="381"/>
      <c r="AX79" s="381"/>
    </row>
    <row r="80" spans="1:50">
      <c r="B80" s="239" t="s">
        <v>138</v>
      </c>
      <c r="C80" s="230"/>
      <c r="D80" s="230"/>
      <c r="F80" s="231"/>
      <c r="G80" s="231"/>
      <c r="H80" s="231"/>
      <c r="I80" s="231"/>
      <c r="J80" s="236"/>
      <c r="K80" s="236"/>
      <c r="L80" s="231"/>
      <c r="M80" s="231"/>
      <c r="N80" s="231"/>
      <c r="O80" s="231"/>
      <c r="P80" s="231"/>
      <c r="Q80" s="231"/>
      <c r="R80" s="231"/>
      <c r="S80" s="231"/>
      <c r="T80" s="231"/>
      <c r="U80" s="231"/>
      <c r="V80" s="231"/>
      <c r="W80" s="240"/>
      <c r="X80" s="388"/>
      <c r="Y80" s="236"/>
      <c r="Z80" s="233"/>
      <c r="AA80" s="233"/>
      <c r="AB80" s="233"/>
      <c r="AC80" s="232"/>
      <c r="AD80" s="232"/>
      <c r="AE80" s="232"/>
      <c r="AF80" s="232"/>
      <c r="AG80" s="232"/>
      <c r="AH80" s="232"/>
      <c r="AI80" s="232"/>
      <c r="AJ80" s="232"/>
      <c r="AK80" s="232"/>
      <c r="AL80" s="385"/>
      <c r="AM80" s="381"/>
      <c r="AN80" s="385"/>
      <c r="AO80" s="381"/>
      <c r="AP80" s="381"/>
      <c r="AQ80" s="381"/>
      <c r="AR80" s="381"/>
      <c r="AS80" s="381"/>
      <c r="AT80" s="381"/>
      <c r="AU80" s="381"/>
      <c r="AV80" s="381"/>
      <c r="AW80" s="381"/>
      <c r="AX80" s="381"/>
    </row>
    <row r="81" spans="1:50">
      <c r="A81" s="218" t="str">
        <f>$A$1&amp;"Residential"&amp;B81</f>
        <v>PIERCE UTCResidentialGWRES</v>
      </c>
      <c r="B81" s="230" t="s">
        <v>388</v>
      </c>
      <c r="C81" s="230" t="s">
        <v>389</v>
      </c>
      <c r="D81" s="230" t="s">
        <v>390</v>
      </c>
      <c r="E81" s="380">
        <v>32110</v>
      </c>
      <c r="F81" s="231">
        <v>5.53</v>
      </c>
      <c r="G81" s="231">
        <v>5.53</v>
      </c>
      <c r="H81" s="231">
        <v>6.24</v>
      </c>
      <c r="I81" s="231">
        <v>6.26</v>
      </c>
      <c r="J81" s="231"/>
      <c r="K81" s="231">
        <v>146579.79</v>
      </c>
      <c r="L81" s="231">
        <v>144256.49</v>
      </c>
      <c r="M81" s="231">
        <v>144049.08500000002</v>
      </c>
      <c r="N81" s="231">
        <v>149512.11000000002</v>
      </c>
      <c r="O81" s="231">
        <v>153349.76500000083</v>
      </c>
      <c r="P81" s="231">
        <v>176960.10999999917</v>
      </c>
      <c r="Q81" s="231">
        <v>180803.77499999997</v>
      </c>
      <c r="R81" s="231">
        <v>183467.42499999999</v>
      </c>
      <c r="S81" s="231">
        <v>184256.14499999999</v>
      </c>
      <c r="T81" s="231">
        <v>185148.82</v>
      </c>
      <c r="U81" s="231">
        <v>184629.255</v>
      </c>
      <c r="V81" s="231">
        <v>182205.88</v>
      </c>
      <c r="W81" s="240"/>
      <c r="X81" s="388">
        <f>SUM(K81:V81)</f>
        <v>2015218.65</v>
      </c>
      <c r="Y81" s="389"/>
      <c r="Z81" s="233">
        <f t="shared" ref="Z81:AB82" si="43">IFERROR(K81/$F81,0)</f>
        <v>26506.291139240508</v>
      </c>
      <c r="AA81" s="233">
        <f t="shared" si="43"/>
        <v>26086.164556962023</v>
      </c>
      <c r="AB81" s="233">
        <f t="shared" si="43"/>
        <v>26048.659132007237</v>
      </c>
      <c r="AC81" s="233">
        <f>IFERROR(N81/$G81,0)</f>
        <v>27036.547920433997</v>
      </c>
      <c r="AD81" s="233">
        <f>IFERROR(O81/$G81,0)</f>
        <v>27730.518083182789</v>
      </c>
      <c r="AE81" s="233">
        <f t="shared" ref="AE81:AG82" si="44">IFERROR(P81/$H81,0)</f>
        <v>28358.991987179354</v>
      </c>
      <c r="AF81" s="233">
        <f t="shared" si="44"/>
        <v>28974.963942307684</v>
      </c>
      <c r="AG81" s="233">
        <f t="shared" si="44"/>
        <v>29401.830929487176</v>
      </c>
      <c r="AH81" s="233">
        <f t="shared" ref="AH81:AK82" si="45">IFERROR(S81/$I81,0)</f>
        <v>29433.888977635783</v>
      </c>
      <c r="AI81" s="233">
        <f t="shared" si="45"/>
        <v>29576.488817891375</v>
      </c>
      <c r="AJ81" s="233">
        <f t="shared" si="45"/>
        <v>29493.491214057511</v>
      </c>
      <c r="AK81" s="233">
        <f t="shared" si="45"/>
        <v>29106.370607028755</v>
      </c>
      <c r="AL81" s="234">
        <f>AVERAGE(Z81:AK81)</f>
        <v>28146.183942284519</v>
      </c>
      <c r="AM81" s="381"/>
      <c r="AN81" s="234">
        <f>+SUM(AF81:AK81)*2</f>
        <v>351974.06897681655</v>
      </c>
      <c r="AO81" s="381"/>
      <c r="AP81" s="381"/>
      <c r="AQ81" s="381"/>
      <c r="AR81" s="381"/>
      <c r="AS81" s="381"/>
      <c r="AT81" s="381"/>
      <c r="AU81" s="381"/>
      <c r="AV81" s="381"/>
      <c r="AW81" s="381"/>
      <c r="AX81" s="381"/>
    </row>
    <row r="82" spans="1:50">
      <c r="A82" s="218" t="s">
        <v>782</v>
      </c>
      <c r="B82" s="230" t="s">
        <v>503</v>
      </c>
      <c r="C82" s="230" t="s">
        <v>504</v>
      </c>
      <c r="D82" s="230" t="s">
        <v>397</v>
      </c>
      <c r="E82" s="380">
        <v>33000</v>
      </c>
      <c r="F82" s="231">
        <v>5.53</v>
      </c>
      <c r="G82" s="231">
        <v>5.53</v>
      </c>
      <c r="H82" s="231">
        <v>6.24</v>
      </c>
      <c r="I82" s="231">
        <v>6.26</v>
      </c>
      <c r="J82" s="231"/>
      <c r="K82" s="231">
        <v>3312.9199999999996</v>
      </c>
      <c r="L82" s="231">
        <v>3298.65</v>
      </c>
      <c r="M82" s="231">
        <v>3282.05</v>
      </c>
      <c r="N82" s="231">
        <v>3317.08</v>
      </c>
      <c r="O82" s="231">
        <v>3321.88</v>
      </c>
      <c r="P82" s="231">
        <v>3730.94</v>
      </c>
      <c r="Q82" s="231">
        <v>3791.84</v>
      </c>
      <c r="R82" s="231">
        <v>3789.76</v>
      </c>
      <c r="S82" s="231">
        <v>3709.17</v>
      </c>
      <c r="T82" s="231">
        <v>3692.36</v>
      </c>
      <c r="U82" s="231">
        <v>3723.5</v>
      </c>
      <c r="V82" s="231">
        <v>3514.53</v>
      </c>
      <c r="W82" s="240"/>
      <c r="X82" s="388">
        <f>SUM(K82:V82)</f>
        <v>42484.679999999993</v>
      </c>
      <c r="Y82" s="232"/>
      <c r="Z82" s="233">
        <f t="shared" si="43"/>
        <v>599.0813743218805</v>
      </c>
      <c r="AA82" s="233">
        <f t="shared" si="43"/>
        <v>596.50090415913201</v>
      </c>
      <c r="AB82" s="233">
        <f t="shared" si="43"/>
        <v>593.49909584086799</v>
      </c>
      <c r="AC82" s="233">
        <f>IFERROR(N82/$G82,0)</f>
        <v>599.83363471971063</v>
      </c>
      <c r="AD82" s="233">
        <f>IFERROR(O82/$G82,0)</f>
        <v>600.70162748643759</v>
      </c>
      <c r="AE82" s="232">
        <f t="shared" si="44"/>
        <v>597.90705128205127</v>
      </c>
      <c r="AF82" s="232">
        <f t="shared" si="44"/>
        <v>607.66666666666663</v>
      </c>
      <c r="AG82" s="232">
        <f t="shared" si="44"/>
        <v>607.33333333333337</v>
      </c>
      <c r="AH82" s="233">
        <f t="shared" si="45"/>
        <v>592.51916932907352</v>
      </c>
      <c r="AI82" s="233">
        <f t="shared" si="45"/>
        <v>589.83386581469654</v>
      </c>
      <c r="AJ82" s="233">
        <f t="shared" si="45"/>
        <v>594.80830670926525</v>
      </c>
      <c r="AK82" s="233">
        <f t="shared" si="45"/>
        <v>561.42651757188503</v>
      </c>
      <c r="AL82" s="234">
        <f>AVERAGE(Z82:AK82)</f>
        <v>595.09262893624998</v>
      </c>
      <c r="AN82" s="234">
        <f>+SUM(AF82:AK82)*2</f>
        <v>7107.1757188498414</v>
      </c>
    </row>
    <row r="83" spans="1:50">
      <c r="A83" s="218" t="str">
        <f>$A$1&amp;"Residential"&amp;B83</f>
        <v>PIERCE UTCResidentialEXTRAGWC-RES</v>
      </c>
      <c r="B83" s="230" t="s">
        <v>391</v>
      </c>
      <c r="C83" s="230" t="s">
        <v>392</v>
      </c>
      <c r="D83" s="230" t="s">
        <v>390</v>
      </c>
      <c r="E83" s="380">
        <v>32111</v>
      </c>
      <c r="F83" s="231">
        <v>2</v>
      </c>
      <c r="G83" s="231">
        <v>2</v>
      </c>
      <c r="H83" s="231">
        <v>1.98</v>
      </c>
      <c r="I83" s="231">
        <v>1.99</v>
      </c>
      <c r="J83" s="231"/>
      <c r="K83" s="231">
        <v>30</v>
      </c>
      <c r="L83" s="231">
        <v>34</v>
      </c>
      <c r="M83" s="231">
        <v>16</v>
      </c>
      <c r="N83" s="231">
        <v>32</v>
      </c>
      <c r="O83" s="231">
        <v>116</v>
      </c>
      <c r="P83" s="231">
        <v>71.400000000000006</v>
      </c>
      <c r="Q83" s="231">
        <v>95.039999999999992</v>
      </c>
      <c r="R83" s="231">
        <v>116.8</v>
      </c>
      <c r="S83" s="231">
        <v>89.54</v>
      </c>
      <c r="T83" s="231">
        <v>57.69</v>
      </c>
      <c r="U83" s="231">
        <v>63.68</v>
      </c>
      <c r="V83" s="231">
        <v>93.53</v>
      </c>
      <c r="W83" s="240"/>
      <c r="X83" s="388">
        <f>SUM(K83:V83)</f>
        <v>815.68</v>
      </c>
      <c r="Y83" s="389"/>
      <c r="Z83" s="233"/>
      <c r="AA83" s="233"/>
      <c r="AB83" s="233"/>
      <c r="AC83" s="233"/>
      <c r="AD83" s="233"/>
      <c r="AE83" s="233"/>
      <c r="AF83" s="233"/>
      <c r="AG83" s="233"/>
      <c r="AH83" s="233"/>
      <c r="AI83" s="233"/>
      <c r="AJ83" s="233"/>
      <c r="AK83" s="233"/>
      <c r="AL83" s="234"/>
      <c r="AM83" s="381"/>
      <c r="AN83" s="234"/>
      <c r="AO83" s="381"/>
      <c r="AP83" s="381"/>
      <c r="AQ83" s="381"/>
      <c r="AR83" s="381"/>
      <c r="AS83" s="381"/>
      <c r="AT83" s="381"/>
      <c r="AU83" s="381"/>
      <c r="AV83" s="381"/>
      <c r="AW83" s="381"/>
      <c r="AX83" s="381"/>
    </row>
    <row r="84" spans="1:50">
      <c r="A84" s="218" t="str">
        <f>$A$1&amp;"Residential"&amp;B84</f>
        <v>PIERCE UTCResidentialEP96GWC-RES</v>
      </c>
      <c r="B84" s="230" t="s">
        <v>393</v>
      </c>
      <c r="C84" s="230" t="s">
        <v>394</v>
      </c>
      <c r="D84" s="230" t="s">
        <v>344</v>
      </c>
      <c r="E84" s="380">
        <v>32001</v>
      </c>
      <c r="F84" s="231">
        <v>3.8</v>
      </c>
      <c r="G84" s="231">
        <v>3.8</v>
      </c>
      <c r="H84" s="231">
        <v>4.29</v>
      </c>
      <c r="I84" s="231">
        <v>4.3</v>
      </c>
      <c r="J84" s="231"/>
      <c r="K84" s="231">
        <v>0</v>
      </c>
      <c r="L84" s="231">
        <v>0</v>
      </c>
      <c r="M84" s="231">
        <v>0</v>
      </c>
      <c r="N84" s="231">
        <v>0</v>
      </c>
      <c r="O84" s="231">
        <v>3.8</v>
      </c>
      <c r="P84" s="231">
        <v>8.58</v>
      </c>
      <c r="Q84" s="231">
        <v>4.29</v>
      </c>
      <c r="R84" s="231">
        <v>17.16</v>
      </c>
      <c r="S84" s="231">
        <v>17.2</v>
      </c>
      <c r="T84" s="231">
        <v>4.3</v>
      </c>
      <c r="U84" s="231">
        <v>17.2</v>
      </c>
      <c r="V84" s="231">
        <v>47.3</v>
      </c>
      <c r="W84" s="240"/>
      <c r="X84" s="388">
        <f>SUM(K84:V84)</f>
        <v>119.83</v>
      </c>
      <c r="Y84" s="389"/>
      <c r="Z84" s="233"/>
      <c r="AA84" s="233"/>
      <c r="AB84" s="233"/>
      <c r="AC84" s="233"/>
      <c r="AD84" s="233"/>
      <c r="AE84" s="233"/>
      <c r="AF84" s="233"/>
      <c r="AG84" s="233"/>
      <c r="AH84" s="233"/>
      <c r="AI84" s="233"/>
      <c r="AJ84" s="233"/>
      <c r="AK84" s="233"/>
      <c r="AL84" s="234"/>
      <c r="AN84" s="234"/>
    </row>
    <row r="85" spans="1:50">
      <c r="B85" s="230"/>
      <c r="C85" s="235" t="s">
        <v>139</v>
      </c>
      <c r="D85" s="230"/>
      <c r="F85" s="231"/>
      <c r="G85" s="231"/>
      <c r="H85" s="231"/>
      <c r="I85" s="231"/>
      <c r="J85" s="236"/>
      <c r="K85" s="237">
        <f t="shared" ref="K85:V85" si="46">SUM(K81:K84)</f>
        <v>149922.71000000002</v>
      </c>
      <c r="L85" s="237">
        <f t="shared" si="46"/>
        <v>147589.13999999998</v>
      </c>
      <c r="M85" s="237">
        <f t="shared" si="46"/>
        <v>147347.13500000001</v>
      </c>
      <c r="N85" s="237">
        <f t="shared" si="46"/>
        <v>152861.19</v>
      </c>
      <c r="O85" s="237">
        <f t="shared" si="46"/>
        <v>156791.44500000082</v>
      </c>
      <c r="P85" s="237">
        <f t="shared" si="46"/>
        <v>180771.02999999915</v>
      </c>
      <c r="Q85" s="237">
        <f t="shared" si="46"/>
        <v>184694.94499999998</v>
      </c>
      <c r="R85" s="237">
        <f t="shared" si="46"/>
        <v>187391.14499999999</v>
      </c>
      <c r="S85" s="237">
        <f t="shared" si="46"/>
        <v>188072.05500000002</v>
      </c>
      <c r="T85" s="237">
        <f t="shared" si="46"/>
        <v>188903.16999999998</v>
      </c>
      <c r="U85" s="237">
        <f t="shared" si="46"/>
        <v>188433.63500000001</v>
      </c>
      <c r="V85" s="237">
        <f t="shared" si="46"/>
        <v>185861.24</v>
      </c>
      <c r="W85" s="240"/>
      <c r="X85" s="237">
        <f>SUM(X81:X84)</f>
        <v>2058638.8399999999</v>
      </c>
      <c r="Y85" s="241"/>
      <c r="Z85" s="237">
        <f>SUM(Z81:Z84)</f>
        <v>27105.37251356239</v>
      </c>
      <c r="AA85" s="237">
        <f>SUM(AA81:AA84)</f>
        <v>26682.665461121156</v>
      </c>
      <c r="AB85" s="237">
        <f t="shared" ref="AB85:AK85" si="47">SUM(AB81:AB84)</f>
        <v>26642.158227848104</v>
      </c>
      <c r="AC85" s="237">
        <f t="shared" si="47"/>
        <v>27636.381555153708</v>
      </c>
      <c r="AD85" s="237">
        <f t="shared" si="47"/>
        <v>28331.219710669226</v>
      </c>
      <c r="AE85" s="237">
        <f t="shared" si="47"/>
        <v>28956.899038461404</v>
      </c>
      <c r="AF85" s="237">
        <f t="shared" si="47"/>
        <v>29582.630608974352</v>
      </c>
      <c r="AG85" s="237">
        <f t="shared" si="47"/>
        <v>30009.164262820508</v>
      </c>
      <c r="AH85" s="237">
        <f t="shared" si="47"/>
        <v>30026.408146964855</v>
      </c>
      <c r="AI85" s="237">
        <f t="shared" si="47"/>
        <v>30166.322683706072</v>
      </c>
      <c r="AJ85" s="237">
        <f t="shared" si="47"/>
        <v>30088.299520766777</v>
      </c>
      <c r="AK85" s="237">
        <f t="shared" si="47"/>
        <v>29667.797124600642</v>
      </c>
      <c r="AL85" s="237">
        <f>SUM(AL81:AL82)</f>
        <v>28741.276571220769</v>
      </c>
      <c r="AN85" s="237">
        <f>SUM(AN81:AN82)</f>
        <v>359081.24469566636</v>
      </c>
    </row>
    <row r="86" spans="1:50">
      <c r="F86" s="231"/>
      <c r="G86" s="231"/>
      <c r="H86" s="231"/>
      <c r="I86" s="231"/>
      <c r="L86" s="231"/>
      <c r="M86" s="231"/>
      <c r="N86" s="231"/>
      <c r="O86" s="231"/>
      <c r="P86" s="231"/>
      <c r="Q86" s="231"/>
      <c r="R86" s="231"/>
      <c r="S86" s="231"/>
      <c r="T86" s="231"/>
      <c r="U86" s="231"/>
      <c r="V86" s="231"/>
      <c r="W86" s="398"/>
      <c r="X86" s="388"/>
      <c r="Y86" s="230"/>
      <c r="Z86" s="233"/>
      <c r="AA86" s="233"/>
      <c r="AB86" s="233"/>
      <c r="AC86" s="232"/>
      <c r="AD86" s="232"/>
      <c r="AE86" s="232"/>
      <c r="AF86" s="232"/>
      <c r="AG86" s="232"/>
      <c r="AH86" s="232"/>
      <c r="AI86" s="232"/>
      <c r="AJ86" s="232"/>
      <c r="AK86" s="232"/>
      <c r="AL86" s="399"/>
      <c r="AN86" s="399"/>
    </row>
    <row r="87" spans="1:50" s="216" customFormat="1" ht="13.5" thickBot="1">
      <c r="A87" s="400"/>
      <c r="B87" s="400" t="s">
        <v>395</v>
      </c>
      <c r="C87" s="400"/>
      <c r="D87" s="400"/>
      <c r="E87" s="401"/>
      <c r="F87" s="402"/>
      <c r="G87" s="402"/>
      <c r="H87" s="402"/>
      <c r="I87" s="402"/>
      <c r="J87" s="400"/>
      <c r="K87" s="403">
        <f t="shared" ref="K87:V87" si="48">+K68+K76+K85+K78</f>
        <v>1777142.7150000003</v>
      </c>
      <c r="L87" s="403">
        <f t="shared" si="48"/>
        <v>1771811.3250000002</v>
      </c>
      <c r="M87" s="403">
        <f t="shared" si="48"/>
        <v>1761016.5900000003</v>
      </c>
      <c r="N87" s="403">
        <f t="shared" si="48"/>
        <v>1789424.7400000002</v>
      </c>
      <c r="O87" s="403">
        <f t="shared" si="48"/>
        <v>1810676.970000003</v>
      </c>
      <c r="P87" s="403">
        <f t="shared" si="48"/>
        <v>1919051.2499999979</v>
      </c>
      <c r="Q87" s="403">
        <f t="shared" si="48"/>
        <v>1930464.5000000005</v>
      </c>
      <c r="R87" s="403">
        <f t="shared" si="48"/>
        <v>1938211.4249999998</v>
      </c>
      <c r="S87" s="403">
        <f t="shared" si="48"/>
        <v>1945764.63</v>
      </c>
      <c r="T87" s="403">
        <f t="shared" si="48"/>
        <v>1958309.0150000001</v>
      </c>
      <c r="U87" s="403">
        <f t="shared" si="48"/>
        <v>1962574.6299999994</v>
      </c>
      <c r="V87" s="403">
        <f t="shared" si="48"/>
        <v>1966139.9550000001</v>
      </c>
      <c r="W87" s="404"/>
      <c r="X87" s="405">
        <f>+X68+X76+X85+X78</f>
        <v>22530587.744999997</v>
      </c>
      <c r="Y87" s="406"/>
      <c r="Z87" s="407"/>
      <c r="AA87" s="407"/>
      <c r="AB87" s="407"/>
      <c r="AC87" s="408"/>
      <c r="AD87" s="408"/>
      <c r="AE87" s="408"/>
      <c r="AF87" s="408"/>
      <c r="AG87" s="408"/>
      <c r="AH87" s="408"/>
      <c r="AI87" s="408"/>
      <c r="AJ87" s="408"/>
      <c r="AK87" s="408"/>
      <c r="AL87" s="409"/>
      <c r="AN87" s="409"/>
    </row>
    <row r="88" spans="1:50" s="216" customFormat="1">
      <c r="E88" s="223"/>
      <c r="F88" s="231"/>
      <c r="G88" s="231"/>
      <c r="H88" s="231"/>
      <c r="I88" s="231"/>
      <c r="L88" s="244"/>
      <c r="M88" s="244"/>
      <c r="N88" s="244"/>
      <c r="O88" s="244"/>
      <c r="P88" s="244"/>
      <c r="Q88" s="244"/>
      <c r="R88" s="244"/>
      <c r="S88" s="244"/>
      <c r="T88" s="244"/>
      <c r="U88" s="244"/>
      <c r="V88" s="244"/>
      <c r="W88" s="244"/>
      <c r="X88" s="411"/>
      <c r="Y88" s="412"/>
      <c r="Z88" s="233"/>
      <c r="AA88" s="233"/>
      <c r="AB88" s="233"/>
      <c r="AC88" s="232"/>
      <c r="AD88" s="232"/>
      <c r="AE88" s="232"/>
      <c r="AF88" s="232"/>
      <c r="AG88" s="232"/>
      <c r="AH88" s="232"/>
      <c r="AI88" s="232"/>
      <c r="AJ88" s="232"/>
      <c r="AK88" s="232"/>
      <c r="AL88" s="399"/>
      <c r="AN88" s="399"/>
    </row>
    <row r="89" spans="1:50" s="216" customFormat="1">
      <c r="E89" s="223"/>
      <c r="F89" s="231"/>
      <c r="G89" s="231"/>
      <c r="H89" s="231"/>
      <c r="I89" s="231"/>
      <c r="J89" s="245"/>
      <c r="K89" s="245"/>
      <c r="L89" s="231"/>
      <c r="M89" s="231"/>
      <c r="N89" s="231"/>
      <c r="O89" s="231"/>
      <c r="P89" s="231"/>
      <c r="Q89" s="231"/>
      <c r="R89" s="231"/>
      <c r="S89" s="231"/>
      <c r="T89" s="231"/>
      <c r="U89" s="231"/>
      <c r="V89" s="231"/>
      <c r="W89" s="231"/>
      <c r="X89" s="388"/>
      <c r="Y89" s="413"/>
      <c r="Z89" s="233"/>
      <c r="AA89" s="233"/>
      <c r="AB89" s="233"/>
      <c r="AC89" s="232"/>
      <c r="AD89" s="232"/>
      <c r="AE89" s="232"/>
      <c r="AF89" s="232"/>
      <c r="AG89" s="232"/>
      <c r="AH89" s="232"/>
      <c r="AI89" s="232"/>
      <c r="AJ89" s="232"/>
      <c r="AK89" s="232"/>
      <c r="AL89" s="399"/>
      <c r="AN89" s="399"/>
    </row>
    <row r="90" spans="1:50">
      <c r="B90" s="225" t="s">
        <v>396</v>
      </c>
      <c r="C90" s="226"/>
      <c r="D90" s="226"/>
      <c r="F90" s="231"/>
      <c r="G90" s="231"/>
      <c r="H90" s="231"/>
      <c r="I90" s="231"/>
      <c r="J90" s="227"/>
      <c r="K90" s="227"/>
      <c r="L90" s="231"/>
      <c r="M90" s="231"/>
      <c r="N90" s="231"/>
      <c r="O90" s="231"/>
      <c r="P90" s="231"/>
      <c r="Q90" s="231"/>
      <c r="R90" s="231"/>
      <c r="S90" s="231"/>
      <c r="T90" s="231"/>
      <c r="U90" s="231"/>
      <c r="V90" s="231"/>
      <c r="W90" s="231"/>
      <c r="X90" s="388"/>
      <c r="Y90" s="414"/>
      <c r="Z90" s="233"/>
      <c r="AA90" s="233"/>
      <c r="AB90" s="233"/>
      <c r="AC90" s="232"/>
      <c r="AD90" s="232"/>
      <c r="AE90" s="232"/>
      <c r="AF90" s="232"/>
      <c r="AG90" s="232"/>
      <c r="AH90" s="232"/>
      <c r="AI90" s="232"/>
      <c r="AJ90" s="232"/>
      <c r="AK90" s="232"/>
      <c r="AL90" s="399"/>
      <c r="AN90" s="399"/>
    </row>
    <row r="91" spans="1:50">
      <c r="B91" s="225"/>
      <c r="C91" s="226"/>
      <c r="D91" s="226"/>
      <c r="F91" s="231"/>
      <c r="G91" s="231"/>
      <c r="H91" s="231"/>
      <c r="I91" s="231"/>
      <c r="J91" s="227"/>
      <c r="K91" s="227"/>
      <c r="L91" s="231"/>
      <c r="M91" s="231"/>
      <c r="N91" s="231"/>
      <c r="O91" s="231"/>
      <c r="P91" s="231"/>
      <c r="Q91" s="231"/>
      <c r="R91" s="231"/>
      <c r="S91" s="231"/>
      <c r="T91" s="231"/>
      <c r="U91" s="231"/>
      <c r="V91" s="231"/>
      <c r="W91" s="231"/>
      <c r="X91" s="388"/>
      <c r="Y91" s="414"/>
      <c r="Z91" s="233"/>
      <c r="AA91" s="233"/>
      <c r="AB91" s="233"/>
      <c r="AC91" s="232"/>
      <c r="AD91" s="232"/>
      <c r="AE91" s="232"/>
      <c r="AF91" s="232"/>
      <c r="AG91" s="232"/>
      <c r="AH91" s="232"/>
      <c r="AI91" s="232"/>
      <c r="AJ91" s="232"/>
      <c r="AK91" s="232"/>
      <c r="AL91" s="399"/>
      <c r="AN91" s="399"/>
    </row>
    <row r="92" spans="1:50">
      <c r="B92" s="229" t="s">
        <v>140</v>
      </c>
      <c r="C92" s="226"/>
      <c r="D92" s="226"/>
      <c r="F92" s="231"/>
      <c r="G92" s="231"/>
      <c r="H92" s="231"/>
      <c r="I92" s="231"/>
      <c r="J92" s="227"/>
      <c r="K92" s="227"/>
      <c r="L92" s="231"/>
      <c r="M92" s="231"/>
      <c r="N92" s="231"/>
      <c r="O92" s="231"/>
      <c r="P92" s="231"/>
      <c r="Q92" s="231"/>
      <c r="R92" s="231"/>
      <c r="S92" s="231"/>
      <c r="T92" s="231"/>
      <c r="U92" s="231"/>
      <c r="V92" s="231"/>
      <c r="W92" s="231"/>
      <c r="X92" s="388"/>
      <c r="Y92" s="414"/>
      <c r="Z92" s="233"/>
      <c r="AA92" s="233"/>
      <c r="AB92" s="233"/>
      <c r="AC92" s="232"/>
      <c r="AD92" s="232"/>
      <c r="AE92" s="232"/>
      <c r="AF92" s="232"/>
      <c r="AG92" s="232"/>
      <c r="AH92" s="232"/>
      <c r="AI92" s="232"/>
      <c r="AJ92" s="232"/>
      <c r="AK92" s="232"/>
      <c r="AL92" s="399"/>
      <c r="AN92" s="399"/>
    </row>
    <row r="93" spans="1:50">
      <c r="A93" s="218" t="str">
        <f>$A$1&amp;"Commercial"&amp;B93</f>
        <v>PIERCE UTCCommercialFL001.0YEO001</v>
      </c>
      <c r="B93" s="230" t="s">
        <v>490</v>
      </c>
      <c r="C93" s="230" t="s">
        <v>664</v>
      </c>
      <c r="D93" s="230"/>
      <c r="F93" s="231">
        <v>53.48</v>
      </c>
      <c r="G93" s="231">
        <v>53.96</v>
      </c>
      <c r="H93" s="231">
        <v>53.45</v>
      </c>
      <c r="I93" s="231">
        <v>53.6</v>
      </c>
      <c r="J93" s="231"/>
      <c r="K93" s="231">
        <v>106.96</v>
      </c>
      <c r="L93" s="231">
        <v>106.96</v>
      </c>
      <c r="M93" s="231">
        <v>80.22</v>
      </c>
      <c r="N93" s="231">
        <v>190.66</v>
      </c>
      <c r="O93" s="231">
        <v>377.72</v>
      </c>
      <c r="P93" s="231">
        <v>374.15</v>
      </c>
      <c r="Q93" s="231">
        <v>374.15</v>
      </c>
      <c r="R93" s="231">
        <v>374.15</v>
      </c>
      <c r="S93" s="231">
        <v>348.4</v>
      </c>
      <c r="T93" s="231">
        <v>348.4</v>
      </c>
      <c r="U93" s="231">
        <v>375.2</v>
      </c>
      <c r="V93" s="231">
        <v>321.60000000000002</v>
      </c>
      <c r="W93" s="231"/>
      <c r="X93" s="388">
        <f t="shared" ref="X93:X124" si="49">SUM(K93:V93)</f>
        <v>3378.57</v>
      </c>
      <c r="Y93" s="389"/>
      <c r="Z93" s="233">
        <f t="shared" ref="Z93:Z124" si="50">IFERROR(K93/$F93,0)</f>
        <v>2</v>
      </c>
      <c r="AA93" s="233">
        <f t="shared" ref="AA93:AA124" si="51">IFERROR(L93/$F93,0)</f>
        <v>2</v>
      </c>
      <c r="AB93" s="233">
        <f t="shared" ref="AB93:AB124" si="52">IFERROR(M93/$F93,0)</f>
        <v>1.5</v>
      </c>
      <c r="AC93" s="233">
        <f t="shared" ref="AC93:AC124" si="53">IFERROR(N93/$G93,0)</f>
        <v>3.533358042994811</v>
      </c>
      <c r="AD93" s="233">
        <f t="shared" ref="AD93:AD124" si="54">IFERROR(O93/$G93,0)</f>
        <v>7</v>
      </c>
      <c r="AE93" s="232">
        <f t="shared" ref="AE93:AE124" si="55">IFERROR(P93/$H93,0)</f>
        <v>6.9999999999999991</v>
      </c>
      <c r="AF93" s="232">
        <f t="shared" ref="AF93:AF124" si="56">IFERROR(Q93/$H93,0)</f>
        <v>6.9999999999999991</v>
      </c>
      <c r="AG93" s="232">
        <f t="shared" ref="AG93:AG124" si="57">IFERROR(R93/$H93,0)</f>
        <v>6.9999999999999991</v>
      </c>
      <c r="AH93" s="233">
        <f t="shared" ref="AH93:AH124" si="58">IFERROR(S93/$I93,0)</f>
        <v>6.4999999999999991</v>
      </c>
      <c r="AI93" s="233">
        <f t="shared" ref="AI93:AI124" si="59">IFERROR(T93/$I93,0)</f>
        <v>6.4999999999999991</v>
      </c>
      <c r="AJ93" s="233">
        <f t="shared" ref="AJ93:AJ124" si="60">IFERROR(U93/$I93,0)</f>
        <v>7</v>
      </c>
      <c r="AK93" s="233">
        <f t="shared" ref="AK93:AK124" si="61">IFERROR(V93/$I93,0)</f>
        <v>6</v>
      </c>
      <c r="AL93" s="234">
        <f t="shared" ref="AL93:AL124" si="62">AVERAGE(Z93:AK93)</f>
        <v>5.2527798369162344</v>
      </c>
      <c r="AN93" s="234">
        <f t="shared" ref="AN93:AN124" si="63">+SUM(AF93:AK93)*2</f>
        <v>80</v>
      </c>
      <c r="AO93" s="218" t="str">
        <f>+VLOOKUP($B93,Mapping!$C$31:$C$81,1,FALSE)</f>
        <v>FL001.0YEO001</v>
      </c>
    </row>
    <row r="94" spans="1:50">
      <c r="A94" s="218" t="str">
        <f>$A$1&amp;"Commercial"&amp;B94</f>
        <v>PIERCE UTCCommercialFL001.0Y1W001</v>
      </c>
      <c r="B94" s="230" t="s">
        <v>210</v>
      </c>
      <c r="C94" s="230" t="s">
        <v>211</v>
      </c>
      <c r="D94" s="230" t="s">
        <v>397</v>
      </c>
      <c r="E94" s="380">
        <v>33000</v>
      </c>
      <c r="F94" s="231">
        <v>93.63</v>
      </c>
      <c r="G94" s="231">
        <v>94.59</v>
      </c>
      <c r="H94" s="231">
        <v>93.69</v>
      </c>
      <c r="I94" s="231">
        <v>93.94</v>
      </c>
      <c r="J94" s="231"/>
      <c r="K94" s="231">
        <v>119690.72</v>
      </c>
      <c r="L94" s="231">
        <v>120295.78</v>
      </c>
      <c r="M94" s="231">
        <v>120127.31</v>
      </c>
      <c r="N94" s="231">
        <v>121708.85</v>
      </c>
      <c r="O94" s="231">
        <v>122049.54</v>
      </c>
      <c r="P94" s="231">
        <v>123490.72</v>
      </c>
      <c r="Q94" s="231">
        <v>124129.93</v>
      </c>
      <c r="R94" s="231">
        <v>124720.11</v>
      </c>
      <c r="S94" s="231">
        <v>124916.47</v>
      </c>
      <c r="T94" s="231">
        <v>123780.87</v>
      </c>
      <c r="U94" s="231">
        <v>122156.90000000001</v>
      </c>
      <c r="V94" s="231">
        <v>120389.5</v>
      </c>
      <c r="W94" s="231"/>
      <c r="X94" s="388">
        <f t="shared" si="49"/>
        <v>1467456.7000000002</v>
      </c>
      <c r="Y94" s="389"/>
      <c r="Z94" s="233">
        <f t="shared" si="50"/>
        <v>1278.337285058208</v>
      </c>
      <c r="AA94" s="233">
        <f t="shared" si="51"/>
        <v>1284.7995300651501</v>
      </c>
      <c r="AB94" s="233">
        <f t="shared" si="52"/>
        <v>1283.0002136067501</v>
      </c>
      <c r="AC94" s="233">
        <f t="shared" si="53"/>
        <v>1286.6989110899672</v>
      </c>
      <c r="AD94" s="233">
        <f t="shared" si="54"/>
        <v>1290.3006660323501</v>
      </c>
      <c r="AE94" s="232">
        <f t="shared" si="55"/>
        <v>1318.0779165332481</v>
      </c>
      <c r="AF94" s="232">
        <f t="shared" si="56"/>
        <v>1324.9005230013875</v>
      </c>
      <c r="AG94" s="232">
        <f t="shared" si="57"/>
        <v>1331.1998078770414</v>
      </c>
      <c r="AH94" s="233">
        <f t="shared" si="58"/>
        <v>1329.74739195231</v>
      </c>
      <c r="AI94" s="233">
        <f t="shared" si="59"/>
        <v>1317.6588247817756</v>
      </c>
      <c r="AJ94" s="233">
        <f t="shared" si="60"/>
        <v>1300.3715137321697</v>
      </c>
      <c r="AK94" s="233">
        <f t="shared" si="61"/>
        <v>1281.5573770491803</v>
      </c>
      <c r="AL94" s="234">
        <f t="shared" si="62"/>
        <v>1302.2208300649615</v>
      </c>
      <c r="AN94" s="234">
        <f t="shared" si="63"/>
        <v>15770.870876787729</v>
      </c>
      <c r="AO94" s="218" t="str">
        <f>+VLOOKUP($B94,Mapping!$C$31:$C$81,1,FALSE)</f>
        <v>FL001.0Y1W001</v>
      </c>
    </row>
    <row r="95" spans="1:50">
      <c r="A95" s="218" t="str">
        <f>$A$1&amp;"Commercial"&amp;B95</f>
        <v>PIERCE UTCCommercialFL001.0Y2W001</v>
      </c>
      <c r="B95" s="230" t="s">
        <v>212</v>
      </c>
      <c r="C95" s="230" t="s">
        <v>213</v>
      </c>
      <c r="D95" s="230" t="s">
        <v>397</v>
      </c>
      <c r="E95" s="380">
        <v>33000</v>
      </c>
      <c r="F95" s="231">
        <v>174.13</v>
      </c>
      <c r="G95" s="231">
        <v>176.03</v>
      </c>
      <c r="H95" s="231">
        <v>174.36</v>
      </c>
      <c r="I95" s="231">
        <v>174.83</v>
      </c>
      <c r="J95" s="231"/>
      <c r="K95" s="231">
        <v>696.52</v>
      </c>
      <c r="L95" s="231">
        <v>696.52</v>
      </c>
      <c r="M95" s="231">
        <v>696.52</v>
      </c>
      <c r="N95" s="231">
        <v>704.12</v>
      </c>
      <c r="O95" s="231">
        <v>704.12</v>
      </c>
      <c r="P95" s="231">
        <v>697.44</v>
      </c>
      <c r="Q95" s="231">
        <v>697.44</v>
      </c>
      <c r="R95" s="231">
        <v>697.44</v>
      </c>
      <c r="S95" s="231">
        <v>699.32</v>
      </c>
      <c r="T95" s="231">
        <v>874.15</v>
      </c>
      <c r="U95" s="231">
        <v>699.32</v>
      </c>
      <c r="V95" s="231">
        <v>699.32</v>
      </c>
      <c r="W95" s="231"/>
      <c r="X95" s="388">
        <f t="shared" si="49"/>
        <v>8562.23</v>
      </c>
      <c r="Y95" s="389"/>
      <c r="Z95" s="233">
        <f t="shared" si="50"/>
        <v>4</v>
      </c>
      <c r="AA95" s="233">
        <f t="shared" si="51"/>
        <v>4</v>
      </c>
      <c r="AB95" s="233">
        <f t="shared" si="52"/>
        <v>4</v>
      </c>
      <c r="AC95" s="233">
        <f t="shared" si="53"/>
        <v>4</v>
      </c>
      <c r="AD95" s="233">
        <f t="shared" si="54"/>
        <v>4</v>
      </c>
      <c r="AE95" s="232">
        <f t="shared" si="55"/>
        <v>4</v>
      </c>
      <c r="AF95" s="232">
        <f t="shared" si="56"/>
        <v>4</v>
      </c>
      <c r="AG95" s="232">
        <f t="shared" si="57"/>
        <v>4</v>
      </c>
      <c r="AH95" s="233">
        <f t="shared" si="58"/>
        <v>4</v>
      </c>
      <c r="AI95" s="233">
        <f t="shared" si="59"/>
        <v>4.9999999999999991</v>
      </c>
      <c r="AJ95" s="233">
        <f t="shared" si="60"/>
        <v>4</v>
      </c>
      <c r="AK95" s="233">
        <f t="shared" si="61"/>
        <v>4</v>
      </c>
      <c r="AL95" s="234">
        <f t="shared" si="62"/>
        <v>4.083333333333333</v>
      </c>
      <c r="AN95" s="234">
        <f t="shared" si="63"/>
        <v>50</v>
      </c>
      <c r="AO95" s="218" t="str">
        <f>+VLOOKUP($B95,Mapping!$C$31:$C$81,1,FALSE)</f>
        <v>FL001.0Y2W001</v>
      </c>
    </row>
    <row r="96" spans="1:50">
      <c r="A96" s="218" t="str">
        <f>$A$1&amp;"Commercial"&amp;B96</f>
        <v>PIERCE UTCCommercialFL001.0Y3W001</v>
      </c>
      <c r="B96" s="230" t="s">
        <v>214</v>
      </c>
      <c r="C96" s="230" t="s">
        <v>215</v>
      </c>
      <c r="D96" s="230" t="s">
        <v>397</v>
      </c>
      <c r="E96" s="380">
        <v>33000</v>
      </c>
      <c r="F96" s="231">
        <v>254.62</v>
      </c>
      <c r="G96" s="231">
        <v>257.48</v>
      </c>
      <c r="H96" s="231">
        <v>255.02</v>
      </c>
      <c r="I96" s="231">
        <v>255.71</v>
      </c>
      <c r="J96" s="231"/>
      <c r="K96" s="231">
        <v>254.62</v>
      </c>
      <c r="L96" s="231">
        <v>254.62</v>
      </c>
      <c r="M96" s="231">
        <v>254.62</v>
      </c>
      <c r="N96" s="231">
        <v>257.48</v>
      </c>
      <c r="O96" s="231">
        <v>257.48</v>
      </c>
      <c r="P96" s="231">
        <v>255.02</v>
      </c>
      <c r="Q96" s="231">
        <v>255.02</v>
      </c>
      <c r="R96" s="231">
        <v>255.02</v>
      </c>
      <c r="S96" s="231">
        <v>255.71</v>
      </c>
      <c r="T96" s="231">
        <v>255.71</v>
      </c>
      <c r="U96" s="231">
        <v>511.42</v>
      </c>
      <c r="V96" s="231">
        <v>511.42</v>
      </c>
      <c r="W96" s="231"/>
      <c r="X96" s="388">
        <f t="shared" si="49"/>
        <v>3578.1400000000003</v>
      </c>
      <c r="Y96" s="389"/>
      <c r="Z96" s="233">
        <f t="shared" si="50"/>
        <v>1</v>
      </c>
      <c r="AA96" s="233">
        <f t="shared" si="51"/>
        <v>1</v>
      </c>
      <c r="AB96" s="233">
        <f t="shared" si="52"/>
        <v>1</v>
      </c>
      <c r="AC96" s="233">
        <f t="shared" si="53"/>
        <v>1</v>
      </c>
      <c r="AD96" s="233">
        <f t="shared" si="54"/>
        <v>1</v>
      </c>
      <c r="AE96" s="232">
        <f t="shared" si="55"/>
        <v>1</v>
      </c>
      <c r="AF96" s="232">
        <f t="shared" si="56"/>
        <v>1</v>
      </c>
      <c r="AG96" s="232">
        <f t="shared" si="57"/>
        <v>1</v>
      </c>
      <c r="AH96" s="233">
        <f t="shared" si="58"/>
        <v>1</v>
      </c>
      <c r="AI96" s="233">
        <f t="shared" si="59"/>
        <v>1</v>
      </c>
      <c r="AJ96" s="233">
        <f t="shared" si="60"/>
        <v>2</v>
      </c>
      <c r="AK96" s="233">
        <f t="shared" si="61"/>
        <v>2</v>
      </c>
      <c r="AL96" s="234">
        <f t="shared" si="62"/>
        <v>1.1666666666666667</v>
      </c>
      <c r="AN96" s="234">
        <f t="shared" si="63"/>
        <v>16</v>
      </c>
      <c r="AO96" s="218" t="str">
        <f>+VLOOKUP($B96,Mapping!$C$31:$C$81,1,FALSE)</f>
        <v>FL001.0Y3W001</v>
      </c>
    </row>
    <row r="97" spans="1:41">
      <c r="A97" s="218" t="str">
        <f>$A$1&amp;"Commercial"&amp;B97</f>
        <v>PIERCE UTCCommercialFL001.5Y1W001</v>
      </c>
      <c r="B97" s="230" t="s">
        <v>216</v>
      </c>
      <c r="C97" s="230" t="s">
        <v>217</v>
      </c>
      <c r="D97" s="230" t="s">
        <v>397</v>
      </c>
      <c r="E97" s="380">
        <v>33000</v>
      </c>
      <c r="F97" s="231">
        <v>128.24</v>
      </c>
      <c r="G97" s="231">
        <v>129.58000000000001</v>
      </c>
      <c r="H97" s="231">
        <v>128.37</v>
      </c>
      <c r="I97" s="231">
        <v>128.72</v>
      </c>
      <c r="J97" s="231"/>
      <c r="K97" s="231">
        <v>34201.629999999997</v>
      </c>
      <c r="L97" s="231">
        <v>33727.129999999997</v>
      </c>
      <c r="M97" s="231">
        <v>34336.26</v>
      </c>
      <c r="N97" s="231">
        <v>34816.93</v>
      </c>
      <c r="O97" s="231">
        <v>34215.629999999997</v>
      </c>
      <c r="P97" s="231">
        <v>34537.97</v>
      </c>
      <c r="Q97" s="231">
        <v>34890.99</v>
      </c>
      <c r="R97" s="231">
        <v>34820.380000000005</v>
      </c>
      <c r="S97" s="231">
        <v>36130.47</v>
      </c>
      <c r="T97" s="231">
        <v>36395.589999999997</v>
      </c>
      <c r="U97" s="231">
        <v>36001.949999999997</v>
      </c>
      <c r="V97" s="231">
        <v>35520.28</v>
      </c>
      <c r="W97" s="231"/>
      <c r="X97" s="388">
        <f t="shared" si="49"/>
        <v>419595.20999999996</v>
      </c>
      <c r="Y97" s="389"/>
      <c r="Z97" s="233">
        <f t="shared" si="50"/>
        <v>266.70017155333744</v>
      </c>
      <c r="AA97" s="233">
        <f t="shared" si="51"/>
        <v>263.0000779787897</v>
      </c>
      <c r="AB97" s="233">
        <f t="shared" si="52"/>
        <v>267.75</v>
      </c>
      <c r="AC97" s="233">
        <f t="shared" si="53"/>
        <v>268.69061583577712</v>
      </c>
      <c r="AD97" s="233">
        <f t="shared" si="54"/>
        <v>264.05023923444969</v>
      </c>
      <c r="AE97" s="232">
        <f t="shared" si="55"/>
        <v>269.0501674846148</v>
      </c>
      <c r="AF97" s="232">
        <f t="shared" si="56"/>
        <v>271.80018695956994</v>
      </c>
      <c r="AG97" s="232">
        <f t="shared" si="57"/>
        <v>271.25013632468648</v>
      </c>
      <c r="AH97" s="233">
        <f t="shared" si="58"/>
        <v>280.69041330018644</v>
      </c>
      <c r="AI97" s="233">
        <f t="shared" si="59"/>
        <v>282.75007768800492</v>
      </c>
      <c r="AJ97" s="233">
        <f t="shared" si="60"/>
        <v>279.69196706028589</v>
      </c>
      <c r="AK97" s="233">
        <f t="shared" si="61"/>
        <v>275.94996892479799</v>
      </c>
      <c r="AL97" s="234">
        <f t="shared" si="62"/>
        <v>271.78116852870841</v>
      </c>
      <c r="AN97" s="234">
        <f t="shared" si="63"/>
        <v>3324.2655005150632</v>
      </c>
      <c r="AO97" s="218" t="str">
        <f>+VLOOKUP($B97,Mapping!$C$31:$C$81,1,FALSE)</f>
        <v>FL001.5Y1W001</v>
      </c>
    </row>
    <row r="98" spans="1:41">
      <c r="A98" s="218" t="str">
        <f>$A$1&amp;"Commercial"&amp;B98</f>
        <v>PIERCE UTCCommercialFL001.5Y2W001</v>
      </c>
      <c r="B98" s="230" t="s">
        <v>218</v>
      </c>
      <c r="C98" s="230" t="s">
        <v>219</v>
      </c>
      <c r="D98" s="230" t="s">
        <v>397</v>
      </c>
      <c r="E98" s="380">
        <v>33000</v>
      </c>
      <c r="F98" s="231">
        <v>238.52</v>
      </c>
      <c r="G98" s="231">
        <v>241.2</v>
      </c>
      <c r="H98" s="231">
        <v>238.96</v>
      </c>
      <c r="I98" s="231">
        <v>239.61</v>
      </c>
      <c r="J98" s="231"/>
      <c r="K98" s="231">
        <v>5114.93</v>
      </c>
      <c r="L98" s="231">
        <v>5008.92</v>
      </c>
      <c r="M98" s="231">
        <v>5008.92</v>
      </c>
      <c r="N98" s="231">
        <v>4877.22</v>
      </c>
      <c r="O98" s="231">
        <v>4582.8</v>
      </c>
      <c r="P98" s="231">
        <v>4689.59</v>
      </c>
      <c r="Q98" s="231">
        <v>4779.2</v>
      </c>
      <c r="R98" s="231">
        <v>5124.3599999999997</v>
      </c>
      <c r="S98" s="231">
        <v>5271.42</v>
      </c>
      <c r="T98" s="231">
        <v>5271.42</v>
      </c>
      <c r="U98" s="231">
        <v>5271.42</v>
      </c>
      <c r="V98" s="231">
        <v>5164.93</v>
      </c>
      <c r="W98" s="231"/>
      <c r="X98" s="388">
        <f t="shared" si="49"/>
        <v>60165.13</v>
      </c>
      <c r="Y98" s="389"/>
      <c r="Z98" s="233">
        <f t="shared" si="50"/>
        <v>21.444449102800604</v>
      </c>
      <c r="AA98" s="233">
        <f t="shared" si="51"/>
        <v>21</v>
      </c>
      <c r="AB98" s="233">
        <f t="shared" si="52"/>
        <v>21</v>
      </c>
      <c r="AC98" s="233">
        <f t="shared" si="53"/>
        <v>20.220646766169157</v>
      </c>
      <c r="AD98" s="233">
        <f t="shared" si="54"/>
        <v>19</v>
      </c>
      <c r="AE98" s="232">
        <f t="shared" si="55"/>
        <v>19.625</v>
      </c>
      <c r="AF98" s="232">
        <f t="shared" si="56"/>
        <v>20</v>
      </c>
      <c r="AG98" s="232">
        <f t="shared" si="57"/>
        <v>21.444425845329761</v>
      </c>
      <c r="AH98" s="233">
        <f t="shared" si="58"/>
        <v>22</v>
      </c>
      <c r="AI98" s="233">
        <f t="shared" si="59"/>
        <v>22</v>
      </c>
      <c r="AJ98" s="233">
        <f t="shared" si="60"/>
        <v>22</v>
      </c>
      <c r="AK98" s="233">
        <f t="shared" si="61"/>
        <v>21.555569467050624</v>
      </c>
      <c r="AL98" s="234">
        <f t="shared" si="62"/>
        <v>20.940840931779178</v>
      </c>
      <c r="AN98" s="234">
        <f t="shared" si="63"/>
        <v>257.99999062476076</v>
      </c>
      <c r="AO98" s="218" t="str">
        <f>+VLOOKUP($B98,Mapping!$C$31:$C$81,1,FALSE)</f>
        <v>FL001.5Y2W001</v>
      </c>
    </row>
    <row r="99" spans="1:41">
      <c r="A99" s="218" t="str">
        <f>$A$1&amp;"Commercial"&amp;B99</f>
        <v>PIERCE UTCCommercialFL001.5Y3W001</v>
      </c>
      <c r="B99" s="230" t="s">
        <v>220</v>
      </c>
      <c r="C99" s="230" t="s">
        <v>221</v>
      </c>
      <c r="D99" s="230" t="s">
        <v>397</v>
      </c>
      <c r="E99" s="380">
        <v>33000</v>
      </c>
      <c r="F99" s="231">
        <v>348.81</v>
      </c>
      <c r="G99" s="231">
        <v>352.83</v>
      </c>
      <c r="H99" s="231">
        <v>349.54</v>
      </c>
      <c r="I99" s="231">
        <v>350.5</v>
      </c>
      <c r="J99" s="231"/>
      <c r="K99" s="231">
        <v>697.62</v>
      </c>
      <c r="L99" s="231">
        <v>697.62</v>
      </c>
      <c r="M99" s="231">
        <v>697.62</v>
      </c>
      <c r="N99" s="231">
        <v>705.66</v>
      </c>
      <c r="O99" s="231">
        <v>705.66</v>
      </c>
      <c r="P99" s="231">
        <v>699.08</v>
      </c>
      <c r="Q99" s="231">
        <v>699.08</v>
      </c>
      <c r="R99" s="231">
        <v>699.08</v>
      </c>
      <c r="S99" s="231">
        <v>701</v>
      </c>
      <c r="T99" s="231">
        <v>701</v>
      </c>
      <c r="U99" s="231">
        <v>701</v>
      </c>
      <c r="V99" s="231">
        <v>701</v>
      </c>
      <c r="W99" s="231"/>
      <c r="X99" s="388">
        <f t="shared" si="49"/>
        <v>8405.42</v>
      </c>
      <c r="Y99" s="389"/>
      <c r="Z99" s="233">
        <f t="shared" si="50"/>
        <v>2</v>
      </c>
      <c r="AA99" s="233">
        <f t="shared" si="51"/>
        <v>2</v>
      </c>
      <c r="AB99" s="233">
        <f t="shared" si="52"/>
        <v>2</v>
      </c>
      <c r="AC99" s="233">
        <f t="shared" si="53"/>
        <v>2</v>
      </c>
      <c r="AD99" s="233">
        <f t="shared" si="54"/>
        <v>2</v>
      </c>
      <c r="AE99" s="232">
        <f t="shared" si="55"/>
        <v>2</v>
      </c>
      <c r="AF99" s="232">
        <f t="shared" si="56"/>
        <v>2</v>
      </c>
      <c r="AG99" s="232">
        <f t="shared" si="57"/>
        <v>2</v>
      </c>
      <c r="AH99" s="233">
        <f t="shared" si="58"/>
        <v>2</v>
      </c>
      <c r="AI99" s="233">
        <f t="shared" si="59"/>
        <v>2</v>
      </c>
      <c r="AJ99" s="233">
        <f t="shared" si="60"/>
        <v>2</v>
      </c>
      <c r="AK99" s="233">
        <f t="shared" si="61"/>
        <v>2</v>
      </c>
      <c r="AL99" s="234">
        <f t="shared" si="62"/>
        <v>2</v>
      </c>
      <c r="AN99" s="234">
        <f t="shared" si="63"/>
        <v>24</v>
      </c>
      <c r="AO99" s="218" t="str">
        <f>+VLOOKUP($B99,Mapping!$C$31:$C$81,1,FALSE)</f>
        <v>FL001.5Y3W001</v>
      </c>
    </row>
    <row r="100" spans="1:41">
      <c r="A100" s="218" t="str">
        <f>$A$1&amp;"Commercial"&amp;B100</f>
        <v>PIERCE UTCCommercialFL002.0Y1W001</v>
      </c>
      <c r="B100" s="230" t="s">
        <v>222</v>
      </c>
      <c r="C100" s="230" t="s">
        <v>223</v>
      </c>
      <c r="D100" s="230" t="s">
        <v>397</v>
      </c>
      <c r="E100" s="380">
        <v>33000</v>
      </c>
      <c r="F100" s="231">
        <v>164.24</v>
      </c>
      <c r="G100" s="231">
        <v>165.97</v>
      </c>
      <c r="H100" s="231">
        <v>164.4</v>
      </c>
      <c r="I100" s="231">
        <v>164.85</v>
      </c>
      <c r="J100" s="231"/>
      <c r="K100" s="231">
        <v>63856.509999999995</v>
      </c>
      <c r="L100" s="231">
        <v>62541.66</v>
      </c>
      <c r="M100" s="231">
        <v>62903.920000000006</v>
      </c>
      <c r="N100" s="231">
        <v>64053.13</v>
      </c>
      <c r="O100" s="231">
        <v>61765.72</v>
      </c>
      <c r="P100" s="231">
        <v>64265.82</v>
      </c>
      <c r="Q100" s="231">
        <v>65241.179999999993</v>
      </c>
      <c r="R100" s="231">
        <v>68168.460000000006</v>
      </c>
      <c r="S100" s="231">
        <v>68494.720000000001</v>
      </c>
      <c r="T100" s="231">
        <v>67539.070000000007</v>
      </c>
      <c r="U100" s="231">
        <v>66780.460000000006</v>
      </c>
      <c r="V100" s="231">
        <v>66698.34</v>
      </c>
      <c r="W100" s="231"/>
      <c r="X100" s="388">
        <f t="shared" si="49"/>
        <v>782308.98999999987</v>
      </c>
      <c r="Y100" s="389"/>
      <c r="Z100" s="233">
        <f t="shared" si="50"/>
        <v>388.79998782269843</v>
      </c>
      <c r="AA100" s="233">
        <f t="shared" si="51"/>
        <v>380.79432537749636</v>
      </c>
      <c r="AB100" s="233">
        <f t="shared" si="52"/>
        <v>383</v>
      </c>
      <c r="AC100" s="233">
        <f t="shared" si="53"/>
        <v>385.93197565825147</v>
      </c>
      <c r="AD100" s="233">
        <f t="shared" si="54"/>
        <v>372.14990660962826</v>
      </c>
      <c r="AE100" s="232">
        <f t="shared" si="55"/>
        <v>390.91131386861315</v>
      </c>
      <c r="AF100" s="232">
        <f t="shared" si="56"/>
        <v>396.84416058394157</v>
      </c>
      <c r="AG100" s="232">
        <f t="shared" si="57"/>
        <v>414.65000000000003</v>
      </c>
      <c r="AH100" s="233">
        <f t="shared" si="58"/>
        <v>415.49723991507432</v>
      </c>
      <c r="AI100" s="233">
        <f t="shared" si="59"/>
        <v>409.70015165301794</v>
      </c>
      <c r="AJ100" s="233">
        <f t="shared" si="60"/>
        <v>405.09833181680318</v>
      </c>
      <c r="AK100" s="233">
        <f t="shared" si="61"/>
        <v>404.60018198362144</v>
      </c>
      <c r="AL100" s="234">
        <f t="shared" si="62"/>
        <v>395.66479794076213</v>
      </c>
      <c r="AN100" s="234">
        <f t="shared" si="63"/>
        <v>4892.7801319049167</v>
      </c>
      <c r="AO100" s="218" t="str">
        <f>+VLOOKUP($B100,Mapping!$C$31:$C$81,1,FALSE)</f>
        <v>FL002.0Y1W001</v>
      </c>
    </row>
    <row r="101" spans="1:41">
      <c r="A101" s="218" t="str">
        <f>$A$1&amp;"Commercial"&amp;B101</f>
        <v>PIERCE UTCCommercialFL002.0Y2W001</v>
      </c>
      <c r="B101" s="230" t="s">
        <v>224</v>
      </c>
      <c r="C101" s="230" t="s">
        <v>225</v>
      </c>
      <c r="D101" s="230" t="s">
        <v>397</v>
      </c>
      <c r="E101" s="380">
        <v>33000</v>
      </c>
      <c r="F101" s="231">
        <v>309.47000000000003</v>
      </c>
      <c r="G101" s="231">
        <v>312.93</v>
      </c>
      <c r="H101" s="231">
        <v>309.98</v>
      </c>
      <c r="I101" s="231">
        <v>310.82</v>
      </c>
      <c r="J101" s="231"/>
      <c r="K101" s="231">
        <v>11204.53</v>
      </c>
      <c r="L101" s="231">
        <v>12963.36</v>
      </c>
      <c r="M101" s="231">
        <v>12456.17</v>
      </c>
      <c r="N101" s="231">
        <v>11960.39</v>
      </c>
      <c r="O101" s="231">
        <v>10726.56</v>
      </c>
      <c r="P101" s="231">
        <v>9880.3100000000013</v>
      </c>
      <c r="Q101" s="231">
        <v>10883.75</v>
      </c>
      <c r="R101" s="231">
        <v>11345.27</v>
      </c>
      <c r="S101" s="231">
        <v>11439.91</v>
      </c>
      <c r="T101" s="231">
        <v>12074.49</v>
      </c>
      <c r="U101" s="231">
        <v>11811.16</v>
      </c>
      <c r="V101" s="231">
        <v>11191.470000000001</v>
      </c>
      <c r="W101" s="231"/>
      <c r="X101" s="388">
        <f t="shared" si="49"/>
        <v>137937.37</v>
      </c>
      <c r="Y101" s="389"/>
      <c r="Z101" s="233">
        <f t="shared" si="50"/>
        <v>36.205544963970659</v>
      </c>
      <c r="AA101" s="233">
        <f t="shared" si="51"/>
        <v>41.888906840727692</v>
      </c>
      <c r="AB101" s="233">
        <f t="shared" si="52"/>
        <v>40.250008078327461</v>
      </c>
      <c r="AC101" s="233">
        <f t="shared" si="53"/>
        <v>38.220656376825488</v>
      </c>
      <c r="AD101" s="233">
        <f t="shared" si="54"/>
        <v>34.277825711820533</v>
      </c>
      <c r="AE101" s="232">
        <f t="shared" si="55"/>
        <v>31.874024130589074</v>
      </c>
      <c r="AF101" s="232">
        <f t="shared" si="56"/>
        <v>35.111136202335629</v>
      </c>
      <c r="AG101" s="232">
        <f t="shared" si="57"/>
        <v>36.600006452029163</v>
      </c>
      <c r="AH101" s="233">
        <f t="shared" si="58"/>
        <v>36.805578791583557</v>
      </c>
      <c r="AI101" s="233">
        <f t="shared" si="59"/>
        <v>38.847210604208222</v>
      </c>
      <c r="AJ101" s="233">
        <f t="shared" si="60"/>
        <v>38</v>
      </c>
      <c r="AK101" s="233">
        <f t="shared" si="61"/>
        <v>36.006273727559361</v>
      </c>
      <c r="AL101" s="234">
        <f t="shared" si="62"/>
        <v>37.007264323331405</v>
      </c>
      <c r="AN101" s="234">
        <f t="shared" si="63"/>
        <v>442.74041155543182</v>
      </c>
      <c r="AO101" s="218" t="str">
        <f>+VLOOKUP($B101,Mapping!$C$31:$C$81,1,FALSE)</f>
        <v>FL002.0Y2W001</v>
      </c>
    </row>
    <row r="102" spans="1:41">
      <c r="A102" s="218" t="str">
        <f>$A$1&amp;"Commercial"&amp;B102</f>
        <v>PIERCE UTCCommercialFL002.0Y3W001</v>
      </c>
      <c r="B102" s="230" t="s">
        <v>226</v>
      </c>
      <c r="C102" s="230" t="s">
        <v>227</v>
      </c>
      <c r="D102" s="230" t="s">
        <v>397</v>
      </c>
      <c r="E102" s="380">
        <v>33000</v>
      </c>
      <c r="F102" s="231">
        <v>454.69</v>
      </c>
      <c r="G102" s="231">
        <v>459.89</v>
      </c>
      <c r="H102" s="231">
        <v>455.55</v>
      </c>
      <c r="I102" s="231">
        <v>456.78</v>
      </c>
      <c r="J102" s="231"/>
      <c r="K102" s="231">
        <v>5211.45</v>
      </c>
      <c r="L102" s="231">
        <v>5516.91</v>
      </c>
      <c r="M102" s="231">
        <v>5456.28</v>
      </c>
      <c r="N102" s="231">
        <v>5518.68</v>
      </c>
      <c r="O102" s="231">
        <v>5518.68</v>
      </c>
      <c r="P102" s="231">
        <v>5922.15</v>
      </c>
      <c r="Q102" s="231">
        <v>4555.5</v>
      </c>
      <c r="R102" s="231">
        <v>5466.6</v>
      </c>
      <c r="S102" s="231">
        <v>6289.51</v>
      </c>
      <c r="T102" s="231">
        <v>6739.9000000000005</v>
      </c>
      <c r="U102" s="231">
        <v>6851.7</v>
      </c>
      <c r="V102" s="231">
        <v>6851.7</v>
      </c>
      <c r="W102" s="231"/>
      <c r="X102" s="388">
        <f t="shared" si="49"/>
        <v>69899.06</v>
      </c>
      <c r="Y102" s="389"/>
      <c r="Z102" s="233">
        <f t="shared" si="50"/>
        <v>11.461545228617299</v>
      </c>
      <c r="AA102" s="233">
        <f t="shared" si="51"/>
        <v>12.133343596736237</v>
      </c>
      <c r="AB102" s="233">
        <f t="shared" si="52"/>
        <v>12</v>
      </c>
      <c r="AC102" s="233">
        <f t="shared" si="53"/>
        <v>12.000000000000002</v>
      </c>
      <c r="AD102" s="233">
        <f t="shared" si="54"/>
        <v>12.000000000000002</v>
      </c>
      <c r="AE102" s="232">
        <f t="shared" si="55"/>
        <v>12.999999999999998</v>
      </c>
      <c r="AF102" s="232">
        <f t="shared" si="56"/>
        <v>10</v>
      </c>
      <c r="AG102" s="232">
        <f t="shared" si="57"/>
        <v>12</v>
      </c>
      <c r="AH102" s="233">
        <f t="shared" si="58"/>
        <v>13.769232453259777</v>
      </c>
      <c r="AI102" s="233">
        <f t="shared" si="59"/>
        <v>14.755243224309298</v>
      </c>
      <c r="AJ102" s="233">
        <f t="shared" si="60"/>
        <v>15</v>
      </c>
      <c r="AK102" s="233">
        <f t="shared" si="61"/>
        <v>15</v>
      </c>
      <c r="AL102" s="234">
        <f t="shared" si="62"/>
        <v>12.759947041910218</v>
      </c>
      <c r="AN102" s="234">
        <f t="shared" si="63"/>
        <v>161.04895135513814</v>
      </c>
      <c r="AO102" s="218" t="str">
        <f>+VLOOKUP($B102,Mapping!$C$31:$C$81,1,FALSE)</f>
        <v>FL002.0Y3W001</v>
      </c>
    </row>
    <row r="103" spans="1:41">
      <c r="A103" s="218" t="str">
        <f>$A$1&amp;"Commercial"&amp;B103</f>
        <v>PIERCE UTCCommercialFL003.0Y1W001</v>
      </c>
      <c r="B103" s="230" t="s">
        <v>228</v>
      </c>
      <c r="C103" s="230" t="s">
        <v>229</v>
      </c>
      <c r="D103" s="230" t="s">
        <v>397</v>
      </c>
      <c r="E103" s="380">
        <v>33000</v>
      </c>
      <c r="F103" s="231">
        <v>229.55</v>
      </c>
      <c r="G103" s="231">
        <v>232.11</v>
      </c>
      <c r="H103" s="231">
        <v>229.94</v>
      </c>
      <c r="I103" s="231">
        <v>230.57</v>
      </c>
      <c r="J103" s="231"/>
      <c r="K103" s="231">
        <v>29841.5</v>
      </c>
      <c r="L103" s="231">
        <v>29887.41</v>
      </c>
      <c r="M103" s="231">
        <v>29956.28</v>
      </c>
      <c r="N103" s="231">
        <v>29869.67</v>
      </c>
      <c r="O103" s="231">
        <v>26646.240000000002</v>
      </c>
      <c r="P103" s="231">
        <v>26214.81</v>
      </c>
      <c r="Q103" s="231">
        <v>27086.95</v>
      </c>
      <c r="R103" s="231">
        <v>27581.31</v>
      </c>
      <c r="S103" s="231">
        <v>27898.97</v>
      </c>
      <c r="T103" s="231">
        <v>28498.420000000002</v>
      </c>
      <c r="U103" s="231">
        <v>28505.149999999998</v>
      </c>
      <c r="V103" s="231">
        <v>28890.43</v>
      </c>
      <c r="W103" s="231"/>
      <c r="X103" s="388">
        <f t="shared" si="49"/>
        <v>340877.14</v>
      </c>
      <c r="Y103" s="389"/>
      <c r="Z103" s="233">
        <f t="shared" si="50"/>
        <v>130</v>
      </c>
      <c r="AA103" s="233">
        <f t="shared" si="51"/>
        <v>130.19999999999999</v>
      </c>
      <c r="AB103" s="233">
        <f t="shared" si="52"/>
        <v>130.50002178174688</v>
      </c>
      <c r="AC103" s="233">
        <f t="shared" si="53"/>
        <v>128.68756193184265</v>
      </c>
      <c r="AD103" s="233">
        <f t="shared" si="54"/>
        <v>114.80005169962517</v>
      </c>
      <c r="AE103" s="232">
        <f t="shared" si="55"/>
        <v>114.0071757849874</v>
      </c>
      <c r="AF103" s="232">
        <f t="shared" si="56"/>
        <v>117.80007828129078</v>
      </c>
      <c r="AG103" s="232">
        <f t="shared" si="57"/>
        <v>119.9500304427242</v>
      </c>
      <c r="AH103" s="233">
        <f t="shared" si="58"/>
        <v>121.00000000000001</v>
      </c>
      <c r="AI103" s="233">
        <f t="shared" si="59"/>
        <v>123.59986121351434</v>
      </c>
      <c r="AJ103" s="233">
        <f t="shared" si="60"/>
        <v>123.62904974628096</v>
      </c>
      <c r="AK103" s="233">
        <f t="shared" si="61"/>
        <v>125.30003903369909</v>
      </c>
      <c r="AL103" s="234">
        <f t="shared" si="62"/>
        <v>123.28948915964263</v>
      </c>
      <c r="AN103" s="234">
        <f t="shared" si="63"/>
        <v>1462.5581174350189</v>
      </c>
      <c r="AO103" s="218" t="str">
        <f>+VLOOKUP($B103,Mapping!$C$31:$C$81,1,FALSE)</f>
        <v>FL003.0Y1W001</v>
      </c>
    </row>
    <row r="104" spans="1:41">
      <c r="A104" s="218" t="str">
        <f>$A$1&amp;"Commercial"&amp;B104</f>
        <v>PIERCE UTCCommercialFL003.0Y2W001</v>
      </c>
      <c r="B104" s="230" t="s">
        <v>230</v>
      </c>
      <c r="C104" s="230" t="s">
        <v>231</v>
      </c>
      <c r="D104" s="230" t="s">
        <v>397</v>
      </c>
      <c r="E104" s="380">
        <v>33000</v>
      </c>
      <c r="F104" s="231">
        <v>435.36</v>
      </c>
      <c r="G104" s="231">
        <v>440.47</v>
      </c>
      <c r="H104" s="231">
        <v>436.35</v>
      </c>
      <c r="I104" s="231">
        <v>437.55</v>
      </c>
      <c r="J104" s="231"/>
      <c r="K104" s="231">
        <v>8707.2000000000007</v>
      </c>
      <c r="L104" s="231">
        <v>8755.57</v>
      </c>
      <c r="M104" s="231">
        <v>8924.8799999999992</v>
      </c>
      <c r="N104" s="231">
        <v>8563.84</v>
      </c>
      <c r="O104" s="231">
        <v>8809.4</v>
      </c>
      <c r="P104" s="231">
        <v>8727</v>
      </c>
      <c r="Q104" s="231">
        <v>8387.61</v>
      </c>
      <c r="R104" s="231">
        <v>8009.45</v>
      </c>
      <c r="S104" s="231">
        <v>8070.37</v>
      </c>
      <c r="T104" s="231">
        <v>7875.9</v>
      </c>
      <c r="U104" s="231">
        <v>7875.9</v>
      </c>
      <c r="V104" s="231">
        <v>8149.37</v>
      </c>
      <c r="W104" s="231"/>
      <c r="X104" s="388">
        <f t="shared" si="49"/>
        <v>100856.48999999999</v>
      </c>
      <c r="Y104" s="389"/>
      <c r="Z104" s="233">
        <f t="shared" si="50"/>
        <v>20</v>
      </c>
      <c r="AA104" s="233">
        <f t="shared" si="51"/>
        <v>20.111103454612273</v>
      </c>
      <c r="AB104" s="233">
        <f t="shared" si="52"/>
        <v>20.499999999999996</v>
      </c>
      <c r="AC104" s="233">
        <f t="shared" si="53"/>
        <v>19.442504597361907</v>
      </c>
      <c r="AD104" s="233">
        <f t="shared" si="54"/>
        <v>19.999999999999996</v>
      </c>
      <c r="AE104" s="232">
        <f t="shared" si="55"/>
        <v>20</v>
      </c>
      <c r="AF104" s="232">
        <f t="shared" si="56"/>
        <v>19.222206943966999</v>
      </c>
      <c r="AG104" s="232">
        <f t="shared" si="57"/>
        <v>18.355563194683167</v>
      </c>
      <c r="AH104" s="233">
        <f t="shared" si="58"/>
        <v>18.444452062621416</v>
      </c>
      <c r="AI104" s="233">
        <f t="shared" si="59"/>
        <v>18</v>
      </c>
      <c r="AJ104" s="233">
        <f t="shared" si="60"/>
        <v>18</v>
      </c>
      <c r="AK104" s="233">
        <f t="shared" si="61"/>
        <v>18.625002856816362</v>
      </c>
      <c r="AL104" s="234">
        <f t="shared" si="62"/>
        <v>19.225069425838509</v>
      </c>
      <c r="AN104" s="234">
        <f t="shared" si="63"/>
        <v>221.29445011617588</v>
      </c>
      <c r="AO104" s="218" t="str">
        <f>+VLOOKUP($B104,Mapping!$C$31:$C$81,1,FALSE)</f>
        <v>FL003.0Y2W001</v>
      </c>
    </row>
    <row r="105" spans="1:41">
      <c r="A105" s="218" t="str">
        <f>$A$1&amp;"Commercial"&amp;B105</f>
        <v>PIERCE UTCCommercialFL003.0Y3W001</v>
      </c>
      <c r="B105" s="230" t="s">
        <v>232</v>
      </c>
      <c r="C105" s="230" t="s">
        <v>233</v>
      </c>
      <c r="D105" s="230" t="s">
        <v>397</v>
      </c>
      <c r="E105" s="380">
        <v>33000</v>
      </c>
      <c r="F105" s="231">
        <v>641.16</v>
      </c>
      <c r="G105" s="231">
        <v>648.83000000000004</v>
      </c>
      <c r="H105" s="231">
        <v>642.76</v>
      </c>
      <c r="I105" s="231">
        <v>644.52</v>
      </c>
      <c r="J105" s="231"/>
      <c r="K105" s="231">
        <v>2564.64</v>
      </c>
      <c r="L105" s="231">
        <v>2564.64</v>
      </c>
      <c r="M105" s="231">
        <v>2564.64</v>
      </c>
      <c r="N105" s="231">
        <v>2595.3200000000002</v>
      </c>
      <c r="O105" s="231">
        <v>2595.3200000000002</v>
      </c>
      <c r="P105" s="231">
        <v>2699.59</v>
      </c>
      <c r="Q105" s="231">
        <v>3663.73</v>
      </c>
      <c r="R105" s="231">
        <v>3856.56</v>
      </c>
      <c r="S105" s="231">
        <v>3867.12</v>
      </c>
      <c r="T105" s="231">
        <v>3867.12</v>
      </c>
      <c r="U105" s="231">
        <v>3867.12</v>
      </c>
      <c r="V105" s="231">
        <v>3867.12</v>
      </c>
      <c r="W105" s="231"/>
      <c r="X105" s="388">
        <f t="shared" si="49"/>
        <v>38572.920000000006</v>
      </c>
      <c r="Y105" s="389"/>
      <c r="Z105" s="233">
        <f t="shared" si="50"/>
        <v>4</v>
      </c>
      <c r="AA105" s="233">
        <f t="shared" si="51"/>
        <v>4</v>
      </c>
      <c r="AB105" s="233">
        <f t="shared" si="52"/>
        <v>4</v>
      </c>
      <c r="AC105" s="233">
        <f t="shared" si="53"/>
        <v>4</v>
      </c>
      <c r="AD105" s="233">
        <f t="shared" si="54"/>
        <v>4</v>
      </c>
      <c r="AE105" s="232">
        <f t="shared" si="55"/>
        <v>4.1999968884186947</v>
      </c>
      <c r="AF105" s="232">
        <f t="shared" si="56"/>
        <v>5.6999968884186947</v>
      </c>
      <c r="AG105" s="232">
        <f t="shared" si="57"/>
        <v>6</v>
      </c>
      <c r="AH105" s="233">
        <f t="shared" si="58"/>
        <v>6</v>
      </c>
      <c r="AI105" s="233">
        <f t="shared" si="59"/>
        <v>6</v>
      </c>
      <c r="AJ105" s="233">
        <f t="shared" si="60"/>
        <v>6</v>
      </c>
      <c r="AK105" s="233">
        <f t="shared" si="61"/>
        <v>6</v>
      </c>
      <c r="AL105" s="234">
        <f t="shared" si="62"/>
        <v>4.9916661480697826</v>
      </c>
      <c r="AN105" s="234">
        <f t="shared" si="63"/>
        <v>71.399993776837391</v>
      </c>
      <c r="AO105" s="218" t="str">
        <f>+VLOOKUP($B105,Mapping!$C$31:$C$81,1,FALSE)</f>
        <v>FL003.0Y3W001</v>
      </c>
    </row>
    <row r="106" spans="1:41">
      <c r="A106" s="218" t="str">
        <f>$A$1&amp;"Commercial"&amp;B106</f>
        <v>PIERCE UTCCommercialFL003.0Y4W001</v>
      </c>
      <c r="B106" s="230" t="s">
        <v>491</v>
      </c>
      <c r="C106" s="230" t="s">
        <v>762</v>
      </c>
      <c r="D106" s="230"/>
      <c r="F106" s="231">
        <v>846.97</v>
      </c>
      <c r="G106" s="231">
        <v>857.19</v>
      </c>
      <c r="H106" s="231">
        <v>849.17</v>
      </c>
      <c r="I106" s="231">
        <v>851.5</v>
      </c>
      <c r="J106" s="231"/>
      <c r="K106" s="231">
        <v>0</v>
      </c>
      <c r="L106" s="231">
        <v>0</v>
      </c>
      <c r="M106" s="231">
        <v>0</v>
      </c>
      <c r="N106" s="231">
        <v>0</v>
      </c>
      <c r="O106" s="231">
        <v>0</v>
      </c>
      <c r="P106" s="231">
        <v>0</v>
      </c>
      <c r="Q106" s="231">
        <v>0</v>
      </c>
      <c r="R106" s="231">
        <v>0</v>
      </c>
      <c r="S106" s="231">
        <v>0</v>
      </c>
      <c r="T106" s="231">
        <v>0</v>
      </c>
      <c r="U106" s="231">
        <v>0</v>
      </c>
      <c r="V106" s="231">
        <v>0</v>
      </c>
      <c r="W106" s="231"/>
      <c r="X106" s="388">
        <f t="shared" si="49"/>
        <v>0</v>
      </c>
      <c r="Y106" s="389"/>
      <c r="Z106" s="233">
        <f t="shared" si="50"/>
        <v>0</v>
      </c>
      <c r="AA106" s="233">
        <f t="shared" si="51"/>
        <v>0</v>
      </c>
      <c r="AB106" s="233">
        <f t="shared" si="52"/>
        <v>0</v>
      </c>
      <c r="AC106" s="233">
        <f t="shared" si="53"/>
        <v>0</v>
      </c>
      <c r="AD106" s="233">
        <f t="shared" si="54"/>
        <v>0</v>
      </c>
      <c r="AE106" s="232">
        <f t="shared" si="55"/>
        <v>0</v>
      </c>
      <c r="AF106" s="232">
        <f t="shared" si="56"/>
        <v>0</v>
      </c>
      <c r="AG106" s="232">
        <f t="shared" si="57"/>
        <v>0</v>
      </c>
      <c r="AH106" s="233">
        <f t="shared" si="58"/>
        <v>0</v>
      </c>
      <c r="AI106" s="233">
        <f t="shared" si="59"/>
        <v>0</v>
      </c>
      <c r="AJ106" s="233">
        <f t="shared" si="60"/>
        <v>0</v>
      </c>
      <c r="AK106" s="233">
        <f t="shared" si="61"/>
        <v>0</v>
      </c>
      <c r="AL106" s="234">
        <f t="shared" si="62"/>
        <v>0</v>
      </c>
      <c r="AN106" s="234">
        <f t="shared" si="63"/>
        <v>0</v>
      </c>
      <c r="AO106" s="218" t="e">
        <f>+VLOOKUP($B106,Mapping!$C$31:$C$81,1,FALSE)</f>
        <v>#N/A</v>
      </c>
    </row>
    <row r="107" spans="1:41">
      <c r="A107" s="218" t="str">
        <f>$A$1&amp;"Commercial"&amp;B107</f>
        <v>PIERCE UTCCommercialFL004.0Y1W001</v>
      </c>
      <c r="B107" s="230" t="s">
        <v>234</v>
      </c>
      <c r="C107" s="230" t="s">
        <v>235</v>
      </c>
      <c r="D107" s="230" t="s">
        <v>397</v>
      </c>
      <c r="E107" s="380">
        <v>33000</v>
      </c>
      <c r="F107" s="231">
        <v>302.02999999999997</v>
      </c>
      <c r="G107" s="231">
        <v>305.32</v>
      </c>
      <c r="H107" s="231">
        <v>302.48</v>
      </c>
      <c r="I107" s="231">
        <v>303.33</v>
      </c>
      <c r="J107" s="231"/>
      <c r="K107" s="231">
        <v>47796.25</v>
      </c>
      <c r="L107" s="231">
        <v>48526.15</v>
      </c>
      <c r="M107" s="231">
        <v>49381.91</v>
      </c>
      <c r="N107" s="231">
        <v>49305.760000000002</v>
      </c>
      <c r="O107" s="231">
        <v>44775.170000000006</v>
      </c>
      <c r="P107" s="231">
        <v>45568.61</v>
      </c>
      <c r="Q107" s="231">
        <v>47732.049999999996</v>
      </c>
      <c r="R107" s="231">
        <v>47383.49</v>
      </c>
      <c r="S107" s="231">
        <v>46788.65</v>
      </c>
      <c r="T107" s="231">
        <v>46864.49</v>
      </c>
      <c r="U107" s="231">
        <v>46485.33</v>
      </c>
      <c r="V107" s="231">
        <v>47395.31</v>
      </c>
      <c r="W107" s="231"/>
      <c r="X107" s="388">
        <f t="shared" si="49"/>
        <v>568003.17000000004</v>
      </c>
      <c r="Y107" s="389"/>
      <c r="Z107" s="233">
        <f t="shared" si="50"/>
        <v>158.25000827732345</v>
      </c>
      <c r="AA107" s="233">
        <f t="shared" si="51"/>
        <v>160.66665563023543</v>
      </c>
      <c r="AB107" s="233">
        <f t="shared" si="52"/>
        <v>163.50001655464692</v>
      </c>
      <c r="AC107" s="233">
        <f t="shared" si="53"/>
        <v>161.48879863749511</v>
      </c>
      <c r="AD107" s="233">
        <f t="shared" si="54"/>
        <v>146.64997379798245</v>
      </c>
      <c r="AE107" s="232">
        <f t="shared" si="55"/>
        <v>150.64999338799259</v>
      </c>
      <c r="AF107" s="232">
        <f t="shared" si="56"/>
        <v>157.80233403861411</v>
      </c>
      <c r="AG107" s="232">
        <f t="shared" si="57"/>
        <v>156.64999338799257</v>
      </c>
      <c r="AH107" s="233">
        <f t="shared" si="58"/>
        <v>154.2499917581512</v>
      </c>
      <c r="AI107" s="233">
        <f t="shared" si="59"/>
        <v>154.50001648369764</v>
      </c>
      <c r="AJ107" s="233">
        <f t="shared" si="60"/>
        <v>153.25002472554644</v>
      </c>
      <c r="AK107" s="233">
        <f t="shared" si="61"/>
        <v>156.2499917581512</v>
      </c>
      <c r="AL107" s="234">
        <f t="shared" si="62"/>
        <v>156.15898320315242</v>
      </c>
      <c r="AN107" s="234">
        <f t="shared" si="63"/>
        <v>1865.4047043043063</v>
      </c>
      <c r="AO107" s="218" t="str">
        <f>+VLOOKUP($B107,Mapping!$C$31:$C$81,1,FALSE)</f>
        <v>FL004.0Y1W001</v>
      </c>
    </row>
    <row r="108" spans="1:41">
      <c r="A108" s="218" t="str">
        <f>$A$1&amp;"Commercial"&amp;B108</f>
        <v>PIERCE UTCCommercialFL004.0Y2W001</v>
      </c>
      <c r="B108" s="230" t="s">
        <v>236</v>
      </c>
      <c r="C108" s="230" t="s">
        <v>237</v>
      </c>
      <c r="D108" s="230" t="s">
        <v>397</v>
      </c>
      <c r="E108" s="380">
        <v>33000</v>
      </c>
      <c r="F108" s="231">
        <v>578.71</v>
      </c>
      <c r="G108" s="231">
        <v>585.29999999999995</v>
      </c>
      <c r="H108" s="231">
        <v>579.86</v>
      </c>
      <c r="I108" s="231">
        <v>581.49</v>
      </c>
      <c r="J108" s="231"/>
      <c r="K108" s="231">
        <v>18840.23</v>
      </c>
      <c r="L108" s="231">
        <v>18518.72</v>
      </c>
      <c r="M108" s="231">
        <v>18422.27</v>
      </c>
      <c r="N108" s="231">
        <v>18452.05</v>
      </c>
      <c r="O108" s="231">
        <v>17363.900000000001</v>
      </c>
      <c r="P108" s="231">
        <v>17138.080000000002</v>
      </c>
      <c r="Q108" s="231">
        <v>17003.78</v>
      </c>
      <c r="R108" s="231">
        <v>19417.259999999998</v>
      </c>
      <c r="S108" s="231">
        <v>20352.150000000001</v>
      </c>
      <c r="T108" s="231">
        <v>18609.310000000001</v>
      </c>
      <c r="U108" s="231">
        <v>19512.22</v>
      </c>
      <c r="V108" s="231">
        <v>19576.830000000002</v>
      </c>
      <c r="W108" s="231"/>
      <c r="X108" s="388">
        <f t="shared" si="49"/>
        <v>223206.8</v>
      </c>
      <c r="Y108" s="389"/>
      <c r="Z108" s="233">
        <f t="shared" si="50"/>
        <v>32.555563235471993</v>
      </c>
      <c r="AA108" s="233">
        <f t="shared" si="51"/>
        <v>32</v>
      </c>
      <c r="AB108" s="233">
        <f t="shared" si="52"/>
        <v>31.833336213301997</v>
      </c>
      <c r="AC108" s="233">
        <f t="shared" si="53"/>
        <v>31.525798735691101</v>
      </c>
      <c r="AD108" s="233">
        <f t="shared" si="54"/>
        <v>29.666666666666671</v>
      </c>
      <c r="AE108" s="232">
        <f t="shared" si="55"/>
        <v>29.555547890870212</v>
      </c>
      <c r="AF108" s="232">
        <f t="shared" si="56"/>
        <v>29.323940261442413</v>
      </c>
      <c r="AG108" s="232">
        <f t="shared" si="57"/>
        <v>33.486117338667952</v>
      </c>
      <c r="AH108" s="233">
        <f t="shared" si="58"/>
        <v>35</v>
      </c>
      <c r="AI108" s="233">
        <f t="shared" si="59"/>
        <v>32.002803143648215</v>
      </c>
      <c r="AJ108" s="233">
        <f t="shared" si="60"/>
        <v>33.555555555555557</v>
      </c>
      <c r="AK108" s="233">
        <f t="shared" si="61"/>
        <v>33.666666666666671</v>
      </c>
      <c r="AL108" s="234">
        <f t="shared" si="62"/>
        <v>32.014332975665234</v>
      </c>
      <c r="AN108" s="234">
        <f t="shared" si="63"/>
        <v>394.0701659319617</v>
      </c>
      <c r="AO108" s="218" t="str">
        <f>+VLOOKUP($B108,Mapping!$C$31:$C$81,1,FALSE)</f>
        <v>FL004.0Y2W001</v>
      </c>
    </row>
    <row r="109" spans="1:41">
      <c r="A109" s="218" t="str">
        <f>$A$1&amp;"Commercial"&amp;B109</f>
        <v>PIERCE UTCCommercialFL004.0Y3W001</v>
      </c>
      <c r="B109" s="230" t="s">
        <v>238</v>
      </c>
      <c r="C109" s="230" t="s">
        <v>239</v>
      </c>
      <c r="D109" s="230" t="s">
        <v>397</v>
      </c>
      <c r="E109" s="380">
        <v>33000</v>
      </c>
      <c r="F109" s="231">
        <v>855.4</v>
      </c>
      <c r="G109" s="231">
        <v>865.27</v>
      </c>
      <c r="H109" s="231">
        <v>857.24</v>
      </c>
      <c r="I109" s="231">
        <v>859.65</v>
      </c>
      <c r="J109" s="231"/>
      <c r="K109" s="231">
        <v>9277.7999999999993</v>
      </c>
      <c r="L109" s="231">
        <v>9409.4</v>
      </c>
      <c r="M109" s="231">
        <v>9409.4</v>
      </c>
      <c r="N109" s="231">
        <v>9517.9699999999993</v>
      </c>
      <c r="O109" s="231">
        <v>8852.3799999999992</v>
      </c>
      <c r="P109" s="231">
        <v>9825.2900000000009</v>
      </c>
      <c r="Q109" s="231">
        <v>9429.64</v>
      </c>
      <c r="R109" s="231">
        <v>9552.1</v>
      </c>
      <c r="S109" s="231">
        <v>10183.540000000001</v>
      </c>
      <c r="T109" s="231">
        <v>10315.799999999999</v>
      </c>
      <c r="U109" s="231">
        <v>10910.94</v>
      </c>
      <c r="V109" s="231">
        <v>11175.45</v>
      </c>
      <c r="W109" s="231"/>
      <c r="X109" s="388">
        <f t="shared" si="49"/>
        <v>117859.71000000002</v>
      </c>
      <c r="Y109" s="389"/>
      <c r="Z109" s="233">
        <f t="shared" si="50"/>
        <v>10.846153846153845</v>
      </c>
      <c r="AA109" s="233">
        <f t="shared" si="51"/>
        <v>11</v>
      </c>
      <c r="AB109" s="233">
        <f t="shared" si="52"/>
        <v>11</v>
      </c>
      <c r="AC109" s="233">
        <f t="shared" si="53"/>
        <v>11</v>
      </c>
      <c r="AD109" s="233">
        <f t="shared" si="54"/>
        <v>10.230771897789129</v>
      </c>
      <c r="AE109" s="232">
        <f t="shared" si="55"/>
        <v>11.461539358872662</v>
      </c>
      <c r="AF109" s="232">
        <f t="shared" si="56"/>
        <v>11</v>
      </c>
      <c r="AG109" s="232">
        <f t="shared" si="57"/>
        <v>11.142853809901546</v>
      </c>
      <c r="AH109" s="233">
        <f t="shared" si="58"/>
        <v>11.846146687605422</v>
      </c>
      <c r="AI109" s="233">
        <f t="shared" si="59"/>
        <v>12</v>
      </c>
      <c r="AJ109" s="233">
        <f t="shared" si="60"/>
        <v>12.692305007852033</v>
      </c>
      <c r="AK109" s="233">
        <f t="shared" si="61"/>
        <v>13.000000000000002</v>
      </c>
      <c r="AL109" s="234">
        <f t="shared" si="62"/>
        <v>11.434980884014555</v>
      </c>
      <c r="AN109" s="234">
        <f t="shared" si="63"/>
        <v>143.36261101071801</v>
      </c>
      <c r="AO109" s="218" t="str">
        <f>+VLOOKUP($B109,Mapping!$C$31:$C$81,1,FALSE)</f>
        <v>FL004.0Y3W001</v>
      </c>
    </row>
    <row r="110" spans="1:41">
      <c r="A110" s="218" t="str">
        <f>$A$1&amp;"Commercial"&amp;B110</f>
        <v>PIERCE UTCCommercialFL004.0Y4W001</v>
      </c>
      <c r="B110" s="230" t="s">
        <v>240</v>
      </c>
      <c r="C110" s="230" t="s">
        <v>241</v>
      </c>
      <c r="D110" s="230" t="s">
        <v>397</v>
      </c>
      <c r="E110" s="380">
        <v>33000</v>
      </c>
      <c r="F110" s="231">
        <v>1132.0899999999999</v>
      </c>
      <c r="G110" s="231">
        <v>1145.25</v>
      </c>
      <c r="H110" s="231">
        <v>1134.6199999999999</v>
      </c>
      <c r="I110" s="231">
        <v>1137.81</v>
      </c>
      <c r="J110" s="231"/>
      <c r="K110" s="231">
        <v>0</v>
      </c>
      <c r="L110" s="231">
        <v>0</v>
      </c>
      <c r="M110" s="231">
        <v>0</v>
      </c>
      <c r="N110" s="231">
        <v>0</v>
      </c>
      <c r="O110" s="231">
        <v>0</v>
      </c>
      <c r="P110" s="231">
        <v>0</v>
      </c>
      <c r="Q110" s="231">
        <v>1134.6199999999999</v>
      </c>
      <c r="R110" s="231">
        <v>1134.6199999999999</v>
      </c>
      <c r="S110" s="231">
        <v>1137.81</v>
      </c>
      <c r="T110" s="231">
        <v>1137.81</v>
      </c>
      <c r="U110" s="231">
        <v>1137.81</v>
      </c>
      <c r="V110" s="231">
        <v>1137.81</v>
      </c>
      <c r="W110" s="231"/>
      <c r="X110" s="388">
        <f t="shared" si="49"/>
        <v>6820.48</v>
      </c>
      <c r="Y110" s="389"/>
      <c r="Z110" s="233">
        <f t="shared" si="50"/>
        <v>0</v>
      </c>
      <c r="AA110" s="233">
        <f t="shared" si="51"/>
        <v>0</v>
      </c>
      <c r="AB110" s="233">
        <f t="shared" si="52"/>
        <v>0</v>
      </c>
      <c r="AC110" s="233">
        <f t="shared" si="53"/>
        <v>0</v>
      </c>
      <c r="AD110" s="233">
        <f t="shared" si="54"/>
        <v>0</v>
      </c>
      <c r="AE110" s="232">
        <f t="shared" si="55"/>
        <v>0</v>
      </c>
      <c r="AF110" s="232">
        <f t="shared" si="56"/>
        <v>1</v>
      </c>
      <c r="AG110" s="232">
        <f t="shared" si="57"/>
        <v>1</v>
      </c>
      <c r="AH110" s="233">
        <f t="shared" si="58"/>
        <v>1</v>
      </c>
      <c r="AI110" s="233">
        <f t="shared" si="59"/>
        <v>1</v>
      </c>
      <c r="AJ110" s="233">
        <f t="shared" si="60"/>
        <v>1</v>
      </c>
      <c r="AK110" s="233">
        <f t="shared" si="61"/>
        <v>1</v>
      </c>
      <c r="AL110" s="234">
        <f t="shared" si="62"/>
        <v>0.5</v>
      </c>
      <c r="AN110" s="234">
        <f t="shared" si="63"/>
        <v>12</v>
      </c>
      <c r="AO110" s="218" t="str">
        <f>+VLOOKUP($B110,Mapping!$C$31:$C$81,1,FALSE)</f>
        <v>FL004.0Y4W001</v>
      </c>
    </row>
    <row r="111" spans="1:41">
      <c r="A111" s="218" t="str">
        <f>$A$1&amp;"Commercial"&amp;B111</f>
        <v>PIERCE UTCCommercialFL004.0Y5W001</v>
      </c>
      <c r="B111" s="230" t="s">
        <v>242</v>
      </c>
      <c r="C111" s="230" t="s">
        <v>243</v>
      </c>
      <c r="D111" s="230" t="s">
        <v>397</v>
      </c>
      <c r="E111" s="380">
        <v>33000</v>
      </c>
      <c r="F111" s="231">
        <v>1408.78</v>
      </c>
      <c r="G111" s="231">
        <v>1425.23</v>
      </c>
      <c r="H111" s="231">
        <v>1412</v>
      </c>
      <c r="I111" s="231">
        <v>1415.97</v>
      </c>
      <c r="J111" s="231"/>
      <c r="K111" s="231">
        <v>0</v>
      </c>
      <c r="L111" s="231">
        <v>0</v>
      </c>
      <c r="M111" s="231">
        <v>0</v>
      </c>
      <c r="N111" s="231">
        <v>0</v>
      </c>
      <c r="O111" s="231">
        <v>0</v>
      </c>
      <c r="P111" s="231">
        <v>0</v>
      </c>
      <c r="Q111" s="231">
        <v>0</v>
      </c>
      <c r="R111" s="231">
        <v>0</v>
      </c>
      <c r="S111" s="231">
        <v>0</v>
      </c>
      <c r="T111" s="231">
        <v>0</v>
      </c>
      <c r="U111" s="231">
        <v>0</v>
      </c>
      <c r="V111" s="231">
        <v>0</v>
      </c>
      <c r="W111" s="231"/>
      <c r="X111" s="388">
        <f t="shared" si="49"/>
        <v>0</v>
      </c>
      <c r="Y111" s="389"/>
      <c r="Z111" s="233">
        <f t="shared" si="50"/>
        <v>0</v>
      </c>
      <c r="AA111" s="233">
        <f t="shared" si="51"/>
        <v>0</v>
      </c>
      <c r="AB111" s="233">
        <f t="shared" si="52"/>
        <v>0</v>
      </c>
      <c r="AC111" s="233">
        <f t="shared" si="53"/>
        <v>0</v>
      </c>
      <c r="AD111" s="233">
        <f t="shared" si="54"/>
        <v>0</v>
      </c>
      <c r="AE111" s="232">
        <f t="shared" si="55"/>
        <v>0</v>
      </c>
      <c r="AF111" s="232">
        <f t="shared" si="56"/>
        <v>0</v>
      </c>
      <c r="AG111" s="232">
        <f t="shared" si="57"/>
        <v>0</v>
      </c>
      <c r="AH111" s="233">
        <f t="shared" si="58"/>
        <v>0</v>
      </c>
      <c r="AI111" s="233">
        <f t="shared" si="59"/>
        <v>0</v>
      </c>
      <c r="AJ111" s="233">
        <f t="shared" si="60"/>
        <v>0</v>
      </c>
      <c r="AK111" s="233">
        <f t="shared" si="61"/>
        <v>0</v>
      </c>
      <c r="AL111" s="234">
        <f t="shared" si="62"/>
        <v>0</v>
      </c>
      <c r="AN111" s="234">
        <f t="shared" si="63"/>
        <v>0</v>
      </c>
      <c r="AO111" s="218" t="e">
        <f>+VLOOKUP($B111,Mapping!$C$31:$C$81,1,FALSE)</f>
        <v>#N/A</v>
      </c>
    </row>
    <row r="112" spans="1:41">
      <c r="A112" s="218" t="str">
        <f>$A$1&amp;"Commercial"&amp;B112</f>
        <v>PIERCE UTCCommercialFL006.0Y1W001</v>
      </c>
      <c r="B112" s="230" t="s">
        <v>244</v>
      </c>
      <c r="C112" s="230" t="s">
        <v>245</v>
      </c>
      <c r="D112" s="230" t="s">
        <v>397</v>
      </c>
      <c r="E112" s="380">
        <v>33000</v>
      </c>
      <c r="F112" s="231">
        <v>413.59</v>
      </c>
      <c r="G112" s="231">
        <v>418.13</v>
      </c>
      <c r="H112" s="231">
        <v>414.24</v>
      </c>
      <c r="I112" s="231">
        <v>415.4</v>
      </c>
      <c r="J112" s="231"/>
      <c r="K112" s="231">
        <v>60797.73</v>
      </c>
      <c r="L112" s="231">
        <v>60466.86</v>
      </c>
      <c r="M112" s="231">
        <v>60487.54</v>
      </c>
      <c r="N112" s="231">
        <v>60038.64</v>
      </c>
      <c r="O112" s="231">
        <v>58419.86</v>
      </c>
      <c r="P112" s="231">
        <v>58097.16</v>
      </c>
      <c r="Q112" s="231">
        <v>59372.59</v>
      </c>
      <c r="R112" s="231">
        <v>60851.86</v>
      </c>
      <c r="S112" s="231">
        <v>62185.38</v>
      </c>
      <c r="T112" s="231">
        <v>61943.360000000001</v>
      </c>
      <c r="U112" s="231">
        <v>63473.120000000003</v>
      </c>
      <c r="V112" s="231">
        <v>64013.14</v>
      </c>
      <c r="W112" s="231"/>
      <c r="X112" s="388">
        <f t="shared" si="49"/>
        <v>730147.24</v>
      </c>
      <c r="Y112" s="389"/>
      <c r="Z112" s="233">
        <f t="shared" si="50"/>
        <v>147.00000000000003</v>
      </c>
      <c r="AA112" s="233">
        <f t="shared" si="51"/>
        <v>146.20000483570686</v>
      </c>
      <c r="AB112" s="233">
        <f t="shared" si="52"/>
        <v>146.25000604463358</v>
      </c>
      <c r="AC112" s="233">
        <f t="shared" si="53"/>
        <v>143.58845335182838</v>
      </c>
      <c r="AD112" s="233">
        <f t="shared" si="54"/>
        <v>139.71697797335756</v>
      </c>
      <c r="AE112" s="232">
        <f t="shared" si="55"/>
        <v>140.25</v>
      </c>
      <c r="AF112" s="232">
        <f t="shared" si="56"/>
        <v>143.32896388567013</v>
      </c>
      <c r="AG112" s="232">
        <f t="shared" si="57"/>
        <v>146.90000965623793</v>
      </c>
      <c r="AH112" s="233">
        <f t="shared" si="58"/>
        <v>149.69999999999999</v>
      </c>
      <c r="AI112" s="233">
        <f t="shared" si="59"/>
        <v>149.11738083774677</v>
      </c>
      <c r="AJ112" s="233">
        <f t="shared" si="60"/>
        <v>152.80000000000001</v>
      </c>
      <c r="AK112" s="233">
        <f t="shared" si="61"/>
        <v>154.1</v>
      </c>
      <c r="AL112" s="234">
        <f t="shared" si="62"/>
        <v>146.57931638209843</v>
      </c>
      <c r="AN112" s="234">
        <f t="shared" si="63"/>
        <v>1791.8927087593099</v>
      </c>
      <c r="AO112" s="218" t="str">
        <f>+VLOOKUP($B112,Mapping!$C$31:$C$81,1,FALSE)</f>
        <v>FL006.0Y1W001</v>
      </c>
    </row>
    <row r="113" spans="1:41">
      <c r="A113" s="218" t="str">
        <f>$A$1&amp;"Commercial"&amp;B113</f>
        <v>PIERCE UTCCommercialFL006.0Y2W001</v>
      </c>
      <c r="B113" s="230" t="s">
        <v>246</v>
      </c>
      <c r="C113" s="230" t="s">
        <v>247</v>
      </c>
      <c r="D113" s="230" t="s">
        <v>397</v>
      </c>
      <c r="E113" s="380">
        <v>33000</v>
      </c>
      <c r="F113" s="231">
        <v>795.49</v>
      </c>
      <c r="G113" s="231">
        <v>804.59</v>
      </c>
      <c r="H113" s="231">
        <v>797.1</v>
      </c>
      <c r="I113" s="231">
        <v>799.34</v>
      </c>
      <c r="J113" s="231"/>
      <c r="K113" s="231">
        <v>91870.25</v>
      </c>
      <c r="L113" s="231">
        <v>93072.33</v>
      </c>
      <c r="M113" s="231">
        <v>69903.69</v>
      </c>
      <c r="N113" s="231">
        <v>98303.1</v>
      </c>
      <c r="O113" s="231">
        <v>82135.27</v>
      </c>
      <c r="P113" s="231">
        <v>74694.92</v>
      </c>
      <c r="Q113" s="231">
        <v>76875.87</v>
      </c>
      <c r="R113" s="231">
        <v>79481.94</v>
      </c>
      <c r="S113" s="231">
        <v>81177.399999999994</v>
      </c>
      <c r="T113" s="231">
        <v>86775.02</v>
      </c>
      <c r="U113" s="231">
        <v>91568.84</v>
      </c>
      <c r="V113" s="231">
        <v>88715.65</v>
      </c>
      <c r="W113" s="231"/>
      <c r="X113" s="388">
        <f t="shared" si="49"/>
        <v>1014574.2799999999</v>
      </c>
      <c r="Y113" s="389"/>
      <c r="Z113" s="233">
        <f t="shared" si="50"/>
        <v>115.4888810670153</v>
      </c>
      <c r="AA113" s="233">
        <f t="shared" si="51"/>
        <v>117</v>
      </c>
      <c r="AB113" s="233">
        <f t="shared" si="52"/>
        <v>87.875007856792664</v>
      </c>
      <c r="AC113" s="233">
        <f t="shared" si="53"/>
        <v>122.17787941684585</v>
      </c>
      <c r="AD113" s="233">
        <f t="shared" si="54"/>
        <v>102.08338408381908</v>
      </c>
      <c r="AE113" s="232">
        <f t="shared" si="55"/>
        <v>93.708342742441346</v>
      </c>
      <c r="AF113" s="232">
        <f t="shared" si="56"/>
        <v>96.444448626270216</v>
      </c>
      <c r="AG113" s="232">
        <f t="shared" si="57"/>
        <v>99.713887843432445</v>
      </c>
      <c r="AH113" s="233">
        <f t="shared" si="58"/>
        <v>101.55553331498486</v>
      </c>
      <c r="AI113" s="233">
        <f t="shared" si="59"/>
        <v>108.55833562689219</v>
      </c>
      <c r="AJ113" s="233">
        <f t="shared" si="60"/>
        <v>114.55555833562688</v>
      </c>
      <c r="AK113" s="233">
        <f t="shared" si="61"/>
        <v>110.98612605399454</v>
      </c>
      <c r="AL113" s="234">
        <f t="shared" si="62"/>
        <v>105.8456154140096</v>
      </c>
      <c r="AN113" s="234">
        <f t="shared" si="63"/>
        <v>1263.6277796024024</v>
      </c>
      <c r="AO113" s="218" t="str">
        <f>+VLOOKUP($B113,Mapping!$C$31:$C$81,1,FALSE)</f>
        <v>FL006.0Y2W001</v>
      </c>
    </row>
    <row r="114" spans="1:41">
      <c r="A114" s="218" t="str">
        <f>$A$1&amp;"Commercial"&amp;B114</f>
        <v>PIERCE UTCCommercialFL006.0Y3W001</v>
      </c>
      <c r="B114" s="230" t="s">
        <v>248</v>
      </c>
      <c r="C114" s="230" t="s">
        <v>249</v>
      </c>
      <c r="D114" s="230" t="s">
        <v>397</v>
      </c>
      <c r="E114" s="380">
        <v>33000</v>
      </c>
      <c r="F114" s="231">
        <v>1177.4000000000001</v>
      </c>
      <c r="G114" s="231">
        <v>1191.04</v>
      </c>
      <c r="H114" s="231">
        <v>1179.96</v>
      </c>
      <c r="I114" s="231">
        <v>1183.28</v>
      </c>
      <c r="J114" s="231"/>
      <c r="K114" s="231">
        <v>67534.459999999992</v>
      </c>
      <c r="L114" s="231">
        <v>68962</v>
      </c>
      <c r="M114" s="231">
        <v>94192</v>
      </c>
      <c r="N114" s="231">
        <v>67427.070000000007</v>
      </c>
      <c r="O114" s="231">
        <v>55383.360000000001</v>
      </c>
      <c r="P114" s="231">
        <v>55064.800000000003</v>
      </c>
      <c r="Q114" s="231">
        <v>57999.59</v>
      </c>
      <c r="R114" s="231">
        <v>60177.96</v>
      </c>
      <c r="S114" s="231">
        <v>61985.68</v>
      </c>
      <c r="T114" s="231">
        <v>60068.19</v>
      </c>
      <c r="U114" s="231">
        <v>65080.4</v>
      </c>
      <c r="V114" s="231">
        <v>67244.56</v>
      </c>
      <c r="W114" s="231"/>
      <c r="X114" s="388">
        <f t="shared" si="49"/>
        <v>781120.07000000007</v>
      </c>
      <c r="Y114" s="389"/>
      <c r="Z114" s="233">
        <f t="shared" si="50"/>
        <v>57.358977407847789</v>
      </c>
      <c r="AA114" s="233">
        <f t="shared" si="51"/>
        <v>58.571428571428569</v>
      </c>
      <c r="AB114" s="233">
        <f t="shared" si="52"/>
        <v>80</v>
      </c>
      <c r="AC114" s="233">
        <f t="shared" si="53"/>
        <v>56.611927391187542</v>
      </c>
      <c r="AD114" s="233">
        <f t="shared" si="54"/>
        <v>46.5</v>
      </c>
      <c r="AE114" s="232">
        <f t="shared" si="55"/>
        <v>46.666666666666664</v>
      </c>
      <c r="AF114" s="232">
        <f t="shared" si="56"/>
        <v>49.153861147835514</v>
      </c>
      <c r="AG114" s="232">
        <f t="shared" si="57"/>
        <v>51</v>
      </c>
      <c r="AH114" s="233">
        <f t="shared" si="58"/>
        <v>52.384625785950917</v>
      </c>
      <c r="AI114" s="233">
        <f t="shared" si="59"/>
        <v>50.764138665404644</v>
      </c>
      <c r="AJ114" s="233">
        <f t="shared" si="60"/>
        <v>55</v>
      </c>
      <c r="AK114" s="233">
        <f t="shared" si="61"/>
        <v>56.828950037184775</v>
      </c>
      <c r="AL114" s="234">
        <f t="shared" si="62"/>
        <v>55.070047972792203</v>
      </c>
      <c r="AN114" s="234">
        <f t="shared" si="63"/>
        <v>630.26315127275166</v>
      </c>
      <c r="AO114" s="218" t="str">
        <f>+VLOOKUP($B114,Mapping!$C$31:$C$81,1,FALSE)</f>
        <v>FL006.0Y3W001</v>
      </c>
    </row>
    <row r="115" spans="1:41">
      <c r="A115" s="218" t="str">
        <f>$A$1&amp;"Commercial"&amp;B115</f>
        <v>PIERCE UTCCommercialFL006.0Y4W001</v>
      </c>
      <c r="B115" s="230" t="s">
        <v>250</v>
      </c>
      <c r="C115" s="230" t="s">
        <v>251</v>
      </c>
      <c r="D115" s="230" t="s">
        <v>397</v>
      </c>
      <c r="E115" s="380">
        <v>33000</v>
      </c>
      <c r="F115" s="231">
        <v>1559.3</v>
      </c>
      <c r="G115" s="231">
        <v>1577.49</v>
      </c>
      <c r="H115" s="231">
        <v>1562.81</v>
      </c>
      <c r="I115" s="231">
        <v>1567.22</v>
      </c>
      <c r="J115" s="231"/>
      <c r="K115" s="231">
        <v>4677.8999999999996</v>
      </c>
      <c r="L115" s="231">
        <v>4677.8999999999996</v>
      </c>
      <c r="M115" s="231">
        <v>4677.8999999999996</v>
      </c>
      <c r="N115" s="231">
        <v>4732.47</v>
      </c>
      <c r="O115" s="231">
        <v>3154.98</v>
      </c>
      <c r="P115" s="231">
        <v>3125.62</v>
      </c>
      <c r="Q115" s="231">
        <v>3125.62</v>
      </c>
      <c r="R115" s="231">
        <v>3125.62</v>
      </c>
      <c r="S115" s="231">
        <v>3134.44</v>
      </c>
      <c r="T115" s="231">
        <v>5439.2</v>
      </c>
      <c r="U115" s="231">
        <v>1567.22</v>
      </c>
      <c r="V115" s="231">
        <v>1567.22</v>
      </c>
      <c r="W115" s="231"/>
      <c r="X115" s="388">
        <f t="shared" si="49"/>
        <v>43006.09</v>
      </c>
      <c r="Y115" s="389"/>
      <c r="Z115" s="233">
        <f t="shared" si="50"/>
        <v>3</v>
      </c>
      <c r="AA115" s="233">
        <f t="shared" si="51"/>
        <v>3</v>
      </c>
      <c r="AB115" s="233">
        <f t="shared" si="52"/>
        <v>3</v>
      </c>
      <c r="AC115" s="233">
        <f t="shared" si="53"/>
        <v>3</v>
      </c>
      <c r="AD115" s="233">
        <f t="shared" si="54"/>
        <v>2</v>
      </c>
      <c r="AE115" s="232">
        <f t="shared" si="55"/>
        <v>2</v>
      </c>
      <c r="AF115" s="232">
        <f t="shared" si="56"/>
        <v>2</v>
      </c>
      <c r="AG115" s="232">
        <f t="shared" si="57"/>
        <v>2</v>
      </c>
      <c r="AH115" s="233">
        <f t="shared" si="58"/>
        <v>2</v>
      </c>
      <c r="AI115" s="233">
        <f t="shared" si="59"/>
        <v>3.4706039994384961</v>
      </c>
      <c r="AJ115" s="233">
        <f t="shared" si="60"/>
        <v>1</v>
      </c>
      <c r="AK115" s="233">
        <f t="shared" si="61"/>
        <v>1</v>
      </c>
      <c r="AL115" s="234">
        <f t="shared" si="62"/>
        <v>2.2892169999532079</v>
      </c>
      <c r="AN115" s="234">
        <f t="shared" si="63"/>
        <v>22.94120799887699</v>
      </c>
      <c r="AO115" s="218" t="str">
        <f>+VLOOKUP($B115,Mapping!$C$31:$C$81,1,FALSE)</f>
        <v>FL006.0Y4W001</v>
      </c>
    </row>
    <row r="116" spans="1:41">
      <c r="A116" s="218" t="str">
        <f>$A$1&amp;"Commercial"&amp;B116</f>
        <v>PIERCE UTCCommercialFL002.0Y1W001CMP</v>
      </c>
      <c r="B116" s="230" t="s">
        <v>252</v>
      </c>
      <c r="C116" s="230" t="s">
        <v>253</v>
      </c>
      <c r="D116" s="230" t="s">
        <v>397</v>
      </c>
      <c r="E116" s="380">
        <v>33000</v>
      </c>
      <c r="F116" s="231">
        <v>446.9</v>
      </c>
      <c r="G116" s="231">
        <v>452.14</v>
      </c>
      <c r="H116" s="231">
        <v>447.94</v>
      </c>
      <c r="I116" s="231">
        <v>449.19</v>
      </c>
      <c r="J116" s="231"/>
      <c r="K116" s="231">
        <v>446.9</v>
      </c>
      <c r="L116" s="231">
        <v>446.9</v>
      </c>
      <c r="M116" s="231">
        <v>446.9</v>
      </c>
      <c r="N116" s="231">
        <v>452.14</v>
      </c>
      <c r="O116" s="231">
        <v>452.14</v>
      </c>
      <c r="P116" s="231">
        <v>447.94</v>
      </c>
      <c r="Q116" s="231">
        <v>447.94</v>
      </c>
      <c r="R116" s="231">
        <v>447.94</v>
      </c>
      <c r="S116" s="231">
        <v>449.19</v>
      </c>
      <c r="T116" s="231">
        <v>449.19</v>
      </c>
      <c r="U116" s="231">
        <v>449.19</v>
      </c>
      <c r="V116" s="231">
        <v>449.19</v>
      </c>
      <c r="W116" s="231"/>
      <c r="X116" s="388">
        <f t="shared" si="49"/>
        <v>5385.5599999999986</v>
      </c>
      <c r="Y116" s="389"/>
      <c r="Z116" s="233">
        <f t="shared" si="50"/>
        <v>1</v>
      </c>
      <c r="AA116" s="233">
        <f t="shared" si="51"/>
        <v>1</v>
      </c>
      <c r="AB116" s="233">
        <f t="shared" si="52"/>
        <v>1</v>
      </c>
      <c r="AC116" s="233">
        <f t="shared" si="53"/>
        <v>1</v>
      </c>
      <c r="AD116" s="233">
        <f t="shared" si="54"/>
        <v>1</v>
      </c>
      <c r="AE116" s="232">
        <f t="shared" si="55"/>
        <v>1</v>
      </c>
      <c r="AF116" s="232">
        <f t="shared" si="56"/>
        <v>1</v>
      </c>
      <c r="AG116" s="232">
        <f t="shared" si="57"/>
        <v>1</v>
      </c>
      <c r="AH116" s="233">
        <f t="shared" si="58"/>
        <v>1</v>
      </c>
      <c r="AI116" s="233">
        <f t="shared" si="59"/>
        <v>1</v>
      </c>
      <c r="AJ116" s="233">
        <f t="shared" si="60"/>
        <v>1</v>
      </c>
      <c r="AK116" s="233">
        <f t="shared" si="61"/>
        <v>1</v>
      </c>
      <c r="AL116" s="234">
        <f t="shared" si="62"/>
        <v>1</v>
      </c>
      <c r="AN116" s="234">
        <f t="shared" si="63"/>
        <v>12</v>
      </c>
      <c r="AO116" s="218" t="str">
        <f>+VLOOKUP($B116,Mapping!$C$31:$C$81,1,FALSE)</f>
        <v>FL002.0Y1W001CMP</v>
      </c>
    </row>
    <row r="117" spans="1:41">
      <c r="A117" s="218" t="str">
        <f>$A$1&amp;"Commercial"&amp;B117</f>
        <v>PIERCE UTCCommercialFL003.0Y2W001CMP</v>
      </c>
      <c r="B117" s="230" t="s">
        <v>254</v>
      </c>
      <c r="C117" s="230" t="s">
        <v>255</v>
      </c>
      <c r="D117" s="230" t="s">
        <v>397</v>
      </c>
      <c r="E117" s="380">
        <v>33000</v>
      </c>
      <c r="F117" s="231">
        <v>1255.53</v>
      </c>
      <c r="G117" s="231">
        <v>1270.8599999999999</v>
      </c>
      <c r="H117" s="231">
        <v>1258.99</v>
      </c>
      <c r="I117" s="231">
        <v>1262.45</v>
      </c>
      <c r="J117" s="231"/>
      <c r="K117" s="231">
        <v>1255.53</v>
      </c>
      <c r="L117" s="231">
        <v>1255.53</v>
      </c>
      <c r="M117" s="231">
        <v>1255.53</v>
      </c>
      <c r="N117" s="231">
        <v>1270.8599999999999</v>
      </c>
      <c r="O117" s="231">
        <v>1270.8599999999999</v>
      </c>
      <c r="P117" s="231">
        <v>1258.99</v>
      </c>
      <c r="Q117" s="231">
        <v>1258.99</v>
      </c>
      <c r="R117" s="231">
        <v>1258.99</v>
      </c>
      <c r="S117" s="231">
        <v>1262.45</v>
      </c>
      <c r="T117" s="231">
        <v>1262.45</v>
      </c>
      <c r="U117" s="231">
        <v>1262.45</v>
      </c>
      <c r="V117" s="231">
        <v>1262.45</v>
      </c>
      <c r="W117" s="231"/>
      <c r="X117" s="388">
        <f t="shared" si="49"/>
        <v>15135.080000000002</v>
      </c>
      <c r="Y117" s="389"/>
      <c r="Z117" s="233">
        <f t="shared" si="50"/>
        <v>1</v>
      </c>
      <c r="AA117" s="233">
        <f t="shared" si="51"/>
        <v>1</v>
      </c>
      <c r="AB117" s="233">
        <f t="shared" si="52"/>
        <v>1</v>
      </c>
      <c r="AC117" s="233">
        <f t="shared" si="53"/>
        <v>1</v>
      </c>
      <c r="AD117" s="233">
        <f t="shared" si="54"/>
        <v>1</v>
      </c>
      <c r="AE117" s="232">
        <f t="shared" si="55"/>
        <v>1</v>
      </c>
      <c r="AF117" s="232">
        <f t="shared" si="56"/>
        <v>1</v>
      </c>
      <c r="AG117" s="232">
        <f t="shared" si="57"/>
        <v>1</v>
      </c>
      <c r="AH117" s="233">
        <f t="shared" si="58"/>
        <v>1</v>
      </c>
      <c r="AI117" s="233">
        <f t="shared" si="59"/>
        <v>1</v>
      </c>
      <c r="AJ117" s="233">
        <f t="shared" si="60"/>
        <v>1</v>
      </c>
      <c r="AK117" s="233">
        <f t="shared" si="61"/>
        <v>1</v>
      </c>
      <c r="AL117" s="234">
        <f t="shared" si="62"/>
        <v>1</v>
      </c>
      <c r="AN117" s="234">
        <f t="shared" si="63"/>
        <v>12</v>
      </c>
      <c r="AO117" s="218" t="str">
        <f>+VLOOKUP($B117,Mapping!$C$31:$C$81,1,FALSE)</f>
        <v>FL003.0Y2W001CMP</v>
      </c>
    </row>
    <row r="118" spans="1:41">
      <c r="A118" s="218" t="str">
        <f>$A$1&amp;"Commercial"&amp;B118</f>
        <v>PIERCE UTCCommercialFL004.0Y1W001CMP</v>
      </c>
      <c r="B118" s="230" t="s">
        <v>256</v>
      </c>
      <c r="C118" s="230" t="s">
        <v>257</v>
      </c>
      <c r="D118" s="230" t="s">
        <v>397</v>
      </c>
      <c r="E118" s="380">
        <v>33000</v>
      </c>
      <c r="F118" s="231">
        <v>826.99</v>
      </c>
      <c r="G118" s="231">
        <v>836.9</v>
      </c>
      <c r="H118" s="231">
        <v>829.11</v>
      </c>
      <c r="I118" s="231">
        <v>831.4</v>
      </c>
      <c r="J118" s="231"/>
      <c r="K118" s="231">
        <v>1653.98</v>
      </c>
      <c r="L118" s="231">
        <v>1488.58</v>
      </c>
      <c r="M118" s="231">
        <v>826.99</v>
      </c>
      <c r="N118" s="231">
        <v>836.9</v>
      </c>
      <c r="O118" s="231">
        <v>836.9</v>
      </c>
      <c r="P118" s="231">
        <v>829.11</v>
      </c>
      <c r="Q118" s="231">
        <v>829.11</v>
      </c>
      <c r="R118" s="231">
        <v>829.11</v>
      </c>
      <c r="S118" s="231">
        <v>831.4</v>
      </c>
      <c r="T118" s="231">
        <v>831.4</v>
      </c>
      <c r="U118" s="231">
        <v>831.4</v>
      </c>
      <c r="V118" s="231">
        <v>831.4</v>
      </c>
      <c r="W118" s="231"/>
      <c r="X118" s="388">
        <f t="shared" si="49"/>
        <v>11456.279999999997</v>
      </c>
      <c r="Y118" s="389"/>
      <c r="Z118" s="233">
        <f t="shared" si="50"/>
        <v>2</v>
      </c>
      <c r="AA118" s="233">
        <f t="shared" si="51"/>
        <v>1.7999975815910711</v>
      </c>
      <c r="AB118" s="233">
        <f t="shared" si="52"/>
        <v>1</v>
      </c>
      <c r="AC118" s="233">
        <f t="shared" si="53"/>
        <v>1</v>
      </c>
      <c r="AD118" s="233">
        <f t="shared" si="54"/>
        <v>1</v>
      </c>
      <c r="AE118" s="232">
        <f t="shared" si="55"/>
        <v>1</v>
      </c>
      <c r="AF118" s="232">
        <f t="shared" si="56"/>
        <v>1</v>
      </c>
      <c r="AG118" s="232">
        <f t="shared" si="57"/>
        <v>1</v>
      </c>
      <c r="AH118" s="233">
        <f t="shared" si="58"/>
        <v>1</v>
      </c>
      <c r="AI118" s="233">
        <f t="shared" si="59"/>
        <v>1</v>
      </c>
      <c r="AJ118" s="233">
        <f t="shared" si="60"/>
        <v>1</v>
      </c>
      <c r="AK118" s="233">
        <f t="shared" si="61"/>
        <v>1</v>
      </c>
      <c r="AL118" s="234">
        <f t="shared" si="62"/>
        <v>1.1499997984659227</v>
      </c>
      <c r="AN118" s="234">
        <f t="shared" si="63"/>
        <v>12</v>
      </c>
      <c r="AO118" s="218" t="str">
        <f>+VLOOKUP($B118,Mapping!$C$31:$C$81,1,FALSE)</f>
        <v>FL004.0Y1W001CMP</v>
      </c>
    </row>
    <row r="119" spans="1:41">
      <c r="A119" s="218" t="str">
        <f>$A$1&amp;"Commercial"&amp;B119</f>
        <v>PIERCE UTCCommercialFL004.0Y2W001CMP</v>
      </c>
      <c r="B119" s="230" t="s">
        <v>258</v>
      </c>
      <c r="C119" s="230" t="s">
        <v>259</v>
      </c>
      <c r="D119" s="230" t="s">
        <v>397</v>
      </c>
      <c r="E119" s="380">
        <v>33000</v>
      </c>
      <c r="F119" s="231">
        <v>1653.97</v>
      </c>
      <c r="G119" s="231">
        <v>1673.8</v>
      </c>
      <c r="H119" s="231">
        <v>1658.22</v>
      </c>
      <c r="I119" s="231">
        <v>1662.81</v>
      </c>
      <c r="J119" s="231"/>
      <c r="K119" s="231">
        <v>3307.94</v>
      </c>
      <c r="L119" s="231">
        <v>3307.94</v>
      </c>
      <c r="M119" s="231">
        <v>3307.94</v>
      </c>
      <c r="N119" s="231">
        <v>3347.6</v>
      </c>
      <c r="O119" s="231">
        <v>3347.6</v>
      </c>
      <c r="P119" s="231">
        <v>3316.44</v>
      </c>
      <c r="Q119" s="231">
        <v>3316.44</v>
      </c>
      <c r="R119" s="231">
        <v>3316.44</v>
      </c>
      <c r="S119" s="231">
        <v>3325.62</v>
      </c>
      <c r="T119" s="231">
        <v>3325.62</v>
      </c>
      <c r="U119" s="231">
        <v>3325.62</v>
      </c>
      <c r="V119" s="231">
        <v>3325.62</v>
      </c>
      <c r="W119" s="231"/>
      <c r="X119" s="388">
        <f t="shared" si="49"/>
        <v>39870.82</v>
      </c>
      <c r="Y119" s="389"/>
      <c r="Z119" s="233">
        <f t="shared" si="50"/>
        <v>2</v>
      </c>
      <c r="AA119" s="233">
        <f t="shared" si="51"/>
        <v>2</v>
      </c>
      <c r="AB119" s="233">
        <f t="shared" si="52"/>
        <v>2</v>
      </c>
      <c r="AC119" s="233">
        <f t="shared" si="53"/>
        <v>2</v>
      </c>
      <c r="AD119" s="233">
        <f t="shared" si="54"/>
        <v>2</v>
      </c>
      <c r="AE119" s="232">
        <f t="shared" si="55"/>
        <v>2</v>
      </c>
      <c r="AF119" s="232">
        <f t="shared" si="56"/>
        <v>2</v>
      </c>
      <c r="AG119" s="232">
        <f t="shared" si="57"/>
        <v>2</v>
      </c>
      <c r="AH119" s="233">
        <f t="shared" si="58"/>
        <v>2</v>
      </c>
      <c r="AI119" s="233">
        <f t="shared" si="59"/>
        <v>2</v>
      </c>
      <c r="AJ119" s="233">
        <f t="shared" si="60"/>
        <v>2</v>
      </c>
      <c r="AK119" s="233">
        <f t="shared" si="61"/>
        <v>2</v>
      </c>
      <c r="AL119" s="234">
        <f t="shared" si="62"/>
        <v>2</v>
      </c>
      <c r="AN119" s="234">
        <f t="shared" si="63"/>
        <v>24</v>
      </c>
      <c r="AO119" s="218" t="str">
        <f>+VLOOKUP($B119,Mapping!$C$31:$C$81,1,FALSE)</f>
        <v>FL004.0Y2W001CMP</v>
      </c>
    </row>
    <row r="120" spans="1:41">
      <c r="A120" s="218" t="str">
        <f>$A$1&amp;"Commercial"&amp;B120</f>
        <v>PIERCE UTCCommercialFL006.0Y2W001CMP</v>
      </c>
      <c r="B120" s="230" t="s">
        <v>492</v>
      </c>
      <c r="C120" s="230" t="s">
        <v>665</v>
      </c>
      <c r="D120" s="230"/>
      <c r="F120" s="231">
        <v>2270.13</v>
      </c>
      <c r="G120" s="231">
        <v>2297.3200000000002</v>
      </c>
      <c r="H120" s="231">
        <v>2275.85</v>
      </c>
      <c r="I120" s="231">
        <v>2282.17</v>
      </c>
      <c r="J120" s="231"/>
      <c r="K120" s="231">
        <v>2270.13</v>
      </c>
      <c r="L120" s="231">
        <v>2270.13</v>
      </c>
      <c r="M120" s="231">
        <v>2270.13</v>
      </c>
      <c r="N120" s="231">
        <v>2297.3200000000002</v>
      </c>
      <c r="O120" s="231">
        <v>2297.3200000000002</v>
      </c>
      <c r="P120" s="231">
        <v>2275.85</v>
      </c>
      <c r="Q120" s="231">
        <v>2275.85</v>
      </c>
      <c r="R120" s="231">
        <v>2275.85</v>
      </c>
      <c r="S120" s="231">
        <v>2282.17</v>
      </c>
      <c r="T120" s="231">
        <v>2282.17</v>
      </c>
      <c r="U120" s="231">
        <v>2282.17</v>
      </c>
      <c r="V120" s="231">
        <v>2282.17</v>
      </c>
      <c r="W120" s="231"/>
      <c r="X120" s="388">
        <f t="shared" si="49"/>
        <v>27361.259999999995</v>
      </c>
      <c r="Y120" s="389"/>
      <c r="Z120" s="233">
        <f t="shared" si="50"/>
        <v>1</v>
      </c>
      <c r="AA120" s="233">
        <f t="shared" si="51"/>
        <v>1</v>
      </c>
      <c r="AB120" s="233">
        <f t="shared" si="52"/>
        <v>1</v>
      </c>
      <c r="AC120" s="233">
        <f t="shared" si="53"/>
        <v>1</v>
      </c>
      <c r="AD120" s="233">
        <f t="shared" si="54"/>
        <v>1</v>
      </c>
      <c r="AE120" s="232">
        <f t="shared" si="55"/>
        <v>1</v>
      </c>
      <c r="AF120" s="232">
        <f t="shared" si="56"/>
        <v>1</v>
      </c>
      <c r="AG120" s="232">
        <f t="shared" si="57"/>
        <v>1</v>
      </c>
      <c r="AH120" s="233">
        <f t="shared" si="58"/>
        <v>1</v>
      </c>
      <c r="AI120" s="233">
        <f t="shared" si="59"/>
        <v>1</v>
      </c>
      <c r="AJ120" s="233">
        <f t="shared" si="60"/>
        <v>1</v>
      </c>
      <c r="AK120" s="233">
        <f t="shared" si="61"/>
        <v>1</v>
      </c>
      <c r="AL120" s="234">
        <f t="shared" si="62"/>
        <v>1</v>
      </c>
      <c r="AN120" s="234">
        <f t="shared" si="63"/>
        <v>12</v>
      </c>
      <c r="AO120" s="218" t="str">
        <f>+VLOOKUP($B120,Mapping!$C$31:$C$81,1,FALSE)</f>
        <v>FL006.0Y2W001CMP</v>
      </c>
    </row>
    <row r="121" spans="1:41">
      <c r="A121" s="218" t="str">
        <f>$A$1&amp;"Commercial"&amp;B121</f>
        <v>PIERCE UTCCommercialRL032.0G1W001NORECC</v>
      </c>
      <c r="B121" s="230" t="s">
        <v>260</v>
      </c>
      <c r="C121" s="230" t="s">
        <v>261</v>
      </c>
      <c r="D121" s="230" t="s">
        <v>397</v>
      </c>
      <c r="E121" s="380">
        <v>33000</v>
      </c>
      <c r="F121" s="231">
        <v>17.809999999999999</v>
      </c>
      <c r="G121" s="231">
        <v>17.97</v>
      </c>
      <c r="H121" s="231">
        <v>0</v>
      </c>
      <c r="I121" s="231">
        <v>0</v>
      </c>
      <c r="J121" s="231"/>
      <c r="K121" s="231">
        <v>35.619999999999997</v>
      </c>
      <c r="L121" s="231">
        <v>35.619999999999997</v>
      </c>
      <c r="M121" s="231">
        <v>35.619999999999997</v>
      </c>
      <c r="N121" s="231">
        <v>35.94</v>
      </c>
      <c r="O121" s="231">
        <v>0</v>
      </c>
      <c r="P121" s="231">
        <v>0</v>
      </c>
      <c r="Q121" s="231">
        <v>0</v>
      </c>
      <c r="R121" s="231">
        <v>0</v>
      </c>
      <c r="S121" s="231">
        <v>0</v>
      </c>
      <c r="T121" s="231">
        <v>0</v>
      </c>
      <c r="U121" s="231">
        <v>0</v>
      </c>
      <c r="V121" s="231">
        <v>0</v>
      </c>
      <c r="W121" s="231"/>
      <c r="X121" s="388">
        <f t="shared" si="49"/>
        <v>142.79999999999998</v>
      </c>
      <c r="Y121" s="389"/>
      <c r="Z121" s="233">
        <f t="shared" si="50"/>
        <v>2</v>
      </c>
      <c r="AA121" s="233">
        <f t="shared" si="51"/>
        <v>2</v>
      </c>
      <c r="AB121" s="233">
        <f t="shared" si="52"/>
        <v>2</v>
      </c>
      <c r="AC121" s="233">
        <f t="shared" si="53"/>
        <v>2</v>
      </c>
      <c r="AD121" s="233">
        <f t="shared" si="54"/>
        <v>0</v>
      </c>
      <c r="AE121" s="232">
        <f t="shared" si="55"/>
        <v>0</v>
      </c>
      <c r="AF121" s="232">
        <f t="shared" si="56"/>
        <v>0</v>
      </c>
      <c r="AG121" s="232">
        <f t="shared" si="57"/>
        <v>0</v>
      </c>
      <c r="AH121" s="233">
        <f t="shared" si="58"/>
        <v>0</v>
      </c>
      <c r="AI121" s="233">
        <f t="shared" si="59"/>
        <v>0</v>
      </c>
      <c r="AJ121" s="233">
        <f t="shared" si="60"/>
        <v>0</v>
      </c>
      <c r="AK121" s="233">
        <f t="shared" si="61"/>
        <v>0</v>
      </c>
      <c r="AL121" s="234">
        <f t="shared" si="62"/>
        <v>0.66666666666666663</v>
      </c>
      <c r="AN121" s="234">
        <f t="shared" si="63"/>
        <v>0</v>
      </c>
      <c r="AO121" s="218" t="e">
        <f>+VLOOKUP($B121,Mapping!$C$31:$C$81,1,FALSE)</f>
        <v>#N/A</v>
      </c>
    </row>
    <row r="122" spans="1:41">
      <c r="A122" s="218" t="str">
        <f>$A$1&amp;"Commercial"&amp;B122</f>
        <v>PIERCE UTCCommercialRL032.0G1W001WRECC</v>
      </c>
      <c r="B122" s="230" t="s">
        <v>262</v>
      </c>
      <c r="C122" s="230" t="s">
        <v>263</v>
      </c>
      <c r="D122" s="230" t="s">
        <v>397</v>
      </c>
      <c r="E122" s="380">
        <v>33000</v>
      </c>
      <c r="F122" s="231">
        <v>17.809999999999999</v>
      </c>
      <c r="G122" s="231">
        <v>17.97</v>
      </c>
      <c r="H122" s="231">
        <v>0</v>
      </c>
      <c r="I122" s="231">
        <v>0</v>
      </c>
      <c r="J122" s="231"/>
      <c r="K122" s="231">
        <v>6643.13</v>
      </c>
      <c r="L122" s="231">
        <v>5681.39</v>
      </c>
      <c r="M122" s="231">
        <v>3740.1</v>
      </c>
      <c r="N122" s="231">
        <v>3692.88</v>
      </c>
      <c r="O122" s="231">
        <v>0</v>
      </c>
      <c r="P122" s="231">
        <v>0</v>
      </c>
      <c r="Q122" s="231">
        <v>0</v>
      </c>
      <c r="R122" s="231">
        <v>0</v>
      </c>
      <c r="S122" s="231">
        <v>0</v>
      </c>
      <c r="T122" s="231">
        <v>0</v>
      </c>
      <c r="U122" s="231">
        <v>0</v>
      </c>
      <c r="V122" s="231">
        <v>0</v>
      </c>
      <c r="W122" s="231"/>
      <c r="X122" s="388">
        <f t="shared" si="49"/>
        <v>19757.5</v>
      </c>
      <c r="Y122" s="389"/>
      <c r="Z122" s="233">
        <f t="shared" si="50"/>
        <v>373.00000000000006</v>
      </c>
      <c r="AA122" s="233">
        <f t="shared" si="51"/>
        <v>319.00000000000006</v>
      </c>
      <c r="AB122" s="233">
        <f t="shared" si="52"/>
        <v>210</v>
      </c>
      <c r="AC122" s="233">
        <f t="shared" si="53"/>
        <v>205.50250417362273</v>
      </c>
      <c r="AD122" s="233">
        <f t="shared" si="54"/>
        <v>0</v>
      </c>
      <c r="AE122" s="232">
        <f t="shared" si="55"/>
        <v>0</v>
      </c>
      <c r="AF122" s="232">
        <f t="shared" si="56"/>
        <v>0</v>
      </c>
      <c r="AG122" s="232">
        <f t="shared" si="57"/>
        <v>0</v>
      </c>
      <c r="AH122" s="233">
        <f t="shared" si="58"/>
        <v>0</v>
      </c>
      <c r="AI122" s="233">
        <f t="shared" si="59"/>
        <v>0</v>
      </c>
      <c r="AJ122" s="233">
        <f t="shared" si="60"/>
        <v>0</v>
      </c>
      <c r="AK122" s="233">
        <f t="shared" si="61"/>
        <v>0</v>
      </c>
      <c r="AL122" s="234">
        <f t="shared" si="62"/>
        <v>92.291875347801906</v>
      </c>
      <c r="AN122" s="234">
        <f t="shared" si="63"/>
        <v>0</v>
      </c>
      <c r="AO122" s="218" t="e">
        <f>+VLOOKUP($B122,Mapping!$C$31:$C$81,1,FALSE)</f>
        <v>#N/A</v>
      </c>
    </row>
    <row r="123" spans="1:41">
      <c r="A123" s="218" t="str">
        <f>$A$1&amp;"Commercial"&amp;B123</f>
        <v>PIERCE UTCCommercialRL032.0G1W002NORECC</v>
      </c>
      <c r="B123" s="230" t="s">
        <v>264</v>
      </c>
      <c r="C123" s="230" t="s">
        <v>261</v>
      </c>
      <c r="D123" s="230" t="s">
        <v>397</v>
      </c>
      <c r="E123" s="380">
        <v>33000</v>
      </c>
      <c r="F123" s="231">
        <v>28.92</v>
      </c>
      <c r="G123" s="231">
        <v>29.27</v>
      </c>
      <c r="H123" s="231">
        <v>0</v>
      </c>
      <c r="I123" s="231">
        <v>0</v>
      </c>
      <c r="J123" s="231"/>
      <c r="K123" s="231">
        <v>115.68</v>
      </c>
      <c r="L123" s="231">
        <v>115.68</v>
      </c>
      <c r="M123" s="231">
        <v>115.68</v>
      </c>
      <c r="N123" s="231">
        <v>117.08</v>
      </c>
      <c r="O123" s="231">
        <v>29.27</v>
      </c>
      <c r="P123" s="231">
        <v>0</v>
      </c>
      <c r="Q123" s="231">
        <v>0</v>
      </c>
      <c r="R123" s="231">
        <v>0</v>
      </c>
      <c r="S123" s="231">
        <v>0</v>
      </c>
      <c r="T123" s="231">
        <v>0</v>
      </c>
      <c r="U123" s="231">
        <v>0</v>
      </c>
      <c r="V123" s="231">
        <v>0</v>
      </c>
      <c r="W123" s="231"/>
      <c r="X123" s="388">
        <f t="shared" si="49"/>
        <v>493.39</v>
      </c>
      <c r="Y123" s="389"/>
      <c r="Z123" s="233">
        <f t="shared" si="50"/>
        <v>4</v>
      </c>
      <c r="AA123" s="233">
        <f t="shared" si="51"/>
        <v>4</v>
      </c>
      <c r="AB123" s="233">
        <f t="shared" si="52"/>
        <v>4</v>
      </c>
      <c r="AC123" s="233">
        <f t="shared" si="53"/>
        <v>4</v>
      </c>
      <c r="AD123" s="233">
        <f t="shared" si="54"/>
        <v>1</v>
      </c>
      <c r="AE123" s="232">
        <f t="shared" si="55"/>
        <v>0</v>
      </c>
      <c r="AF123" s="232">
        <f t="shared" si="56"/>
        <v>0</v>
      </c>
      <c r="AG123" s="232">
        <f t="shared" si="57"/>
        <v>0</v>
      </c>
      <c r="AH123" s="233">
        <f t="shared" si="58"/>
        <v>0</v>
      </c>
      <c r="AI123" s="233">
        <f t="shared" si="59"/>
        <v>0</v>
      </c>
      <c r="AJ123" s="233">
        <f t="shared" si="60"/>
        <v>0</v>
      </c>
      <c r="AK123" s="233">
        <f t="shared" si="61"/>
        <v>0</v>
      </c>
      <c r="AL123" s="234">
        <f t="shared" si="62"/>
        <v>1.4166666666666667</v>
      </c>
      <c r="AN123" s="234">
        <f t="shared" si="63"/>
        <v>0</v>
      </c>
      <c r="AO123" s="218" t="e">
        <f>+VLOOKUP($B123,Mapping!$C$31:$C$81,1,FALSE)</f>
        <v>#N/A</v>
      </c>
    </row>
    <row r="124" spans="1:41">
      <c r="A124" s="218" t="str">
        <f>$A$1&amp;"Commercial"&amp;B124</f>
        <v>PIERCE UTCCommercialRL032.0G1W002WRECC</v>
      </c>
      <c r="B124" s="230" t="s">
        <v>265</v>
      </c>
      <c r="C124" s="230" t="s">
        <v>266</v>
      </c>
      <c r="D124" s="230" t="s">
        <v>397</v>
      </c>
      <c r="E124" s="380">
        <v>33000</v>
      </c>
      <c r="F124" s="231">
        <v>28.92</v>
      </c>
      <c r="G124" s="231">
        <v>29.27</v>
      </c>
      <c r="H124" s="231">
        <v>0</v>
      </c>
      <c r="I124" s="231">
        <v>0</v>
      </c>
      <c r="J124" s="231"/>
      <c r="K124" s="231">
        <v>86.76</v>
      </c>
      <c r="L124" s="231">
        <v>86.76</v>
      </c>
      <c r="M124" s="231">
        <v>86.76</v>
      </c>
      <c r="N124" s="231">
        <v>87.81</v>
      </c>
      <c r="O124" s="231">
        <v>39.51</v>
      </c>
      <c r="P124" s="231">
        <v>0</v>
      </c>
      <c r="Q124" s="231">
        <v>0</v>
      </c>
      <c r="R124" s="231">
        <v>0</v>
      </c>
      <c r="S124" s="231">
        <v>0</v>
      </c>
      <c r="T124" s="231">
        <v>0</v>
      </c>
      <c r="U124" s="231">
        <v>0</v>
      </c>
      <c r="V124" s="231">
        <v>0</v>
      </c>
      <c r="W124" s="231"/>
      <c r="X124" s="388">
        <f t="shared" si="49"/>
        <v>387.6</v>
      </c>
      <c r="Y124" s="389"/>
      <c r="Z124" s="233">
        <f t="shared" si="50"/>
        <v>3</v>
      </c>
      <c r="AA124" s="233">
        <f t="shared" si="51"/>
        <v>3</v>
      </c>
      <c r="AB124" s="233">
        <f t="shared" si="52"/>
        <v>3</v>
      </c>
      <c r="AC124" s="233">
        <f t="shared" si="53"/>
        <v>3</v>
      </c>
      <c r="AD124" s="233">
        <f t="shared" si="54"/>
        <v>1.3498462589682267</v>
      </c>
      <c r="AE124" s="232">
        <f t="shared" si="55"/>
        <v>0</v>
      </c>
      <c r="AF124" s="232">
        <f t="shared" si="56"/>
        <v>0</v>
      </c>
      <c r="AG124" s="232">
        <f t="shared" si="57"/>
        <v>0</v>
      </c>
      <c r="AH124" s="233">
        <f t="shared" si="58"/>
        <v>0</v>
      </c>
      <c r="AI124" s="233">
        <f t="shared" si="59"/>
        <v>0</v>
      </c>
      <c r="AJ124" s="233">
        <f t="shared" si="60"/>
        <v>0</v>
      </c>
      <c r="AK124" s="233">
        <f t="shared" si="61"/>
        <v>0</v>
      </c>
      <c r="AL124" s="234">
        <f t="shared" si="62"/>
        <v>1.1124871882473524</v>
      </c>
      <c r="AN124" s="234">
        <f t="shared" si="63"/>
        <v>0</v>
      </c>
      <c r="AO124" s="218" t="e">
        <f>+VLOOKUP($B124,Mapping!$C$31:$C$81,1,FALSE)</f>
        <v>#N/A</v>
      </c>
    </row>
    <row r="125" spans="1:41">
      <c r="A125" s="218" t="str">
        <f>$A$1&amp;"Commercial"&amp;B125</f>
        <v>PIERCE UTCCommercialRL032.0G1W003WRECC</v>
      </c>
      <c r="B125" s="230" t="s">
        <v>267</v>
      </c>
      <c r="C125" s="230" t="s">
        <v>268</v>
      </c>
      <c r="D125" s="230" t="s">
        <v>397</v>
      </c>
      <c r="E125" s="380">
        <v>33000</v>
      </c>
      <c r="F125" s="231">
        <v>43.39</v>
      </c>
      <c r="G125" s="231">
        <v>43.91</v>
      </c>
      <c r="H125" s="231">
        <v>0</v>
      </c>
      <c r="I125" s="231">
        <v>0</v>
      </c>
      <c r="J125" s="231"/>
      <c r="K125" s="231">
        <v>43.39</v>
      </c>
      <c r="L125" s="231">
        <v>43.39</v>
      </c>
      <c r="M125" s="231">
        <v>43.39</v>
      </c>
      <c r="N125" s="231">
        <v>43.91</v>
      </c>
      <c r="O125" s="231">
        <v>0</v>
      </c>
      <c r="P125" s="231">
        <v>0</v>
      </c>
      <c r="Q125" s="231">
        <v>0</v>
      </c>
      <c r="R125" s="231">
        <v>0</v>
      </c>
      <c r="S125" s="231">
        <v>0</v>
      </c>
      <c r="T125" s="231">
        <v>0</v>
      </c>
      <c r="U125" s="231">
        <v>0</v>
      </c>
      <c r="V125" s="231">
        <v>0</v>
      </c>
      <c r="W125" s="231"/>
      <c r="X125" s="388">
        <f t="shared" ref="X125:X156" si="64">SUM(K125:V125)</f>
        <v>174.08</v>
      </c>
      <c r="Y125" s="389"/>
      <c r="Z125" s="233">
        <f t="shared" ref="Z125:Z156" si="65">IFERROR(K125/$F125,0)</f>
        <v>1</v>
      </c>
      <c r="AA125" s="233">
        <f t="shared" ref="AA125:AA156" si="66">IFERROR(L125/$F125,0)</f>
        <v>1</v>
      </c>
      <c r="AB125" s="233">
        <f t="shared" ref="AB125:AB156" si="67">IFERROR(M125/$F125,0)</f>
        <v>1</v>
      </c>
      <c r="AC125" s="233">
        <f t="shared" ref="AC125:AC156" si="68">IFERROR(N125/$G125,0)</f>
        <v>1</v>
      </c>
      <c r="AD125" s="233">
        <f t="shared" ref="AD125:AD156" si="69">IFERROR(O125/$G125,0)</f>
        <v>0</v>
      </c>
      <c r="AE125" s="232">
        <f t="shared" ref="AE125:AE156" si="70">IFERROR(P125/$H125,0)</f>
        <v>0</v>
      </c>
      <c r="AF125" s="232">
        <f t="shared" ref="AF125:AF156" si="71">IFERROR(Q125/$H125,0)</f>
        <v>0</v>
      </c>
      <c r="AG125" s="232">
        <f t="shared" ref="AG125:AG156" si="72">IFERROR(R125/$H125,0)</f>
        <v>0</v>
      </c>
      <c r="AH125" s="233">
        <f t="shared" ref="AH125:AH156" si="73">IFERROR(S125/$I125,0)</f>
        <v>0</v>
      </c>
      <c r="AI125" s="233">
        <f t="shared" ref="AI125:AI156" si="74">IFERROR(T125/$I125,0)</f>
        <v>0</v>
      </c>
      <c r="AJ125" s="233">
        <f t="shared" ref="AJ125:AJ156" si="75">IFERROR(U125/$I125,0)</f>
        <v>0</v>
      </c>
      <c r="AK125" s="233">
        <f t="shared" ref="AK125:AK156" si="76">IFERROR(V125/$I125,0)</f>
        <v>0</v>
      </c>
      <c r="AL125" s="234">
        <f t="shared" ref="AL125:AL156" si="77">AVERAGE(Z125:AK125)</f>
        <v>0.33333333333333331</v>
      </c>
      <c r="AN125" s="234">
        <f t="shared" ref="AN125:AN156" si="78">+SUM(AF125:AK125)*2</f>
        <v>0</v>
      </c>
      <c r="AO125" s="218" t="e">
        <f>+VLOOKUP($B125,Mapping!$C$31:$C$81,1,FALSE)</f>
        <v>#N/A</v>
      </c>
    </row>
    <row r="126" spans="1:41">
      <c r="A126" s="218" t="str">
        <f>$A$1&amp;"Commercial"&amp;B126</f>
        <v>PIERCE UTCCommercialRL032.0G1W004WRECC</v>
      </c>
      <c r="B126" s="230" t="s">
        <v>269</v>
      </c>
      <c r="C126" s="230" t="s">
        <v>270</v>
      </c>
      <c r="D126" s="230" t="s">
        <v>397</v>
      </c>
      <c r="E126" s="380">
        <v>33000</v>
      </c>
      <c r="F126" s="231">
        <v>57.85</v>
      </c>
      <c r="G126" s="231">
        <v>58.54</v>
      </c>
      <c r="H126" s="231">
        <v>0</v>
      </c>
      <c r="I126" s="231">
        <v>0</v>
      </c>
      <c r="J126" s="231"/>
      <c r="K126" s="231">
        <v>57.85</v>
      </c>
      <c r="L126" s="231">
        <v>57.85</v>
      </c>
      <c r="M126" s="231">
        <v>57.85</v>
      </c>
      <c r="N126" s="231">
        <v>58.54</v>
      </c>
      <c r="O126" s="231">
        <v>0</v>
      </c>
      <c r="P126" s="231">
        <v>0</v>
      </c>
      <c r="Q126" s="231">
        <v>0</v>
      </c>
      <c r="R126" s="231">
        <v>0</v>
      </c>
      <c r="S126" s="231">
        <v>0</v>
      </c>
      <c r="T126" s="231">
        <v>0</v>
      </c>
      <c r="U126" s="231">
        <v>0</v>
      </c>
      <c r="V126" s="231">
        <v>0</v>
      </c>
      <c r="W126" s="231"/>
      <c r="X126" s="388">
        <f t="shared" si="64"/>
        <v>232.09</v>
      </c>
      <c r="Y126" s="389"/>
      <c r="Z126" s="233">
        <f t="shared" si="65"/>
        <v>1</v>
      </c>
      <c r="AA126" s="233">
        <f t="shared" si="66"/>
        <v>1</v>
      </c>
      <c r="AB126" s="233">
        <f t="shared" si="67"/>
        <v>1</v>
      </c>
      <c r="AC126" s="233">
        <f t="shared" si="68"/>
        <v>1</v>
      </c>
      <c r="AD126" s="233">
        <f t="shared" si="69"/>
        <v>0</v>
      </c>
      <c r="AE126" s="232">
        <f t="shared" si="70"/>
        <v>0</v>
      </c>
      <c r="AF126" s="232">
        <f t="shared" si="71"/>
        <v>0</v>
      </c>
      <c r="AG126" s="232">
        <f t="shared" si="72"/>
        <v>0</v>
      </c>
      <c r="AH126" s="233">
        <f t="shared" si="73"/>
        <v>0</v>
      </c>
      <c r="AI126" s="233">
        <f t="shared" si="74"/>
        <v>0</v>
      </c>
      <c r="AJ126" s="233">
        <f t="shared" si="75"/>
        <v>0</v>
      </c>
      <c r="AK126" s="233">
        <f t="shared" si="76"/>
        <v>0</v>
      </c>
      <c r="AL126" s="234">
        <f t="shared" si="77"/>
        <v>0.33333333333333331</v>
      </c>
      <c r="AN126" s="234">
        <f t="shared" si="78"/>
        <v>0</v>
      </c>
      <c r="AO126" s="218" t="e">
        <f>+VLOOKUP($B126,Mapping!$C$31:$C$81,1,FALSE)</f>
        <v>#N/A</v>
      </c>
    </row>
    <row r="127" spans="1:41">
      <c r="A127" s="218" t="str">
        <f>$A$1&amp;"Commercial"&amp;B127</f>
        <v>PIERCE UTCCommercialRL035.0G1W001WRECC</v>
      </c>
      <c r="B127" s="230" t="s">
        <v>493</v>
      </c>
      <c r="C127" s="230" t="s">
        <v>763</v>
      </c>
      <c r="D127" s="230"/>
      <c r="F127" s="231">
        <v>17.809999999999999</v>
      </c>
      <c r="G127" s="231">
        <v>17.97</v>
      </c>
      <c r="H127" s="231">
        <v>17.8</v>
      </c>
      <c r="I127" s="231">
        <v>17.850000000000001</v>
      </c>
      <c r="J127" s="231"/>
      <c r="K127" s="231">
        <v>3081.13</v>
      </c>
      <c r="L127" s="231">
        <v>2386.54</v>
      </c>
      <c r="M127" s="231">
        <v>2386.54</v>
      </c>
      <c r="N127" s="231">
        <v>2407.98</v>
      </c>
      <c r="O127" s="231">
        <v>0</v>
      </c>
      <c r="P127" s="231">
        <v>0</v>
      </c>
      <c r="Q127" s="231">
        <v>0</v>
      </c>
      <c r="R127" s="231">
        <v>0</v>
      </c>
      <c r="S127" s="231">
        <v>0</v>
      </c>
      <c r="T127" s="231">
        <v>0</v>
      </c>
      <c r="U127" s="231">
        <v>0</v>
      </c>
      <c r="V127" s="231">
        <v>0</v>
      </c>
      <c r="W127" s="231"/>
      <c r="X127" s="388">
        <f t="shared" si="64"/>
        <v>10262.19</v>
      </c>
      <c r="Y127" s="389"/>
      <c r="Z127" s="233">
        <f t="shared" si="65"/>
        <v>173.00000000000003</v>
      </c>
      <c r="AA127" s="233">
        <f t="shared" si="66"/>
        <v>134</v>
      </c>
      <c r="AB127" s="233">
        <f t="shared" si="67"/>
        <v>134</v>
      </c>
      <c r="AC127" s="233">
        <f t="shared" si="68"/>
        <v>134</v>
      </c>
      <c r="AD127" s="233">
        <f t="shared" si="69"/>
        <v>0</v>
      </c>
      <c r="AE127" s="232">
        <f t="shared" si="70"/>
        <v>0</v>
      </c>
      <c r="AF127" s="232">
        <f t="shared" si="71"/>
        <v>0</v>
      </c>
      <c r="AG127" s="232">
        <f t="shared" si="72"/>
        <v>0</v>
      </c>
      <c r="AH127" s="233">
        <f t="shared" si="73"/>
        <v>0</v>
      </c>
      <c r="AI127" s="233">
        <f t="shared" si="74"/>
        <v>0</v>
      </c>
      <c r="AJ127" s="233">
        <f t="shared" si="75"/>
        <v>0</v>
      </c>
      <c r="AK127" s="233">
        <f t="shared" si="76"/>
        <v>0</v>
      </c>
      <c r="AL127" s="234">
        <f t="shared" si="77"/>
        <v>47.916666666666664</v>
      </c>
      <c r="AN127" s="234">
        <f t="shared" si="78"/>
        <v>0</v>
      </c>
      <c r="AO127" s="218" t="e">
        <f>+VLOOKUP($B127,Mapping!$C$31:$C$81,1,FALSE)</f>
        <v>#N/A</v>
      </c>
    </row>
    <row r="128" spans="1:41">
      <c r="A128" s="218" t="str">
        <f>$A$1&amp;"Commercial"&amp;B128</f>
        <v>PIERCE UTCCommercialRL035.0G1W001NORECC</v>
      </c>
      <c r="B128" s="230" t="s">
        <v>707</v>
      </c>
      <c r="C128" s="230" t="s">
        <v>764</v>
      </c>
      <c r="D128" s="230"/>
      <c r="F128" s="231">
        <v>17.809999999999999</v>
      </c>
      <c r="G128" s="231">
        <v>17.97</v>
      </c>
      <c r="H128" s="231">
        <v>17.8</v>
      </c>
      <c r="I128" s="231">
        <v>17.850000000000001</v>
      </c>
      <c r="J128" s="231"/>
      <c r="K128" s="231">
        <v>35.619999999999997</v>
      </c>
      <c r="L128" s="231">
        <v>35.619999999999997</v>
      </c>
      <c r="M128" s="231">
        <v>35.619999999999997</v>
      </c>
      <c r="N128" s="231">
        <v>35.94</v>
      </c>
      <c r="O128" s="231">
        <v>0</v>
      </c>
      <c r="P128" s="231">
        <v>0</v>
      </c>
      <c r="Q128" s="231">
        <v>0</v>
      </c>
      <c r="R128" s="231">
        <v>0</v>
      </c>
      <c r="S128" s="231">
        <v>0</v>
      </c>
      <c r="T128" s="231">
        <v>0</v>
      </c>
      <c r="U128" s="231">
        <v>0</v>
      </c>
      <c r="V128" s="231">
        <v>0</v>
      </c>
      <c r="W128" s="231"/>
      <c r="X128" s="388">
        <f t="shared" si="64"/>
        <v>142.79999999999998</v>
      </c>
      <c r="Y128" s="389"/>
      <c r="Z128" s="233">
        <f t="shared" si="65"/>
        <v>2</v>
      </c>
      <c r="AA128" s="233">
        <f t="shared" si="66"/>
        <v>2</v>
      </c>
      <c r="AB128" s="233">
        <f t="shared" si="67"/>
        <v>2</v>
      </c>
      <c r="AC128" s="233">
        <f t="shared" si="68"/>
        <v>2</v>
      </c>
      <c r="AD128" s="233">
        <f t="shared" si="69"/>
        <v>0</v>
      </c>
      <c r="AE128" s="232">
        <f t="shared" si="70"/>
        <v>0</v>
      </c>
      <c r="AF128" s="232">
        <f t="shared" si="71"/>
        <v>0</v>
      </c>
      <c r="AG128" s="232">
        <f t="shared" si="72"/>
        <v>0</v>
      </c>
      <c r="AH128" s="233">
        <f t="shared" si="73"/>
        <v>0</v>
      </c>
      <c r="AI128" s="233">
        <f t="shared" si="74"/>
        <v>0</v>
      </c>
      <c r="AJ128" s="233">
        <f t="shared" si="75"/>
        <v>0</v>
      </c>
      <c r="AK128" s="233">
        <f t="shared" si="76"/>
        <v>0</v>
      </c>
      <c r="AL128" s="234">
        <f t="shared" si="77"/>
        <v>0.66666666666666663</v>
      </c>
      <c r="AN128" s="234">
        <f t="shared" si="78"/>
        <v>0</v>
      </c>
      <c r="AO128" s="218" t="e">
        <f>+VLOOKUP($B128,Mapping!$C$31:$C$81,1,FALSE)</f>
        <v>#N/A</v>
      </c>
    </row>
    <row r="129" spans="1:41">
      <c r="A129" s="218" t="str">
        <f>$A$1&amp;"Commercial"&amp;B129</f>
        <v>PIERCE UTCCommercialSL065.0G1W001NORECC</v>
      </c>
      <c r="B129" s="230" t="s">
        <v>271</v>
      </c>
      <c r="C129" s="230" t="s">
        <v>272</v>
      </c>
      <c r="D129" s="230" t="s">
        <v>397</v>
      </c>
      <c r="E129" s="380">
        <v>33000</v>
      </c>
      <c r="F129" s="231">
        <v>29.18</v>
      </c>
      <c r="G129" s="231">
        <v>29.44</v>
      </c>
      <c r="H129" s="231">
        <v>29.18</v>
      </c>
      <c r="I129" s="231">
        <v>29.27</v>
      </c>
      <c r="J129" s="231"/>
      <c r="K129" s="231">
        <v>1604.9</v>
      </c>
      <c r="L129" s="231">
        <v>1604.9</v>
      </c>
      <c r="M129" s="231">
        <v>1634.08</v>
      </c>
      <c r="N129" s="231">
        <v>1586.92</v>
      </c>
      <c r="O129" s="231">
        <v>1236.48</v>
      </c>
      <c r="P129" s="231">
        <v>1248.9000000000001</v>
      </c>
      <c r="Q129" s="231">
        <v>1167.21</v>
      </c>
      <c r="R129" s="231">
        <v>1219.72</v>
      </c>
      <c r="S129" s="231">
        <v>1350.84</v>
      </c>
      <c r="T129" s="231">
        <v>1691.81</v>
      </c>
      <c r="U129" s="231">
        <v>1178.8600000000001</v>
      </c>
      <c r="V129" s="231">
        <v>1644.97</v>
      </c>
      <c r="W129" s="231"/>
      <c r="X129" s="388">
        <f t="shared" si="64"/>
        <v>17169.59</v>
      </c>
      <c r="Y129" s="389"/>
      <c r="Z129" s="233">
        <f t="shared" si="65"/>
        <v>55.000000000000007</v>
      </c>
      <c r="AA129" s="233">
        <f t="shared" si="66"/>
        <v>55.000000000000007</v>
      </c>
      <c r="AB129" s="233">
        <f t="shared" si="67"/>
        <v>56</v>
      </c>
      <c r="AC129" s="233">
        <f t="shared" si="68"/>
        <v>53.903532608695649</v>
      </c>
      <c r="AD129" s="233">
        <f t="shared" si="69"/>
        <v>42</v>
      </c>
      <c r="AE129" s="232">
        <f t="shared" si="70"/>
        <v>42.799862919808092</v>
      </c>
      <c r="AF129" s="232">
        <f t="shared" si="71"/>
        <v>40.000342700479784</v>
      </c>
      <c r="AG129" s="232">
        <f t="shared" si="72"/>
        <v>41.799862919808092</v>
      </c>
      <c r="AH129" s="233">
        <f t="shared" si="73"/>
        <v>46.151007857874959</v>
      </c>
      <c r="AI129" s="233">
        <f t="shared" si="74"/>
        <v>57.80013665869491</v>
      </c>
      <c r="AJ129" s="233">
        <f t="shared" si="75"/>
        <v>40.275367270242576</v>
      </c>
      <c r="AK129" s="233">
        <f t="shared" si="76"/>
        <v>56.19986334130509</v>
      </c>
      <c r="AL129" s="234">
        <f t="shared" si="77"/>
        <v>48.910831356409098</v>
      </c>
      <c r="AN129" s="234">
        <f t="shared" si="78"/>
        <v>564.45316149681082</v>
      </c>
      <c r="AO129" s="218" t="str">
        <f>+VLOOKUP($B129,Mapping!$C$31:$C$81,1,FALSE)</f>
        <v>SL065.0G1W001NORECC</v>
      </c>
    </row>
    <row r="130" spans="1:41">
      <c r="A130" s="218" t="str">
        <f>$A$1&amp;"Commercial"&amp;B130</f>
        <v>PIERCE UTCCommercialSL065.0G1W001WRECC</v>
      </c>
      <c r="B130" s="230" t="s">
        <v>273</v>
      </c>
      <c r="C130" s="230" t="s">
        <v>274</v>
      </c>
      <c r="D130" s="230" t="s">
        <v>397</v>
      </c>
      <c r="E130" s="380">
        <v>33000</v>
      </c>
      <c r="F130" s="231">
        <v>29.18</v>
      </c>
      <c r="G130" s="231">
        <v>29.44</v>
      </c>
      <c r="H130" s="231">
        <v>29.18</v>
      </c>
      <c r="I130" s="231">
        <v>29.27</v>
      </c>
      <c r="J130" s="231"/>
      <c r="K130" s="231">
        <v>13904.28</v>
      </c>
      <c r="L130" s="231">
        <v>13838.62</v>
      </c>
      <c r="M130" s="231">
        <v>14002.38</v>
      </c>
      <c r="N130" s="231">
        <v>13992.84</v>
      </c>
      <c r="O130" s="231">
        <v>13939.84</v>
      </c>
      <c r="P130" s="231">
        <v>13911.57</v>
      </c>
      <c r="Q130" s="231">
        <v>14088.12</v>
      </c>
      <c r="R130" s="231">
        <v>14093.94</v>
      </c>
      <c r="S130" s="231">
        <v>14108.09</v>
      </c>
      <c r="T130" s="231">
        <v>14007.16</v>
      </c>
      <c r="U130" s="231">
        <v>13995.46</v>
      </c>
      <c r="V130" s="231">
        <v>13886.17</v>
      </c>
      <c r="W130" s="231"/>
      <c r="X130" s="388">
        <f t="shared" si="64"/>
        <v>167768.47</v>
      </c>
      <c r="Y130" s="389"/>
      <c r="Z130" s="233">
        <f t="shared" si="65"/>
        <v>476.50034270047979</v>
      </c>
      <c r="AA130" s="233">
        <f t="shared" si="66"/>
        <v>474.2501713502399</v>
      </c>
      <c r="AB130" s="233">
        <f t="shared" si="67"/>
        <v>479.86223440712814</v>
      </c>
      <c r="AC130" s="233">
        <f t="shared" si="68"/>
        <v>475.30027173913044</v>
      </c>
      <c r="AD130" s="233">
        <f t="shared" si="69"/>
        <v>473.5</v>
      </c>
      <c r="AE130" s="232">
        <f t="shared" si="70"/>
        <v>476.7501713502399</v>
      </c>
      <c r="AF130" s="232">
        <f t="shared" si="71"/>
        <v>482.80054832076769</v>
      </c>
      <c r="AG130" s="232">
        <f t="shared" si="72"/>
        <v>483</v>
      </c>
      <c r="AH130" s="233">
        <f t="shared" si="73"/>
        <v>481.99829176631363</v>
      </c>
      <c r="AI130" s="233">
        <f t="shared" si="74"/>
        <v>478.55005124701057</v>
      </c>
      <c r="AJ130" s="233">
        <f t="shared" si="75"/>
        <v>478.15032456440036</v>
      </c>
      <c r="AK130" s="233">
        <f t="shared" si="76"/>
        <v>474.41646737273658</v>
      </c>
      <c r="AL130" s="234">
        <f t="shared" si="77"/>
        <v>477.92323956820388</v>
      </c>
      <c r="AN130" s="234">
        <f t="shared" si="78"/>
        <v>5757.8313665424575</v>
      </c>
      <c r="AO130" s="218" t="str">
        <f>+VLOOKUP($B130,Mapping!$C$31:$C$81,1,FALSE)</f>
        <v>SL065.0G1W001WRECC</v>
      </c>
    </row>
    <row r="131" spans="1:41">
      <c r="A131" s="218" t="str">
        <f>$A$1&amp;"Commercial"&amp;B131</f>
        <v>PIERCE UTCCommercialSL065.0GEO001NORECC</v>
      </c>
      <c r="B131" s="230" t="s">
        <v>275</v>
      </c>
      <c r="C131" s="230" t="s">
        <v>276</v>
      </c>
      <c r="D131" s="230" t="s">
        <v>397</v>
      </c>
      <c r="E131" s="380">
        <v>33000</v>
      </c>
      <c r="F131" s="231">
        <v>20.9</v>
      </c>
      <c r="G131" s="231">
        <v>21.03</v>
      </c>
      <c r="H131" s="231">
        <v>20.83</v>
      </c>
      <c r="I131" s="231">
        <v>20.88</v>
      </c>
      <c r="J131" s="231"/>
      <c r="K131" s="231">
        <v>209</v>
      </c>
      <c r="L131" s="231">
        <v>209</v>
      </c>
      <c r="M131" s="231">
        <v>167.2</v>
      </c>
      <c r="N131" s="231">
        <v>168.24</v>
      </c>
      <c r="O131" s="231">
        <v>168.24</v>
      </c>
      <c r="P131" s="231">
        <v>145.81</v>
      </c>
      <c r="Q131" s="231">
        <v>166.65</v>
      </c>
      <c r="R131" s="231">
        <v>187.47</v>
      </c>
      <c r="S131" s="231">
        <v>187.92</v>
      </c>
      <c r="T131" s="231">
        <v>198.36</v>
      </c>
      <c r="U131" s="231">
        <v>229.68</v>
      </c>
      <c r="V131" s="231">
        <v>229.68</v>
      </c>
      <c r="W131" s="231"/>
      <c r="X131" s="388">
        <f t="shared" si="64"/>
        <v>2267.2500000000005</v>
      </c>
      <c r="Y131" s="389"/>
      <c r="Z131" s="233">
        <f t="shared" si="65"/>
        <v>10</v>
      </c>
      <c r="AA131" s="233">
        <f t="shared" si="66"/>
        <v>10</v>
      </c>
      <c r="AB131" s="233">
        <f t="shared" si="67"/>
        <v>8</v>
      </c>
      <c r="AC131" s="233">
        <f t="shared" si="68"/>
        <v>8</v>
      </c>
      <c r="AD131" s="233">
        <f t="shared" si="69"/>
        <v>8</v>
      </c>
      <c r="AE131" s="232">
        <f t="shared" si="70"/>
        <v>7.0000000000000009</v>
      </c>
      <c r="AF131" s="232">
        <f t="shared" si="71"/>
        <v>8.0004800768122912</v>
      </c>
      <c r="AG131" s="232">
        <f t="shared" si="72"/>
        <v>9</v>
      </c>
      <c r="AH131" s="233">
        <f t="shared" si="73"/>
        <v>9</v>
      </c>
      <c r="AI131" s="233">
        <f t="shared" si="74"/>
        <v>9.5000000000000018</v>
      </c>
      <c r="AJ131" s="233">
        <f t="shared" si="75"/>
        <v>11</v>
      </c>
      <c r="AK131" s="233">
        <f t="shared" si="76"/>
        <v>11</v>
      </c>
      <c r="AL131" s="234">
        <f t="shared" si="77"/>
        <v>9.0417066730676918</v>
      </c>
      <c r="AN131" s="234">
        <f t="shared" si="78"/>
        <v>115.00096015362459</v>
      </c>
      <c r="AO131" s="218" t="str">
        <f>+VLOOKUP($B131,Mapping!$C$31:$C$81,1,FALSE)</f>
        <v>SL065.0GEO001NORECC</v>
      </c>
    </row>
    <row r="132" spans="1:41">
      <c r="A132" s="218" t="str">
        <f>$A$1&amp;"Commercial"&amp;B132</f>
        <v>PIERCE UTCCommercialSL065.0GEO001WRECC</v>
      </c>
      <c r="B132" s="230" t="s">
        <v>277</v>
      </c>
      <c r="C132" s="230" t="s">
        <v>278</v>
      </c>
      <c r="D132" s="230" t="s">
        <v>397</v>
      </c>
      <c r="E132" s="380">
        <v>33000</v>
      </c>
      <c r="F132" s="231">
        <v>20.9</v>
      </c>
      <c r="G132" s="231">
        <v>21.03</v>
      </c>
      <c r="H132" s="231">
        <v>20.83</v>
      </c>
      <c r="I132" s="231">
        <v>20.88</v>
      </c>
      <c r="J132" s="231"/>
      <c r="K132" s="231">
        <v>1995.95</v>
      </c>
      <c r="L132" s="231">
        <v>2006.4</v>
      </c>
      <c r="M132" s="231">
        <v>1995.95</v>
      </c>
      <c r="N132" s="231">
        <v>2008.37</v>
      </c>
      <c r="O132" s="231">
        <v>2039.91</v>
      </c>
      <c r="P132" s="231">
        <v>1998</v>
      </c>
      <c r="Q132" s="231">
        <v>1999.68</v>
      </c>
      <c r="R132" s="231">
        <v>1958.02</v>
      </c>
      <c r="S132" s="231">
        <v>1962.72</v>
      </c>
      <c r="T132" s="231">
        <v>1931.4</v>
      </c>
      <c r="U132" s="231">
        <v>1917.48</v>
      </c>
      <c r="V132" s="231">
        <v>1858.32</v>
      </c>
      <c r="W132" s="231"/>
      <c r="X132" s="388">
        <f t="shared" si="64"/>
        <v>23672.2</v>
      </c>
      <c r="Y132" s="389"/>
      <c r="Z132" s="233">
        <f t="shared" si="65"/>
        <v>95.500000000000014</v>
      </c>
      <c r="AA132" s="233">
        <f t="shared" si="66"/>
        <v>96.000000000000014</v>
      </c>
      <c r="AB132" s="233">
        <f t="shared" si="67"/>
        <v>95.500000000000014</v>
      </c>
      <c r="AC132" s="233">
        <f t="shared" si="68"/>
        <v>95.50023775558725</v>
      </c>
      <c r="AD132" s="233">
        <f t="shared" si="69"/>
        <v>97</v>
      </c>
      <c r="AE132" s="232">
        <f t="shared" si="70"/>
        <v>95.919347095535286</v>
      </c>
      <c r="AF132" s="232">
        <f t="shared" si="71"/>
        <v>96.000000000000014</v>
      </c>
      <c r="AG132" s="232">
        <f t="shared" si="72"/>
        <v>94</v>
      </c>
      <c r="AH132" s="233">
        <f t="shared" si="73"/>
        <v>94</v>
      </c>
      <c r="AI132" s="233">
        <f t="shared" si="74"/>
        <v>92.500000000000014</v>
      </c>
      <c r="AJ132" s="233">
        <f t="shared" si="75"/>
        <v>91.833333333333343</v>
      </c>
      <c r="AK132" s="233">
        <f t="shared" si="76"/>
        <v>89</v>
      </c>
      <c r="AL132" s="234">
        <f t="shared" si="77"/>
        <v>94.39607651537132</v>
      </c>
      <c r="AN132" s="234">
        <f t="shared" si="78"/>
        <v>1114.6666666666667</v>
      </c>
      <c r="AO132" s="218" t="str">
        <f>+VLOOKUP($B132,Mapping!$C$31:$C$81,1,FALSE)</f>
        <v>SL065.0GEO001WRECC</v>
      </c>
    </row>
    <row r="133" spans="1:41">
      <c r="A133" s="218" t="str">
        <f>$A$1&amp;"Commercial"&amp;B133</f>
        <v>PIERCE UTCCommercialSL095.0G1W001NORECC</v>
      </c>
      <c r="B133" s="230" t="s">
        <v>279</v>
      </c>
      <c r="C133" s="230" t="s">
        <v>280</v>
      </c>
      <c r="D133" s="230" t="s">
        <v>397</v>
      </c>
      <c r="E133" s="380">
        <v>33000</v>
      </c>
      <c r="F133" s="231">
        <v>37.24</v>
      </c>
      <c r="G133" s="231">
        <v>37.58</v>
      </c>
      <c r="H133" s="231">
        <v>37.24</v>
      </c>
      <c r="I133" s="231">
        <v>37.369999999999997</v>
      </c>
      <c r="J133" s="231"/>
      <c r="K133" s="231">
        <v>8770.02</v>
      </c>
      <c r="L133" s="231">
        <v>7031.15</v>
      </c>
      <c r="M133" s="231">
        <v>5316.01</v>
      </c>
      <c r="N133" s="231">
        <v>4993.0600000000004</v>
      </c>
      <c r="O133" s="231">
        <v>3254.43</v>
      </c>
      <c r="P133" s="231">
        <v>3221.26</v>
      </c>
      <c r="Q133" s="231">
        <v>3277.12</v>
      </c>
      <c r="R133" s="231">
        <v>3254.78</v>
      </c>
      <c r="S133" s="231">
        <v>3862.15</v>
      </c>
      <c r="T133" s="231">
        <v>5201.8999999999996</v>
      </c>
      <c r="U133" s="231">
        <v>5044.95</v>
      </c>
      <c r="V133" s="231">
        <v>5082.32</v>
      </c>
      <c r="W133" s="231"/>
      <c r="X133" s="388">
        <f t="shared" si="64"/>
        <v>58309.15</v>
      </c>
      <c r="Y133" s="389"/>
      <c r="Z133" s="233">
        <f t="shared" si="65"/>
        <v>235.5</v>
      </c>
      <c r="AA133" s="233">
        <f t="shared" si="66"/>
        <v>188.80639097744358</v>
      </c>
      <c r="AB133" s="233">
        <f t="shared" si="67"/>
        <v>142.75</v>
      </c>
      <c r="AC133" s="233">
        <f t="shared" si="68"/>
        <v>132.86482171367751</v>
      </c>
      <c r="AD133" s="233">
        <f t="shared" si="69"/>
        <v>86.600053219797758</v>
      </c>
      <c r="AE133" s="232">
        <f t="shared" si="70"/>
        <v>86.5</v>
      </c>
      <c r="AF133" s="232">
        <f t="shared" si="71"/>
        <v>87.999999999999986</v>
      </c>
      <c r="AG133" s="232">
        <f t="shared" si="72"/>
        <v>87.400107411385605</v>
      </c>
      <c r="AH133" s="233">
        <f t="shared" si="73"/>
        <v>103.34894300240836</v>
      </c>
      <c r="AI133" s="233">
        <f t="shared" si="74"/>
        <v>139.19989296226919</v>
      </c>
      <c r="AJ133" s="233">
        <f t="shared" si="75"/>
        <v>135</v>
      </c>
      <c r="AK133" s="233">
        <f t="shared" si="76"/>
        <v>136</v>
      </c>
      <c r="AL133" s="234">
        <f t="shared" si="77"/>
        <v>130.16418410724847</v>
      </c>
      <c r="AN133" s="234">
        <f t="shared" si="78"/>
        <v>1377.8978867521264</v>
      </c>
      <c r="AO133" s="218" t="str">
        <f>+VLOOKUP($B133,Mapping!$C$31:$C$81,1,FALSE)</f>
        <v>SL095.0G1W001NORECC</v>
      </c>
    </row>
    <row r="134" spans="1:41">
      <c r="A134" s="218" t="str">
        <f>$A$1&amp;"Commercial"&amp;B134</f>
        <v>PIERCE UTCCommercialSL095.0G1W001WRECC</v>
      </c>
      <c r="B134" s="230" t="s">
        <v>281</v>
      </c>
      <c r="C134" s="230" t="s">
        <v>282</v>
      </c>
      <c r="D134" s="230" t="s">
        <v>397</v>
      </c>
      <c r="E134" s="380">
        <v>33000</v>
      </c>
      <c r="F134" s="231">
        <v>37.24</v>
      </c>
      <c r="G134" s="231">
        <v>37.58</v>
      </c>
      <c r="H134" s="231">
        <v>37.24</v>
      </c>
      <c r="I134" s="231">
        <v>37.369999999999997</v>
      </c>
      <c r="J134" s="231"/>
      <c r="K134" s="231">
        <v>9635.85</v>
      </c>
      <c r="L134" s="231">
        <v>9957.9699999999993</v>
      </c>
      <c r="M134" s="231">
        <v>9719.64</v>
      </c>
      <c r="N134" s="231">
        <v>9921.14</v>
      </c>
      <c r="O134" s="231">
        <v>9893.58</v>
      </c>
      <c r="P134" s="231">
        <v>9933.86</v>
      </c>
      <c r="Q134" s="231">
        <v>9874.7999999999993</v>
      </c>
      <c r="R134" s="231">
        <v>9630.27</v>
      </c>
      <c r="S134" s="231">
        <v>9718.09</v>
      </c>
      <c r="T134" s="231">
        <v>9811.49</v>
      </c>
      <c r="U134" s="231">
        <v>11003.61</v>
      </c>
      <c r="V134" s="231">
        <v>10885.03</v>
      </c>
      <c r="W134" s="231"/>
      <c r="X134" s="388">
        <f t="shared" si="64"/>
        <v>119985.33</v>
      </c>
      <c r="Y134" s="389"/>
      <c r="Z134" s="233">
        <f t="shared" si="65"/>
        <v>258.75</v>
      </c>
      <c r="AA134" s="233">
        <f t="shared" si="66"/>
        <v>267.39983888292159</v>
      </c>
      <c r="AB134" s="233">
        <f t="shared" si="67"/>
        <v>260.99999999999994</v>
      </c>
      <c r="AC134" s="233">
        <f t="shared" si="68"/>
        <v>264.00053219797763</v>
      </c>
      <c r="AD134" s="233">
        <f t="shared" si="69"/>
        <v>263.26716338477917</v>
      </c>
      <c r="AE134" s="232">
        <f t="shared" si="70"/>
        <v>266.75241675617616</v>
      </c>
      <c r="AF134" s="232">
        <f t="shared" si="71"/>
        <v>265.16648764769064</v>
      </c>
      <c r="AG134" s="232">
        <f t="shared" si="72"/>
        <v>258.60016111707841</v>
      </c>
      <c r="AH134" s="233">
        <f t="shared" si="73"/>
        <v>260.05057532780307</v>
      </c>
      <c r="AI134" s="233">
        <f t="shared" si="74"/>
        <v>262.54990634198555</v>
      </c>
      <c r="AJ134" s="233">
        <f t="shared" si="75"/>
        <v>294.45036125234151</v>
      </c>
      <c r="AK134" s="233">
        <f t="shared" si="76"/>
        <v>291.2772277227723</v>
      </c>
      <c r="AL134" s="234">
        <f t="shared" si="77"/>
        <v>267.77205588596053</v>
      </c>
      <c r="AN134" s="234">
        <f t="shared" si="78"/>
        <v>3264.1894388193427</v>
      </c>
      <c r="AO134" s="218" t="str">
        <f>+VLOOKUP($B134,Mapping!$C$31:$C$81,1,FALSE)</f>
        <v>SL095.0G1W001WRECC</v>
      </c>
    </row>
    <row r="135" spans="1:41">
      <c r="A135" s="218" t="str">
        <f>$A$1&amp;"Commercial"&amp;B135</f>
        <v>PIERCE UTCCommercialSL095.0GEO001NORECC</v>
      </c>
      <c r="B135" s="230" t="s">
        <v>283</v>
      </c>
      <c r="C135" s="230" t="s">
        <v>284</v>
      </c>
      <c r="D135" s="230" t="s">
        <v>397</v>
      </c>
      <c r="E135" s="380">
        <v>33000</v>
      </c>
      <c r="F135" s="231">
        <v>26.81</v>
      </c>
      <c r="G135" s="231">
        <v>26.99</v>
      </c>
      <c r="H135" s="231">
        <v>26.74</v>
      </c>
      <c r="I135" s="231">
        <v>26.82</v>
      </c>
      <c r="J135" s="231"/>
      <c r="K135" s="231">
        <v>107.24</v>
      </c>
      <c r="L135" s="231">
        <v>107.24</v>
      </c>
      <c r="M135" s="231">
        <v>107.24</v>
      </c>
      <c r="N135" s="231">
        <v>107.96</v>
      </c>
      <c r="O135" s="231">
        <v>107.96</v>
      </c>
      <c r="P135" s="231">
        <v>106.96</v>
      </c>
      <c r="Q135" s="231">
        <v>106.96</v>
      </c>
      <c r="R135" s="231">
        <v>106.96</v>
      </c>
      <c r="S135" s="231">
        <v>134.1</v>
      </c>
      <c r="T135" s="231">
        <v>160.91999999999999</v>
      </c>
      <c r="U135" s="231">
        <v>160.91999999999999</v>
      </c>
      <c r="V135" s="231">
        <v>160.91999999999999</v>
      </c>
      <c r="W135" s="231"/>
      <c r="X135" s="388">
        <f t="shared" si="64"/>
        <v>1475.3800000000003</v>
      </c>
      <c r="Y135" s="389"/>
      <c r="Z135" s="233">
        <f t="shared" si="65"/>
        <v>4</v>
      </c>
      <c r="AA135" s="233">
        <f t="shared" si="66"/>
        <v>4</v>
      </c>
      <c r="AB135" s="233">
        <f t="shared" si="67"/>
        <v>4</v>
      </c>
      <c r="AC135" s="233">
        <f t="shared" si="68"/>
        <v>4</v>
      </c>
      <c r="AD135" s="233">
        <f t="shared" si="69"/>
        <v>4</v>
      </c>
      <c r="AE135" s="232">
        <f t="shared" si="70"/>
        <v>4</v>
      </c>
      <c r="AF135" s="232">
        <f t="shared" si="71"/>
        <v>4</v>
      </c>
      <c r="AG135" s="232">
        <f t="shared" si="72"/>
        <v>4</v>
      </c>
      <c r="AH135" s="233">
        <f t="shared" si="73"/>
        <v>5</v>
      </c>
      <c r="AI135" s="233">
        <f t="shared" si="74"/>
        <v>5.9999999999999991</v>
      </c>
      <c r="AJ135" s="233">
        <f t="shared" si="75"/>
        <v>5.9999999999999991</v>
      </c>
      <c r="AK135" s="233">
        <f t="shared" si="76"/>
        <v>5.9999999999999991</v>
      </c>
      <c r="AL135" s="234">
        <f t="shared" si="77"/>
        <v>4.583333333333333</v>
      </c>
      <c r="AN135" s="234">
        <f t="shared" si="78"/>
        <v>62</v>
      </c>
      <c r="AO135" s="218" t="str">
        <f>+VLOOKUP($B135,Mapping!$C$31:$C$81,1,FALSE)</f>
        <v>SL095.0GEO001NORECC</v>
      </c>
    </row>
    <row r="136" spans="1:41">
      <c r="A136" s="218" t="str">
        <f>$A$1&amp;"Commercial"&amp;B136</f>
        <v>PIERCE UTCCommercialSL095.0GEO001WRECC</v>
      </c>
      <c r="B136" s="230" t="s">
        <v>285</v>
      </c>
      <c r="C136" s="230" t="s">
        <v>286</v>
      </c>
      <c r="D136" s="230" t="s">
        <v>397</v>
      </c>
      <c r="E136" s="380">
        <v>33000</v>
      </c>
      <c r="F136" s="231">
        <v>26.81</v>
      </c>
      <c r="G136" s="231">
        <v>26.99</v>
      </c>
      <c r="H136" s="231">
        <v>26.74</v>
      </c>
      <c r="I136" s="231">
        <v>26.82</v>
      </c>
      <c r="J136" s="231"/>
      <c r="K136" s="231">
        <v>388.75</v>
      </c>
      <c r="L136" s="231">
        <v>367.3</v>
      </c>
      <c r="M136" s="231">
        <v>415.56</v>
      </c>
      <c r="N136" s="231">
        <v>431.84</v>
      </c>
      <c r="O136" s="231">
        <v>377.86</v>
      </c>
      <c r="P136" s="231">
        <v>374.36</v>
      </c>
      <c r="Q136" s="231">
        <v>374.36</v>
      </c>
      <c r="R136" s="231">
        <v>347.62</v>
      </c>
      <c r="S136" s="231">
        <v>321.83999999999997</v>
      </c>
      <c r="T136" s="231">
        <v>321.83999999999997</v>
      </c>
      <c r="U136" s="231">
        <v>335.25</v>
      </c>
      <c r="V136" s="231">
        <v>321.83999999999997</v>
      </c>
      <c r="W136" s="231"/>
      <c r="X136" s="388">
        <f t="shared" si="64"/>
        <v>4378.42</v>
      </c>
      <c r="Y136" s="389"/>
      <c r="Z136" s="233">
        <f t="shared" si="65"/>
        <v>14.500186497575532</v>
      </c>
      <c r="AA136" s="233">
        <f t="shared" si="66"/>
        <v>13.70011189854532</v>
      </c>
      <c r="AB136" s="233">
        <f t="shared" si="67"/>
        <v>15.500186497575532</v>
      </c>
      <c r="AC136" s="233">
        <f t="shared" si="68"/>
        <v>16</v>
      </c>
      <c r="AD136" s="233">
        <f t="shared" si="69"/>
        <v>14.000000000000002</v>
      </c>
      <c r="AE136" s="232">
        <f t="shared" si="70"/>
        <v>14.000000000000002</v>
      </c>
      <c r="AF136" s="232">
        <f t="shared" si="71"/>
        <v>14.000000000000002</v>
      </c>
      <c r="AG136" s="232">
        <f t="shared" si="72"/>
        <v>13.000000000000002</v>
      </c>
      <c r="AH136" s="233">
        <f t="shared" si="73"/>
        <v>11.999999999999998</v>
      </c>
      <c r="AI136" s="233">
        <f t="shared" si="74"/>
        <v>11.999999999999998</v>
      </c>
      <c r="AJ136" s="233">
        <f t="shared" si="75"/>
        <v>12.5</v>
      </c>
      <c r="AK136" s="233">
        <f t="shared" si="76"/>
        <v>11.999999999999998</v>
      </c>
      <c r="AL136" s="234">
        <f t="shared" si="77"/>
        <v>13.600040407808031</v>
      </c>
      <c r="AN136" s="234">
        <f t="shared" si="78"/>
        <v>151</v>
      </c>
      <c r="AO136" s="218" t="str">
        <f>+VLOOKUP($B136,Mapping!$C$31:$C$81,1,FALSE)</f>
        <v>SL095.0GEO001WRECC</v>
      </c>
    </row>
    <row r="137" spans="1:41">
      <c r="A137" s="218" t="str">
        <f>$A$1&amp;"Commercial"&amp;B137</f>
        <v>PIERCE UTCCommercialCANCOUNT65-COMM</v>
      </c>
      <c r="B137" s="230" t="s">
        <v>287</v>
      </c>
      <c r="C137" s="230" t="s">
        <v>288</v>
      </c>
      <c r="D137" s="230" t="s">
        <v>397</v>
      </c>
      <c r="E137" s="380">
        <v>33000</v>
      </c>
      <c r="F137" s="231">
        <v>6.74</v>
      </c>
      <c r="G137" s="231">
        <v>6.8</v>
      </c>
      <c r="H137" s="231">
        <v>6.74</v>
      </c>
      <c r="I137" s="231">
        <v>6.76</v>
      </c>
      <c r="J137" s="231"/>
      <c r="K137" s="231">
        <v>2837.54</v>
      </c>
      <c r="L137" s="231">
        <v>2601.64</v>
      </c>
      <c r="M137" s="231">
        <v>2426.4</v>
      </c>
      <c r="N137" s="231">
        <v>2890</v>
      </c>
      <c r="O137" s="231">
        <v>2652</v>
      </c>
      <c r="P137" s="231">
        <v>2453.36</v>
      </c>
      <c r="Q137" s="231">
        <v>2972.34</v>
      </c>
      <c r="R137" s="231">
        <v>2493.8000000000002</v>
      </c>
      <c r="S137" s="231">
        <v>2493.3000000000002</v>
      </c>
      <c r="T137" s="231">
        <v>2757.68</v>
      </c>
      <c r="U137" s="231">
        <v>2656.7</v>
      </c>
      <c r="V137" s="231">
        <v>2501.1999999999998</v>
      </c>
      <c r="W137" s="231"/>
      <c r="X137" s="388">
        <f t="shared" si="64"/>
        <v>31735.96</v>
      </c>
      <c r="Y137" s="389"/>
      <c r="Z137" s="233">
        <f t="shared" si="65"/>
        <v>421</v>
      </c>
      <c r="AA137" s="233">
        <f t="shared" si="66"/>
        <v>385.99999999999994</v>
      </c>
      <c r="AB137" s="233">
        <f t="shared" si="67"/>
        <v>360</v>
      </c>
      <c r="AC137" s="233">
        <f t="shared" si="68"/>
        <v>425</v>
      </c>
      <c r="AD137" s="233">
        <f t="shared" si="69"/>
        <v>390</v>
      </c>
      <c r="AE137" s="232">
        <f t="shared" si="70"/>
        <v>364</v>
      </c>
      <c r="AF137" s="232">
        <f t="shared" si="71"/>
        <v>441</v>
      </c>
      <c r="AG137" s="232">
        <f t="shared" si="72"/>
        <v>370</v>
      </c>
      <c r="AH137" s="233">
        <f t="shared" si="73"/>
        <v>368.83136094674558</v>
      </c>
      <c r="AI137" s="233">
        <f t="shared" si="74"/>
        <v>407.94082840236683</v>
      </c>
      <c r="AJ137" s="233">
        <f t="shared" si="75"/>
        <v>393.00295857988164</v>
      </c>
      <c r="AK137" s="233">
        <f t="shared" si="76"/>
        <v>370</v>
      </c>
      <c r="AL137" s="260">
        <f t="shared" si="77"/>
        <v>391.39792899408286</v>
      </c>
      <c r="AM137" s="234">
        <f>AL137/4.33</f>
        <v>90.392131407409437</v>
      </c>
      <c r="AN137" s="234">
        <f t="shared" si="78"/>
        <v>4701.5502958579873</v>
      </c>
      <c r="AO137" s="218" t="str">
        <f>+VLOOKUP($B137,Mapping!$C$31:$C$81,1,FALSE)</f>
        <v>CANCOUNT65-COMM</v>
      </c>
    </row>
    <row r="138" spans="1:41">
      <c r="A138" s="218" t="str">
        <f>$A$1&amp;"Commercial"&amp;B138</f>
        <v>PIERCE UTCCommercialCANCOUNT95-COMM</v>
      </c>
      <c r="B138" s="230" t="s">
        <v>289</v>
      </c>
      <c r="C138" s="230" t="s">
        <v>290</v>
      </c>
      <c r="D138" s="230" t="s">
        <v>397</v>
      </c>
      <c r="E138" s="380">
        <v>33000</v>
      </c>
      <c r="F138" s="231">
        <v>8.6</v>
      </c>
      <c r="G138" s="231">
        <v>8.68</v>
      </c>
      <c r="H138" s="231">
        <v>8.6</v>
      </c>
      <c r="I138" s="231">
        <v>8.6300000000000008</v>
      </c>
      <c r="J138" s="231"/>
      <c r="K138" s="231">
        <v>0</v>
      </c>
      <c r="L138" s="231">
        <v>8.6</v>
      </c>
      <c r="M138" s="231">
        <v>8.6</v>
      </c>
      <c r="N138" s="231">
        <v>0</v>
      </c>
      <c r="O138" s="231">
        <v>0</v>
      </c>
      <c r="P138" s="231">
        <v>0</v>
      </c>
      <c r="Q138" s="231">
        <v>0</v>
      </c>
      <c r="R138" s="231">
        <v>0</v>
      </c>
      <c r="S138" s="231">
        <v>0</v>
      </c>
      <c r="T138" s="231">
        <v>8.6300000000000008</v>
      </c>
      <c r="U138" s="231">
        <v>0</v>
      </c>
      <c r="V138" s="231">
        <v>0</v>
      </c>
      <c r="W138" s="231"/>
      <c r="X138" s="388">
        <f t="shared" si="64"/>
        <v>25.83</v>
      </c>
      <c r="Y138" s="389"/>
      <c r="Z138" s="233">
        <f t="shared" si="65"/>
        <v>0</v>
      </c>
      <c r="AA138" s="233">
        <f t="shared" si="66"/>
        <v>1</v>
      </c>
      <c r="AB138" s="233">
        <f t="shared" si="67"/>
        <v>1</v>
      </c>
      <c r="AC138" s="233">
        <f t="shared" si="68"/>
        <v>0</v>
      </c>
      <c r="AD138" s="233">
        <f t="shared" si="69"/>
        <v>0</v>
      </c>
      <c r="AE138" s="232">
        <f t="shared" si="70"/>
        <v>0</v>
      </c>
      <c r="AF138" s="232">
        <f t="shared" si="71"/>
        <v>0</v>
      </c>
      <c r="AG138" s="232">
        <f t="shared" si="72"/>
        <v>0</v>
      </c>
      <c r="AH138" s="233">
        <f t="shared" si="73"/>
        <v>0</v>
      </c>
      <c r="AI138" s="233">
        <f t="shared" si="74"/>
        <v>1</v>
      </c>
      <c r="AJ138" s="233">
        <f t="shared" si="75"/>
        <v>0</v>
      </c>
      <c r="AK138" s="233">
        <f t="shared" si="76"/>
        <v>0</v>
      </c>
      <c r="AL138" s="260">
        <f t="shared" si="77"/>
        <v>0.25</v>
      </c>
      <c r="AM138" s="234">
        <f>AL138/4.33</f>
        <v>5.7736720554272515E-2</v>
      </c>
      <c r="AN138" s="234">
        <f t="shared" si="78"/>
        <v>2</v>
      </c>
      <c r="AO138" s="218" t="str">
        <f>+VLOOKUP($B138,Mapping!$C$31:$C$81,1,FALSE)</f>
        <v>CANCOUNT95-COMM</v>
      </c>
    </row>
    <row r="139" spans="1:41">
      <c r="A139" s="218" t="str">
        <f>$A$1&amp;"Commercial"&amp;B139</f>
        <v>PIERCE UTCCommercialCANCOUNT-COMM</v>
      </c>
      <c r="B139" s="230" t="s">
        <v>291</v>
      </c>
      <c r="C139" s="230" t="s">
        <v>292</v>
      </c>
      <c r="D139" s="230" t="s">
        <v>397</v>
      </c>
      <c r="E139" s="380">
        <v>33000</v>
      </c>
      <c r="F139" s="231">
        <v>3.34</v>
      </c>
      <c r="G139" s="231">
        <v>3.38</v>
      </c>
      <c r="H139" s="231">
        <v>3.31</v>
      </c>
      <c r="I139" s="231">
        <v>3.32</v>
      </c>
      <c r="J139" s="231"/>
      <c r="K139" s="231">
        <v>14131.539999999999</v>
      </c>
      <c r="L139" s="231">
        <v>12177.64</v>
      </c>
      <c r="M139" s="231">
        <v>9625.8799999999992</v>
      </c>
      <c r="N139" s="231">
        <v>11699.78</v>
      </c>
      <c r="O139" s="231">
        <v>10914.02</v>
      </c>
      <c r="P139" s="231">
        <v>11418.43</v>
      </c>
      <c r="Q139" s="231">
        <v>11846.49</v>
      </c>
      <c r="R139" s="231">
        <v>11889.52</v>
      </c>
      <c r="S139" s="231">
        <v>11452.49</v>
      </c>
      <c r="T139" s="231">
        <v>10388.280000000001</v>
      </c>
      <c r="U139" s="231">
        <v>11825.84</v>
      </c>
      <c r="V139" s="231">
        <v>11716.28</v>
      </c>
      <c r="W139" s="231"/>
      <c r="X139" s="388">
        <f t="shared" si="64"/>
        <v>139086.19000000003</v>
      </c>
      <c r="Y139" s="389"/>
      <c r="Z139" s="233">
        <f t="shared" si="65"/>
        <v>4231</v>
      </c>
      <c r="AA139" s="233">
        <f t="shared" si="66"/>
        <v>3646</v>
      </c>
      <c r="AB139" s="233">
        <f t="shared" si="67"/>
        <v>2882</v>
      </c>
      <c r="AC139" s="233">
        <f t="shared" si="68"/>
        <v>3461.4733727810653</v>
      </c>
      <c r="AD139" s="233">
        <f t="shared" si="69"/>
        <v>3229.0000000000005</v>
      </c>
      <c r="AE139" s="232">
        <f t="shared" si="70"/>
        <v>3449.6767371601209</v>
      </c>
      <c r="AF139" s="232">
        <f t="shared" si="71"/>
        <v>3579</v>
      </c>
      <c r="AG139" s="232">
        <f t="shared" si="72"/>
        <v>3592</v>
      </c>
      <c r="AH139" s="233">
        <f t="shared" si="73"/>
        <v>3449.5451807228915</v>
      </c>
      <c r="AI139" s="233">
        <f t="shared" si="74"/>
        <v>3129.0000000000005</v>
      </c>
      <c r="AJ139" s="233">
        <f t="shared" si="75"/>
        <v>3562</v>
      </c>
      <c r="AK139" s="233">
        <f t="shared" si="76"/>
        <v>3529.0000000000005</v>
      </c>
      <c r="AL139" s="260">
        <f t="shared" si="77"/>
        <v>3478.3079408886733</v>
      </c>
      <c r="AM139" s="234">
        <f>AL139/4.33</f>
        <v>803.30437433918553</v>
      </c>
      <c r="AN139" s="234">
        <f t="shared" si="78"/>
        <v>41681.090361445778</v>
      </c>
      <c r="AO139" s="218" t="str">
        <f>+VLOOKUP($B139,Mapping!$C$31:$C$81,1,FALSE)</f>
        <v>CANCOUNT-COMM</v>
      </c>
    </row>
    <row r="140" spans="1:41">
      <c r="A140" s="218" t="str">
        <f>$A$1&amp;"Commercial"&amp;B140</f>
        <v>PIERCE UTCCommercialDIST4CAN-COMM</v>
      </c>
      <c r="B140" s="230" t="s">
        <v>293</v>
      </c>
      <c r="C140" s="230" t="s">
        <v>294</v>
      </c>
      <c r="D140" s="230" t="s">
        <v>397</v>
      </c>
      <c r="E140" s="380">
        <v>33000</v>
      </c>
      <c r="F140" s="231">
        <v>57.85</v>
      </c>
      <c r="G140" s="231">
        <v>58.54</v>
      </c>
      <c r="H140" s="231">
        <v>57.33</v>
      </c>
      <c r="I140" s="231">
        <v>57.5</v>
      </c>
      <c r="J140" s="231"/>
      <c r="K140" s="231">
        <v>231.4</v>
      </c>
      <c r="L140" s="231">
        <v>231.4</v>
      </c>
      <c r="M140" s="231">
        <v>231.4</v>
      </c>
      <c r="N140" s="231">
        <v>234.16</v>
      </c>
      <c r="O140" s="231">
        <v>234.16</v>
      </c>
      <c r="P140" s="231">
        <v>229.32</v>
      </c>
      <c r="Q140" s="231">
        <v>229.32</v>
      </c>
      <c r="R140" s="231">
        <v>229.32</v>
      </c>
      <c r="S140" s="231">
        <v>230</v>
      </c>
      <c r="T140" s="231">
        <v>230</v>
      </c>
      <c r="U140" s="231">
        <v>230</v>
      </c>
      <c r="V140" s="231">
        <v>230</v>
      </c>
      <c r="W140" s="231"/>
      <c r="X140" s="388">
        <f t="shared" si="64"/>
        <v>2770.4799999999996</v>
      </c>
      <c r="Y140" s="389"/>
      <c r="Z140" s="233">
        <f t="shared" si="65"/>
        <v>4</v>
      </c>
      <c r="AA140" s="233">
        <f t="shared" si="66"/>
        <v>4</v>
      </c>
      <c r="AB140" s="233">
        <f t="shared" si="67"/>
        <v>4</v>
      </c>
      <c r="AC140" s="233">
        <f t="shared" si="68"/>
        <v>4</v>
      </c>
      <c r="AD140" s="233">
        <f t="shared" si="69"/>
        <v>4</v>
      </c>
      <c r="AE140" s="232">
        <f t="shared" si="70"/>
        <v>4</v>
      </c>
      <c r="AF140" s="232">
        <f t="shared" si="71"/>
        <v>4</v>
      </c>
      <c r="AG140" s="232">
        <f t="shared" si="72"/>
        <v>4</v>
      </c>
      <c r="AH140" s="233">
        <f t="shared" si="73"/>
        <v>4</v>
      </c>
      <c r="AI140" s="233">
        <f t="shared" si="74"/>
        <v>4</v>
      </c>
      <c r="AJ140" s="233">
        <f t="shared" si="75"/>
        <v>4</v>
      </c>
      <c r="AK140" s="233">
        <f t="shared" si="76"/>
        <v>4</v>
      </c>
      <c r="AL140" s="234">
        <f t="shared" si="77"/>
        <v>4</v>
      </c>
      <c r="AN140" s="234">
        <f t="shared" si="78"/>
        <v>48</v>
      </c>
      <c r="AO140" s="218" t="str">
        <f>+VLOOKUP($B140,Mapping!$C$31:$C$81,1,FALSE)</f>
        <v>DIST4CAN-COMM</v>
      </c>
    </row>
    <row r="141" spans="1:41">
      <c r="A141" s="218" t="str">
        <f>$A$1&amp;"Commercial"&amp;B141</f>
        <v>PIERCE UTCCommercialFL001.0YXX001TEMPC</v>
      </c>
      <c r="B141" s="230" t="s">
        <v>295</v>
      </c>
      <c r="C141" s="230" t="s">
        <v>296</v>
      </c>
      <c r="D141" s="230" t="s">
        <v>397</v>
      </c>
      <c r="E141" s="380">
        <v>33000</v>
      </c>
      <c r="F141" s="231">
        <v>23.38</v>
      </c>
      <c r="G141" s="231">
        <v>23.6</v>
      </c>
      <c r="H141" s="231">
        <v>23.38</v>
      </c>
      <c r="I141" s="231">
        <v>23.44</v>
      </c>
      <c r="J141" s="231"/>
      <c r="K141" s="231">
        <v>46.76</v>
      </c>
      <c r="L141" s="231">
        <v>23.38</v>
      </c>
      <c r="M141" s="231">
        <v>23.38</v>
      </c>
      <c r="N141" s="231">
        <v>23.6</v>
      </c>
      <c r="O141" s="231">
        <v>70.8</v>
      </c>
      <c r="P141" s="231">
        <v>70.14</v>
      </c>
      <c r="Q141" s="231">
        <v>233.8</v>
      </c>
      <c r="R141" s="231">
        <v>140.28</v>
      </c>
      <c r="S141" s="231">
        <v>70.319999999999993</v>
      </c>
      <c r="T141" s="231">
        <v>281.27999999999997</v>
      </c>
      <c r="U141" s="231">
        <v>281.27999999999997</v>
      </c>
      <c r="V141" s="231">
        <v>421.92</v>
      </c>
      <c r="W141" s="231"/>
      <c r="X141" s="388">
        <f t="shared" si="64"/>
        <v>1686.94</v>
      </c>
      <c r="Y141" s="389"/>
      <c r="Z141" s="233">
        <f t="shared" si="65"/>
        <v>2</v>
      </c>
      <c r="AA141" s="233">
        <f t="shared" si="66"/>
        <v>1</v>
      </c>
      <c r="AB141" s="233">
        <f t="shared" si="67"/>
        <v>1</v>
      </c>
      <c r="AC141" s="233">
        <f t="shared" si="68"/>
        <v>1</v>
      </c>
      <c r="AD141" s="233">
        <f t="shared" si="69"/>
        <v>2.9999999999999996</v>
      </c>
      <c r="AE141" s="232">
        <f t="shared" si="70"/>
        <v>3</v>
      </c>
      <c r="AF141" s="232">
        <f t="shared" si="71"/>
        <v>10.000000000000002</v>
      </c>
      <c r="AG141" s="232">
        <f t="shared" si="72"/>
        <v>6</v>
      </c>
      <c r="AH141" s="233">
        <f t="shared" si="73"/>
        <v>2.9999999999999996</v>
      </c>
      <c r="AI141" s="233">
        <f t="shared" si="74"/>
        <v>11.999999999999998</v>
      </c>
      <c r="AJ141" s="233">
        <f t="shared" si="75"/>
        <v>11.999999999999998</v>
      </c>
      <c r="AK141" s="233">
        <f t="shared" si="76"/>
        <v>18</v>
      </c>
      <c r="AL141" s="234">
        <f t="shared" si="77"/>
        <v>6</v>
      </c>
      <c r="AN141" s="234">
        <f t="shared" si="78"/>
        <v>122</v>
      </c>
      <c r="AO141" s="218" t="str">
        <f>+VLOOKUP($B141,Mapping!$C$31:$C$81,1,FALSE)</f>
        <v>FL001.0YXX001TEMPC</v>
      </c>
    </row>
    <row r="142" spans="1:41">
      <c r="A142" s="218" t="str">
        <f>$A$1&amp;"Commercial"&amp;B142</f>
        <v>PIERCE UTCCommercialFL001.5YXX001TEMPC</v>
      </c>
      <c r="B142" s="230" t="s">
        <v>297</v>
      </c>
      <c r="C142" s="230" t="s">
        <v>298</v>
      </c>
      <c r="D142" s="230" t="s">
        <v>397</v>
      </c>
      <c r="E142" s="380">
        <v>33000</v>
      </c>
      <c r="F142" s="231">
        <v>31.2</v>
      </c>
      <c r="G142" s="231">
        <v>31.51</v>
      </c>
      <c r="H142" s="231">
        <v>31.22</v>
      </c>
      <c r="I142" s="231">
        <v>31.31</v>
      </c>
      <c r="J142" s="231"/>
      <c r="K142" s="231">
        <v>93.6</v>
      </c>
      <c r="L142" s="231">
        <v>156</v>
      </c>
      <c r="M142" s="231">
        <v>156</v>
      </c>
      <c r="N142" s="231">
        <v>378.12</v>
      </c>
      <c r="O142" s="231">
        <v>346.61</v>
      </c>
      <c r="P142" s="231">
        <v>530.74</v>
      </c>
      <c r="Q142" s="231">
        <v>1436.12</v>
      </c>
      <c r="R142" s="231">
        <v>2216.62</v>
      </c>
      <c r="S142" s="231">
        <v>1471.03</v>
      </c>
      <c r="T142" s="231">
        <v>751.44</v>
      </c>
      <c r="U142" s="231">
        <v>626.20000000000005</v>
      </c>
      <c r="V142" s="231">
        <v>313.10000000000002</v>
      </c>
      <c r="W142" s="231"/>
      <c r="X142" s="388">
        <f t="shared" si="64"/>
        <v>8475.5799999999981</v>
      </c>
      <c r="Y142" s="389"/>
      <c r="Z142" s="233">
        <f t="shared" si="65"/>
        <v>3</v>
      </c>
      <c r="AA142" s="233">
        <f t="shared" si="66"/>
        <v>5</v>
      </c>
      <c r="AB142" s="233">
        <f t="shared" si="67"/>
        <v>5</v>
      </c>
      <c r="AC142" s="233">
        <f t="shared" si="68"/>
        <v>12</v>
      </c>
      <c r="AD142" s="233">
        <f t="shared" si="69"/>
        <v>11</v>
      </c>
      <c r="AE142" s="232">
        <f t="shared" si="70"/>
        <v>17</v>
      </c>
      <c r="AF142" s="232">
        <f t="shared" si="71"/>
        <v>46</v>
      </c>
      <c r="AG142" s="232">
        <f t="shared" si="72"/>
        <v>71</v>
      </c>
      <c r="AH142" s="233">
        <f t="shared" si="73"/>
        <v>46.982753114021079</v>
      </c>
      <c r="AI142" s="233">
        <f t="shared" si="74"/>
        <v>24.000000000000004</v>
      </c>
      <c r="AJ142" s="233">
        <f t="shared" si="75"/>
        <v>20.000000000000004</v>
      </c>
      <c r="AK142" s="233">
        <f t="shared" si="76"/>
        <v>10.000000000000002</v>
      </c>
      <c r="AL142" s="234">
        <f t="shared" si="77"/>
        <v>22.581896092835091</v>
      </c>
      <c r="AN142" s="234">
        <f t="shared" si="78"/>
        <v>435.96550622804216</v>
      </c>
      <c r="AO142" s="218" t="str">
        <f>+VLOOKUP($B142,Mapping!$C$31:$C$81,1,FALSE)</f>
        <v>FL001.5YXX001TEMPC</v>
      </c>
    </row>
    <row r="143" spans="1:41">
      <c r="A143" s="218" t="str">
        <f>$A$1&amp;"Commercial"&amp;B143</f>
        <v>PIERCE UTCCommercialFL002.0YXX001TEMPC</v>
      </c>
      <c r="B143" s="230" t="s">
        <v>299</v>
      </c>
      <c r="C143" s="230" t="s">
        <v>300</v>
      </c>
      <c r="D143" s="230" t="s">
        <v>397</v>
      </c>
      <c r="E143" s="380">
        <v>33000</v>
      </c>
      <c r="F143" s="231">
        <v>38.049999999999997</v>
      </c>
      <c r="G143" s="231">
        <v>38.450000000000003</v>
      </c>
      <c r="H143" s="231">
        <v>38.090000000000003</v>
      </c>
      <c r="I143" s="231">
        <v>38.200000000000003</v>
      </c>
      <c r="J143" s="231"/>
      <c r="K143" s="231">
        <v>1255.6499999999999</v>
      </c>
      <c r="L143" s="231">
        <v>1400.69</v>
      </c>
      <c r="M143" s="231">
        <v>1788.35</v>
      </c>
      <c r="N143" s="231">
        <v>2154</v>
      </c>
      <c r="O143" s="231">
        <v>4652.4499999999989</v>
      </c>
      <c r="P143" s="231">
        <v>5333.32</v>
      </c>
      <c r="Q143" s="231">
        <v>5104.0600000000004</v>
      </c>
      <c r="R143" s="231">
        <v>5866.94</v>
      </c>
      <c r="S143" s="231">
        <v>4466.87</v>
      </c>
      <c r="T143" s="231">
        <v>5538.9999999999991</v>
      </c>
      <c r="U143" s="231">
        <v>4927.7999999999993</v>
      </c>
      <c r="V143" s="231">
        <v>4049.2</v>
      </c>
      <c r="W143" s="231"/>
      <c r="X143" s="388">
        <f t="shared" si="64"/>
        <v>46538.329999999987</v>
      </c>
      <c r="Y143" s="389"/>
      <c r="Z143" s="233">
        <f t="shared" si="65"/>
        <v>33</v>
      </c>
      <c r="AA143" s="233">
        <f t="shared" si="66"/>
        <v>36.811826544021031</v>
      </c>
      <c r="AB143" s="233">
        <f t="shared" si="67"/>
        <v>47</v>
      </c>
      <c r="AC143" s="233">
        <f t="shared" si="68"/>
        <v>56.020806241872556</v>
      </c>
      <c r="AD143" s="233">
        <f t="shared" si="69"/>
        <v>120.99999999999996</v>
      </c>
      <c r="AE143" s="232">
        <f t="shared" si="70"/>
        <v>140.01890259910735</v>
      </c>
      <c r="AF143" s="232">
        <f t="shared" si="71"/>
        <v>134</v>
      </c>
      <c r="AG143" s="232">
        <f t="shared" si="72"/>
        <v>154.02835389866104</v>
      </c>
      <c r="AH143" s="233">
        <f t="shared" si="73"/>
        <v>116.93376963350784</v>
      </c>
      <c r="AI143" s="233">
        <f t="shared" si="74"/>
        <v>144.99999999999997</v>
      </c>
      <c r="AJ143" s="233">
        <f t="shared" si="75"/>
        <v>128.99999999999997</v>
      </c>
      <c r="AK143" s="233">
        <f t="shared" si="76"/>
        <v>105.99999999999999</v>
      </c>
      <c r="AL143" s="234">
        <f t="shared" si="77"/>
        <v>101.56780490976415</v>
      </c>
      <c r="AN143" s="234">
        <f t="shared" si="78"/>
        <v>1569.9242470643378</v>
      </c>
      <c r="AO143" s="218" t="str">
        <f>+VLOOKUP($B143,Mapping!$C$31:$C$81,1,FALSE)</f>
        <v>FL002.0YXX001TEMPC</v>
      </c>
    </row>
    <row r="144" spans="1:41">
      <c r="A144" s="218" t="str">
        <f>$A$1&amp;"Commercial"&amp;B144</f>
        <v>PIERCE UTCCommercialFL003.0YXX001TEMPC</v>
      </c>
      <c r="B144" s="230" t="s">
        <v>301</v>
      </c>
      <c r="C144" s="230" t="s">
        <v>302</v>
      </c>
      <c r="D144" s="230" t="s">
        <v>397</v>
      </c>
      <c r="E144" s="380">
        <v>33000</v>
      </c>
      <c r="F144" s="231">
        <v>53.43</v>
      </c>
      <c r="G144" s="231">
        <v>54.02</v>
      </c>
      <c r="H144" s="231">
        <v>53.52</v>
      </c>
      <c r="I144" s="231">
        <v>53.67</v>
      </c>
      <c r="J144" s="231"/>
      <c r="K144" s="231">
        <v>0</v>
      </c>
      <c r="L144" s="231">
        <v>0</v>
      </c>
      <c r="M144" s="231">
        <v>0</v>
      </c>
      <c r="N144" s="231">
        <v>0</v>
      </c>
      <c r="O144" s="231">
        <v>0</v>
      </c>
      <c r="P144" s="231">
        <v>0</v>
      </c>
      <c r="Q144" s="231">
        <v>0</v>
      </c>
      <c r="R144" s="231">
        <v>0</v>
      </c>
      <c r="S144" s="231">
        <v>0</v>
      </c>
      <c r="T144" s="231">
        <v>0</v>
      </c>
      <c r="U144" s="231">
        <v>0</v>
      </c>
      <c r="V144" s="231">
        <v>0</v>
      </c>
      <c r="W144" s="231"/>
      <c r="X144" s="388">
        <f t="shared" si="64"/>
        <v>0</v>
      </c>
      <c r="Y144" s="389"/>
      <c r="Z144" s="233">
        <f t="shared" si="65"/>
        <v>0</v>
      </c>
      <c r="AA144" s="233">
        <f t="shared" si="66"/>
        <v>0</v>
      </c>
      <c r="AB144" s="233">
        <f t="shared" si="67"/>
        <v>0</v>
      </c>
      <c r="AC144" s="233">
        <f t="shared" si="68"/>
        <v>0</v>
      </c>
      <c r="AD144" s="233">
        <f t="shared" si="69"/>
        <v>0</v>
      </c>
      <c r="AE144" s="232">
        <f t="shared" si="70"/>
        <v>0</v>
      </c>
      <c r="AF144" s="232">
        <f t="shared" si="71"/>
        <v>0</v>
      </c>
      <c r="AG144" s="232">
        <f t="shared" si="72"/>
        <v>0</v>
      </c>
      <c r="AH144" s="233">
        <f t="shared" si="73"/>
        <v>0</v>
      </c>
      <c r="AI144" s="233">
        <f t="shared" si="74"/>
        <v>0</v>
      </c>
      <c r="AJ144" s="233">
        <f t="shared" si="75"/>
        <v>0</v>
      </c>
      <c r="AK144" s="233">
        <f t="shared" si="76"/>
        <v>0</v>
      </c>
      <c r="AL144" s="234">
        <f t="shared" si="77"/>
        <v>0</v>
      </c>
      <c r="AN144" s="234">
        <f t="shared" si="78"/>
        <v>0</v>
      </c>
      <c r="AO144" s="218" t="e">
        <f>+VLOOKUP($B144,Mapping!$C$31:$C$81,1,FALSE)</f>
        <v>#N/A</v>
      </c>
    </row>
    <row r="145" spans="1:41">
      <c r="A145" s="218" t="str">
        <f>$A$1&amp;"Commercial"&amp;B145</f>
        <v>PIERCE UTCCommercialFL004.0YXX001TEMPC</v>
      </c>
      <c r="B145" s="230" t="s">
        <v>303</v>
      </c>
      <c r="C145" s="230" t="s">
        <v>304</v>
      </c>
      <c r="D145" s="230" t="s">
        <v>397</v>
      </c>
      <c r="E145" s="380">
        <v>33000</v>
      </c>
      <c r="F145" s="231">
        <v>68.87</v>
      </c>
      <c r="G145" s="231">
        <v>69.63</v>
      </c>
      <c r="H145" s="231">
        <v>68.98</v>
      </c>
      <c r="I145" s="231">
        <v>69.17</v>
      </c>
      <c r="J145" s="231"/>
      <c r="K145" s="231">
        <v>0</v>
      </c>
      <c r="L145" s="231">
        <v>0</v>
      </c>
      <c r="M145" s="231">
        <v>0</v>
      </c>
      <c r="N145" s="231">
        <v>0</v>
      </c>
      <c r="O145" s="231">
        <v>0</v>
      </c>
      <c r="P145" s="231">
        <v>0</v>
      </c>
      <c r="Q145" s="231">
        <v>0</v>
      </c>
      <c r="R145" s="231">
        <v>0</v>
      </c>
      <c r="S145" s="231">
        <v>69.17</v>
      </c>
      <c r="T145" s="231">
        <v>0</v>
      </c>
      <c r="U145" s="231">
        <v>0</v>
      </c>
      <c r="V145" s="231">
        <v>0</v>
      </c>
      <c r="W145" s="231"/>
      <c r="X145" s="388">
        <f t="shared" si="64"/>
        <v>69.17</v>
      </c>
      <c r="Y145" s="389"/>
      <c r="Z145" s="233">
        <f t="shared" si="65"/>
        <v>0</v>
      </c>
      <c r="AA145" s="233">
        <f t="shared" si="66"/>
        <v>0</v>
      </c>
      <c r="AB145" s="233">
        <f t="shared" si="67"/>
        <v>0</v>
      </c>
      <c r="AC145" s="233">
        <f t="shared" si="68"/>
        <v>0</v>
      </c>
      <c r="AD145" s="233">
        <f t="shared" si="69"/>
        <v>0</v>
      </c>
      <c r="AE145" s="232">
        <f t="shared" si="70"/>
        <v>0</v>
      </c>
      <c r="AF145" s="232">
        <f t="shared" si="71"/>
        <v>0</v>
      </c>
      <c r="AG145" s="232">
        <f t="shared" si="72"/>
        <v>0</v>
      </c>
      <c r="AH145" s="233">
        <f t="shared" si="73"/>
        <v>1</v>
      </c>
      <c r="AI145" s="233">
        <f t="shared" si="74"/>
        <v>0</v>
      </c>
      <c r="AJ145" s="233">
        <f t="shared" si="75"/>
        <v>0</v>
      </c>
      <c r="AK145" s="233">
        <f t="shared" si="76"/>
        <v>0</v>
      </c>
      <c r="AL145" s="234">
        <f t="shared" si="77"/>
        <v>8.3333333333333329E-2</v>
      </c>
      <c r="AN145" s="234">
        <f t="shared" si="78"/>
        <v>2</v>
      </c>
      <c r="AO145" s="218" t="str">
        <f>+VLOOKUP($B145,Mapping!$C$31:$C$81,1,FALSE)</f>
        <v>FL004.0YXX001TEMPC</v>
      </c>
    </row>
    <row r="146" spans="1:41">
      <c r="A146" s="218" t="str">
        <f>$A$1&amp;"Commercial"&amp;B146</f>
        <v>PIERCE UTCCommercialFL006.0YXX001TEMPC</v>
      </c>
      <c r="B146" s="230" t="s">
        <v>305</v>
      </c>
      <c r="C146" s="230" t="s">
        <v>306</v>
      </c>
      <c r="D146" s="230" t="s">
        <v>397</v>
      </c>
      <c r="E146" s="380">
        <v>33000</v>
      </c>
      <c r="F146" s="231">
        <v>95.91</v>
      </c>
      <c r="G146" s="231">
        <v>96.96</v>
      </c>
      <c r="H146" s="231">
        <v>96.05</v>
      </c>
      <c r="I146" s="231">
        <v>96.32</v>
      </c>
      <c r="J146" s="231"/>
      <c r="K146" s="231">
        <v>95.91</v>
      </c>
      <c r="L146" s="231">
        <v>191.82</v>
      </c>
      <c r="M146" s="231">
        <v>287.73</v>
      </c>
      <c r="N146" s="231">
        <v>96.96</v>
      </c>
      <c r="O146" s="231">
        <v>0</v>
      </c>
      <c r="P146" s="231">
        <v>0</v>
      </c>
      <c r="Q146" s="231">
        <v>96.05</v>
      </c>
      <c r="R146" s="231">
        <v>96.05</v>
      </c>
      <c r="S146" s="231">
        <v>0</v>
      </c>
      <c r="T146" s="231">
        <v>288.95999999999998</v>
      </c>
      <c r="U146" s="231">
        <v>0</v>
      </c>
      <c r="V146" s="231">
        <v>0</v>
      </c>
      <c r="W146" s="231"/>
      <c r="X146" s="388">
        <f t="shared" si="64"/>
        <v>1153.48</v>
      </c>
      <c r="Y146" s="389"/>
      <c r="Z146" s="233">
        <f t="shared" si="65"/>
        <v>1</v>
      </c>
      <c r="AA146" s="233">
        <f t="shared" si="66"/>
        <v>2</v>
      </c>
      <c r="AB146" s="233">
        <f t="shared" si="67"/>
        <v>3.0000000000000004</v>
      </c>
      <c r="AC146" s="233">
        <f t="shared" si="68"/>
        <v>1</v>
      </c>
      <c r="AD146" s="233">
        <f t="shared" si="69"/>
        <v>0</v>
      </c>
      <c r="AE146" s="232">
        <f t="shared" si="70"/>
        <v>0</v>
      </c>
      <c r="AF146" s="232">
        <f t="shared" si="71"/>
        <v>1</v>
      </c>
      <c r="AG146" s="232">
        <f t="shared" si="72"/>
        <v>1</v>
      </c>
      <c r="AH146" s="233">
        <f t="shared" si="73"/>
        <v>0</v>
      </c>
      <c r="AI146" s="233">
        <f t="shared" si="74"/>
        <v>3</v>
      </c>
      <c r="AJ146" s="233">
        <f t="shared" si="75"/>
        <v>0</v>
      </c>
      <c r="AK146" s="233">
        <f t="shared" si="76"/>
        <v>0</v>
      </c>
      <c r="AL146" s="234">
        <f t="shared" si="77"/>
        <v>1</v>
      </c>
      <c r="AN146" s="234">
        <f t="shared" si="78"/>
        <v>10</v>
      </c>
      <c r="AO146" s="218" t="str">
        <f>+VLOOKUP($B146,Mapping!$C$31:$C$81,1,FALSE)</f>
        <v>FL006.0YXX001TEMPC</v>
      </c>
    </row>
    <row r="147" spans="1:41">
      <c r="A147" s="218" t="str">
        <f>$A$1&amp;"Commercial"&amp;B147</f>
        <v>PIERCE UTCCommercialRENT1.5TEMP-COMM</v>
      </c>
      <c r="B147" s="230" t="s">
        <v>398</v>
      </c>
      <c r="C147" s="230" t="s">
        <v>399</v>
      </c>
      <c r="D147" s="230" t="s">
        <v>397</v>
      </c>
      <c r="E147" s="380">
        <v>33000</v>
      </c>
      <c r="F147" s="231">
        <v>0.53</v>
      </c>
      <c r="G147" s="231">
        <v>0.53</v>
      </c>
      <c r="H147" s="231">
        <v>0.52</v>
      </c>
      <c r="I147" s="231">
        <v>0.52</v>
      </c>
      <c r="J147" s="231"/>
      <c r="K147" s="231">
        <v>111.83</v>
      </c>
      <c r="L147" s="231">
        <v>61.48</v>
      </c>
      <c r="M147" s="231">
        <v>47.7</v>
      </c>
      <c r="N147" s="231">
        <v>100.7</v>
      </c>
      <c r="O147" s="231">
        <v>137.27000000000001</v>
      </c>
      <c r="P147" s="231">
        <v>174.2</v>
      </c>
      <c r="Q147" s="231">
        <v>260</v>
      </c>
      <c r="R147" s="231">
        <v>304.72000000000003</v>
      </c>
      <c r="S147" s="231">
        <v>279.76</v>
      </c>
      <c r="T147" s="231">
        <v>207.48</v>
      </c>
      <c r="U147" s="231">
        <v>107.64</v>
      </c>
      <c r="V147" s="231">
        <v>81.64</v>
      </c>
      <c r="W147" s="231"/>
      <c r="X147" s="388">
        <f t="shared" si="64"/>
        <v>1874.4200000000003</v>
      </c>
      <c r="Y147" s="389"/>
      <c r="Z147" s="233">
        <f t="shared" si="65"/>
        <v>211</v>
      </c>
      <c r="AA147" s="233">
        <f t="shared" si="66"/>
        <v>115.99999999999999</v>
      </c>
      <c r="AB147" s="233">
        <f t="shared" si="67"/>
        <v>90</v>
      </c>
      <c r="AC147" s="233">
        <f t="shared" si="68"/>
        <v>190</v>
      </c>
      <c r="AD147" s="233">
        <f t="shared" si="69"/>
        <v>259</v>
      </c>
      <c r="AE147" s="232">
        <f t="shared" si="70"/>
        <v>334.99999999999994</v>
      </c>
      <c r="AF147" s="232">
        <f t="shared" si="71"/>
        <v>500</v>
      </c>
      <c r="AG147" s="232">
        <f t="shared" si="72"/>
        <v>586</v>
      </c>
      <c r="AH147" s="233">
        <f t="shared" si="73"/>
        <v>538</v>
      </c>
      <c r="AI147" s="233">
        <f t="shared" si="74"/>
        <v>398.99999999999994</v>
      </c>
      <c r="AJ147" s="233">
        <f t="shared" si="75"/>
        <v>207</v>
      </c>
      <c r="AK147" s="233">
        <f t="shared" si="76"/>
        <v>157</v>
      </c>
      <c r="AL147" s="260">
        <f t="shared" si="77"/>
        <v>299</v>
      </c>
      <c r="AM147" s="234">
        <f t="shared" ref="AM147:AM152" si="79">+AL147/30</f>
        <v>9.9666666666666668</v>
      </c>
      <c r="AN147" s="234">
        <f t="shared" si="78"/>
        <v>4774</v>
      </c>
      <c r="AO147" s="218" t="e">
        <f>+VLOOKUP($B147,Mapping!$C$31:$C$81,1,FALSE)</f>
        <v>#N/A</v>
      </c>
    </row>
    <row r="148" spans="1:41">
      <c r="A148" s="218" t="str">
        <f>$A$1&amp;"Commercial"&amp;B148</f>
        <v>PIERCE UTCCommercialRENT1TEMP-COMM</v>
      </c>
      <c r="B148" s="230" t="s">
        <v>400</v>
      </c>
      <c r="C148" s="230" t="s">
        <v>401</v>
      </c>
      <c r="D148" s="230" t="s">
        <v>397</v>
      </c>
      <c r="E148" s="380">
        <v>33000</v>
      </c>
      <c r="F148" s="231">
        <v>0.48</v>
      </c>
      <c r="G148" s="231">
        <v>0.48</v>
      </c>
      <c r="H148" s="231">
        <v>0.48</v>
      </c>
      <c r="I148" s="231">
        <v>0.48</v>
      </c>
      <c r="J148" s="231"/>
      <c r="K148" s="231">
        <v>22.56</v>
      </c>
      <c r="L148" s="231">
        <v>6.24</v>
      </c>
      <c r="M148" s="231">
        <v>17.8</v>
      </c>
      <c r="N148" s="231">
        <v>62.86</v>
      </c>
      <c r="O148" s="231">
        <v>6.24</v>
      </c>
      <c r="P148" s="231">
        <v>50.88</v>
      </c>
      <c r="Q148" s="231">
        <v>52.32</v>
      </c>
      <c r="R148" s="231">
        <v>32.159999999999997</v>
      </c>
      <c r="S148" s="231">
        <v>22.56</v>
      </c>
      <c r="T148" s="231">
        <v>54.72</v>
      </c>
      <c r="U148" s="231">
        <v>101.76</v>
      </c>
      <c r="V148" s="231">
        <v>129.12</v>
      </c>
      <c r="W148" s="231"/>
      <c r="X148" s="388">
        <f t="shared" si="64"/>
        <v>559.21999999999991</v>
      </c>
      <c r="Y148" s="389"/>
      <c r="Z148" s="233">
        <f t="shared" si="65"/>
        <v>47</v>
      </c>
      <c r="AA148" s="233">
        <f t="shared" si="66"/>
        <v>13.000000000000002</v>
      </c>
      <c r="AB148" s="233">
        <f t="shared" si="67"/>
        <v>37.083333333333336</v>
      </c>
      <c r="AC148" s="233">
        <f t="shared" si="68"/>
        <v>130.95833333333334</v>
      </c>
      <c r="AD148" s="233">
        <f t="shared" si="69"/>
        <v>13.000000000000002</v>
      </c>
      <c r="AE148" s="232">
        <f t="shared" si="70"/>
        <v>106.00000000000001</v>
      </c>
      <c r="AF148" s="232">
        <f t="shared" si="71"/>
        <v>109</v>
      </c>
      <c r="AG148" s="232">
        <f t="shared" si="72"/>
        <v>67</v>
      </c>
      <c r="AH148" s="233">
        <f t="shared" si="73"/>
        <v>47</v>
      </c>
      <c r="AI148" s="233">
        <f t="shared" si="74"/>
        <v>114</v>
      </c>
      <c r="AJ148" s="233">
        <f t="shared" si="75"/>
        <v>212.00000000000003</v>
      </c>
      <c r="AK148" s="233">
        <f t="shared" si="76"/>
        <v>269</v>
      </c>
      <c r="AL148" s="260">
        <f t="shared" si="77"/>
        <v>97.086805555555557</v>
      </c>
      <c r="AM148" s="234">
        <f t="shared" si="79"/>
        <v>3.236226851851852</v>
      </c>
      <c r="AN148" s="234">
        <f t="shared" si="78"/>
        <v>1636</v>
      </c>
      <c r="AO148" s="218" t="e">
        <f>+VLOOKUP($B148,Mapping!$C$31:$C$81,1,FALSE)</f>
        <v>#N/A</v>
      </c>
    </row>
    <row r="149" spans="1:41">
      <c r="A149" s="218" t="str">
        <f>$A$1&amp;"Commercial"&amp;B149</f>
        <v>PIERCE UTCCommercialRENT2TEMP-COMM</v>
      </c>
      <c r="B149" s="230" t="s">
        <v>402</v>
      </c>
      <c r="C149" s="230" t="s">
        <v>403</v>
      </c>
      <c r="D149" s="230" t="s">
        <v>397</v>
      </c>
      <c r="E149" s="380">
        <v>33000</v>
      </c>
      <c r="F149" s="231">
        <v>0.63</v>
      </c>
      <c r="G149" s="231">
        <v>0.63</v>
      </c>
      <c r="H149" s="231">
        <v>0.62</v>
      </c>
      <c r="I149" s="231">
        <v>0.62</v>
      </c>
      <c r="J149" s="231"/>
      <c r="K149" s="231">
        <v>558.79999999999995</v>
      </c>
      <c r="L149" s="231">
        <v>492.65999999999997</v>
      </c>
      <c r="M149" s="231">
        <v>425.88</v>
      </c>
      <c r="N149" s="231">
        <v>665.91</v>
      </c>
      <c r="O149" s="231">
        <v>1021.23</v>
      </c>
      <c r="P149" s="231">
        <v>1364.3</v>
      </c>
      <c r="Q149" s="231">
        <v>1216.4199999999998</v>
      </c>
      <c r="R149" s="231">
        <v>1206.6699999999998</v>
      </c>
      <c r="S149" s="231">
        <v>1053.02</v>
      </c>
      <c r="T149" s="231">
        <v>1182.96</v>
      </c>
      <c r="U149" s="231">
        <v>1155.06</v>
      </c>
      <c r="V149" s="231">
        <v>1044.08</v>
      </c>
      <c r="W149" s="231"/>
      <c r="X149" s="388">
        <f t="shared" si="64"/>
        <v>11386.989999999998</v>
      </c>
      <c r="Y149" s="389"/>
      <c r="Z149" s="233">
        <f t="shared" si="65"/>
        <v>886.98412698412687</v>
      </c>
      <c r="AA149" s="233">
        <f t="shared" si="66"/>
        <v>782</v>
      </c>
      <c r="AB149" s="233">
        <f t="shared" si="67"/>
        <v>676</v>
      </c>
      <c r="AC149" s="233">
        <f t="shared" si="68"/>
        <v>1057</v>
      </c>
      <c r="AD149" s="233">
        <f t="shared" si="69"/>
        <v>1621</v>
      </c>
      <c r="AE149" s="232">
        <f t="shared" si="70"/>
        <v>2200.483870967742</v>
      </c>
      <c r="AF149" s="232">
        <f t="shared" si="71"/>
        <v>1961.9677419354837</v>
      </c>
      <c r="AG149" s="232">
        <f t="shared" si="72"/>
        <v>1946.2419354838707</v>
      </c>
      <c r="AH149" s="233">
        <f t="shared" si="73"/>
        <v>1698.4193548387098</v>
      </c>
      <c r="AI149" s="233">
        <f t="shared" si="74"/>
        <v>1908</v>
      </c>
      <c r="AJ149" s="233">
        <f t="shared" si="75"/>
        <v>1863</v>
      </c>
      <c r="AK149" s="233">
        <f t="shared" si="76"/>
        <v>1684</v>
      </c>
      <c r="AL149" s="260">
        <f t="shared" si="77"/>
        <v>1523.7580858508279</v>
      </c>
      <c r="AM149" s="234">
        <f t="shared" si="79"/>
        <v>50.791936195027596</v>
      </c>
      <c r="AN149" s="234">
        <f t="shared" si="78"/>
        <v>22123.258064516129</v>
      </c>
      <c r="AO149" s="218" t="e">
        <f>+VLOOKUP($B149,Mapping!$C$31:$C$81,1,FALSE)</f>
        <v>#N/A</v>
      </c>
    </row>
    <row r="150" spans="1:41">
      <c r="A150" s="218" t="str">
        <f>$A$1&amp;"Commercial"&amp;B150</f>
        <v>PIERCE UTCCommercialRENT3TEMP-COMM</v>
      </c>
      <c r="B150" s="230" t="s">
        <v>404</v>
      </c>
      <c r="C150" s="230" t="s">
        <v>405</v>
      </c>
      <c r="D150" s="230" t="s">
        <v>397</v>
      </c>
      <c r="E150" s="380">
        <v>33000</v>
      </c>
      <c r="F150" s="231">
        <v>0.69</v>
      </c>
      <c r="G150" s="231">
        <v>0.69</v>
      </c>
      <c r="H150" s="231">
        <v>0.68</v>
      </c>
      <c r="I150" s="231">
        <v>0.68</v>
      </c>
      <c r="J150" s="231"/>
      <c r="K150" s="231">
        <v>0</v>
      </c>
      <c r="L150" s="231">
        <v>0</v>
      </c>
      <c r="M150" s="231">
        <v>0</v>
      </c>
      <c r="N150" s="231">
        <v>0</v>
      </c>
      <c r="O150" s="231">
        <v>0</v>
      </c>
      <c r="P150" s="231">
        <v>0</v>
      </c>
      <c r="Q150" s="231">
        <v>0</v>
      </c>
      <c r="R150" s="231">
        <v>0</v>
      </c>
      <c r="S150" s="231">
        <v>0</v>
      </c>
      <c r="T150" s="231">
        <v>0</v>
      </c>
      <c r="U150" s="231">
        <v>0</v>
      </c>
      <c r="V150" s="231">
        <v>0</v>
      </c>
      <c r="W150" s="231"/>
      <c r="X150" s="388">
        <f t="shared" si="64"/>
        <v>0</v>
      </c>
      <c r="Y150" s="389"/>
      <c r="Z150" s="233">
        <f t="shared" si="65"/>
        <v>0</v>
      </c>
      <c r="AA150" s="233">
        <f t="shared" si="66"/>
        <v>0</v>
      </c>
      <c r="AB150" s="233">
        <f t="shared" si="67"/>
        <v>0</v>
      </c>
      <c r="AC150" s="233">
        <f t="shared" si="68"/>
        <v>0</v>
      </c>
      <c r="AD150" s="233">
        <f t="shared" si="69"/>
        <v>0</v>
      </c>
      <c r="AE150" s="232">
        <f t="shared" si="70"/>
        <v>0</v>
      </c>
      <c r="AF150" s="232">
        <f t="shared" si="71"/>
        <v>0</v>
      </c>
      <c r="AG150" s="232">
        <f t="shared" si="72"/>
        <v>0</v>
      </c>
      <c r="AH150" s="233">
        <f t="shared" si="73"/>
        <v>0</v>
      </c>
      <c r="AI150" s="233">
        <f t="shared" si="74"/>
        <v>0</v>
      </c>
      <c r="AJ150" s="233">
        <f t="shared" si="75"/>
        <v>0</v>
      </c>
      <c r="AK150" s="233">
        <f t="shared" si="76"/>
        <v>0</v>
      </c>
      <c r="AL150" s="260">
        <f t="shared" si="77"/>
        <v>0</v>
      </c>
      <c r="AM150" s="234">
        <f t="shared" si="79"/>
        <v>0</v>
      </c>
      <c r="AN150" s="234">
        <f t="shared" si="78"/>
        <v>0</v>
      </c>
      <c r="AO150" s="218" t="e">
        <f>+VLOOKUP($B150,Mapping!$C$31:$C$81,1,FALSE)</f>
        <v>#N/A</v>
      </c>
    </row>
    <row r="151" spans="1:41">
      <c r="A151" s="218" t="str">
        <f>$A$1&amp;"Commercial"&amp;B151</f>
        <v>PIERCE UTCCommercialRENT4TEMP-COMM</v>
      </c>
      <c r="B151" s="230" t="s">
        <v>406</v>
      </c>
      <c r="C151" s="230" t="s">
        <v>407</v>
      </c>
      <c r="D151" s="230" t="s">
        <v>397</v>
      </c>
      <c r="E151" s="380">
        <v>33000</v>
      </c>
      <c r="F151" s="231">
        <v>0.9</v>
      </c>
      <c r="G151" s="231">
        <v>0.9</v>
      </c>
      <c r="H151" s="231">
        <v>0.89</v>
      </c>
      <c r="I151" s="231">
        <v>0.89</v>
      </c>
      <c r="J151" s="231"/>
      <c r="K151" s="231">
        <v>0</v>
      </c>
      <c r="L151" s="231">
        <v>0</v>
      </c>
      <c r="M151" s="231">
        <v>0</v>
      </c>
      <c r="N151" s="231">
        <v>0</v>
      </c>
      <c r="O151" s="231">
        <v>0</v>
      </c>
      <c r="P151" s="231">
        <v>0</v>
      </c>
      <c r="Q151" s="231">
        <v>0</v>
      </c>
      <c r="R151" s="231">
        <v>20.47</v>
      </c>
      <c r="S151" s="231">
        <v>21.36</v>
      </c>
      <c r="T151" s="231">
        <v>0</v>
      </c>
      <c r="U151" s="231">
        <v>0</v>
      </c>
      <c r="V151" s="231">
        <v>0</v>
      </c>
      <c r="W151" s="231"/>
      <c r="X151" s="388">
        <f t="shared" si="64"/>
        <v>41.83</v>
      </c>
      <c r="Y151" s="389"/>
      <c r="Z151" s="233">
        <f t="shared" si="65"/>
        <v>0</v>
      </c>
      <c r="AA151" s="233">
        <f t="shared" si="66"/>
        <v>0</v>
      </c>
      <c r="AB151" s="233">
        <f t="shared" si="67"/>
        <v>0</v>
      </c>
      <c r="AC151" s="233">
        <f t="shared" si="68"/>
        <v>0</v>
      </c>
      <c r="AD151" s="233">
        <f t="shared" si="69"/>
        <v>0</v>
      </c>
      <c r="AE151" s="232">
        <f t="shared" si="70"/>
        <v>0</v>
      </c>
      <c r="AF151" s="232">
        <f t="shared" si="71"/>
        <v>0</v>
      </c>
      <c r="AG151" s="232">
        <f t="shared" si="72"/>
        <v>23</v>
      </c>
      <c r="AH151" s="233">
        <f t="shared" si="73"/>
        <v>24</v>
      </c>
      <c r="AI151" s="233">
        <f t="shared" si="74"/>
        <v>0</v>
      </c>
      <c r="AJ151" s="233">
        <f t="shared" si="75"/>
        <v>0</v>
      </c>
      <c r="AK151" s="233">
        <f t="shared" si="76"/>
        <v>0</v>
      </c>
      <c r="AL151" s="260">
        <f t="shared" si="77"/>
        <v>3.9166666666666665</v>
      </c>
      <c r="AM151" s="234">
        <f t="shared" si="79"/>
        <v>0.13055555555555556</v>
      </c>
      <c r="AN151" s="234">
        <f t="shared" si="78"/>
        <v>94</v>
      </c>
      <c r="AO151" s="218" t="e">
        <f>+VLOOKUP($B151,Mapping!$C$31:$C$81,1,FALSE)</f>
        <v>#N/A</v>
      </c>
    </row>
    <row r="152" spans="1:41">
      <c r="A152" s="218" t="str">
        <f>$A$1&amp;"Commercial"&amp;B152</f>
        <v>PIERCE UTCCommercialRENT6TEMP-COMM</v>
      </c>
      <c r="B152" s="230" t="s">
        <v>408</v>
      </c>
      <c r="C152" s="230" t="s">
        <v>409</v>
      </c>
      <c r="D152" s="230" t="s">
        <v>397</v>
      </c>
      <c r="E152" s="380">
        <v>33000</v>
      </c>
      <c r="F152" s="231">
        <v>1.32</v>
      </c>
      <c r="G152" s="231">
        <v>1.32</v>
      </c>
      <c r="H152" s="231">
        <v>1.31</v>
      </c>
      <c r="I152" s="231">
        <v>1.31</v>
      </c>
      <c r="J152" s="231"/>
      <c r="K152" s="231">
        <v>15.84</v>
      </c>
      <c r="L152" s="231">
        <v>13.2</v>
      </c>
      <c r="M152" s="231">
        <v>44.88</v>
      </c>
      <c r="N152" s="231">
        <v>5.28</v>
      </c>
      <c r="O152" s="231">
        <v>0</v>
      </c>
      <c r="P152" s="231">
        <v>0</v>
      </c>
      <c r="Q152" s="231">
        <v>15.72</v>
      </c>
      <c r="R152" s="231">
        <v>44.54</v>
      </c>
      <c r="S152" s="231">
        <v>40.61</v>
      </c>
      <c r="T152" s="231">
        <v>7.86</v>
      </c>
      <c r="U152" s="231">
        <v>0</v>
      </c>
      <c r="V152" s="231">
        <v>0</v>
      </c>
      <c r="W152" s="231"/>
      <c r="X152" s="388">
        <f t="shared" si="64"/>
        <v>187.93</v>
      </c>
      <c r="Y152" s="389"/>
      <c r="Z152" s="233">
        <f t="shared" si="65"/>
        <v>12</v>
      </c>
      <c r="AA152" s="233">
        <f t="shared" si="66"/>
        <v>9.9999999999999982</v>
      </c>
      <c r="AB152" s="233">
        <f t="shared" si="67"/>
        <v>34</v>
      </c>
      <c r="AC152" s="233">
        <f t="shared" si="68"/>
        <v>4</v>
      </c>
      <c r="AD152" s="233">
        <f t="shared" si="69"/>
        <v>0</v>
      </c>
      <c r="AE152" s="232">
        <f t="shared" si="70"/>
        <v>0</v>
      </c>
      <c r="AF152" s="232">
        <f t="shared" si="71"/>
        <v>12</v>
      </c>
      <c r="AG152" s="232">
        <f t="shared" si="72"/>
        <v>34</v>
      </c>
      <c r="AH152" s="233">
        <f t="shared" si="73"/>
        <v>31</v>
      </c>
      <c r="AI152" s="233">
        <f t="shared" si="74"/>
        <v>6</v>
      </c>
      <c r="AJ152" s="233">
        <f t="shared" si="75"/>
        <v>0</v>
      </c>
      <c r="AK152" s="233">
        <f t="shared" si="76"/>
        <v>0</v>
      </c>
      <c r="AL152" s="260">
        <f t="shared" si="77"/>
        <v>11.916666666666666</v>
      </c>
      <c r="AM152" s="234">
        <f t="shared" si="79"/>
        <v>0.3972222222222222</v>
      </c>
      <c r="AN152" s="234">
        <f t="shared" si="78"/>
        <v>166</v>
      </c>
      <c r="AO152" s="218" t="e">
        <f>+VLOOKUP($B152,Mapping!$C$31:$C$81,1,FALSE)</f>
        <v>#N/A</v>
      </c>
    </row>
    <row r="153" spans="1:41">
      <c r="A153" s="218" t="str">
        <f>$A$1&amp;"Commercial"&amp;B153</f>
        <v>PIERCE UTCCommercialBULKY-COMM</v>
      </c>
      <c r="B153" s="230" t="s">
        <v>307</v>
      </c>
      <c r="C153" s="230" t="s">
        <v>308</v>
      </c>
      <c r="D153" s="230" t="s">
        <v>410</v>
      </c>
      <c r="E153" s="380">
        <v>33001</v>
      </c>
      <c r="F153" s="231">
        <v>32.04</v>
      </c>
      <c r="G153" s="231">
        <v>32.200000000000003</v>
      </c>
      <c r="H153" s="231">
        <v>31.9</v>
      </c>
      <c r="I153" s="231">
        <v>31.98</v>
      </c>
      <c r="J153" s="231"/>
      <c r="K153" s="231">
        <v>0</v>
      </c>
      <c r="L153" s="231">
        <v>48.3</v>
      </c>
      <c r="M153" s="231">
        <v>0</v>
      </c>
      <c r="N153" s="231">
        <v>0</v>
      </c>
      <c r="O153" s="231">
        <v>0</v>
      </c>
      <c r="P153" s="231">
        <v>0</v>
      </c>
      <c r="Q153" s="231">
        <v>0</v>
      </c>
      <c r="R153" s="231">
        <v>0</v>
      </c>
      <c r="S153" s="231">
        <v>0</v>
      </c>
      <c r="T153" s="231">
        <v>0</v>
      </c>
      <c r="U153" s="231">
        <v>0</v>
      </c>
      <c r="V153" s="231">
        <v>0</v>
      </c>
      <c r="W153" s="231"/>
      <c r="X153" s="388">
        <f t="shared" si="64"/>
        <v>48.3</v>
      </c>
      <c r="Y153" s="389"/>
      <c r="Z153" s="233">
        <f t="shared" si="65"/>
        <v>0</v>
      </c>
      <c r="AA153" s="233">
        <f t="shared" si="66"/>
        <v>1.5074906367041199</v>
      </c>
      <c r="AB153" s="233">
        <f t="shared" si="67"/>
        <v>0</v>
      </c>
      <c r="AC153" s="233">
        <f t="shared" si="68"/>
        <v>0</v>
      </c>
      <c r="AD153" s="233">
        <f t="shared" si="69"/>
        <v>0</v>
      </c>
      <c r="AE153" s="232">
        <f t="shared" si="70"/>
        <v>0</v>
      </c>
      <c r="AF153" s="232">
        <f t="shared" si="71"/>
        <v>0</v>
      </c>
      <c r="AG153" s="232">
        <f t="shared" si="72"/>
        <v>0</v>
      </c>
      <c r="AH153" s="233">
        <f t="shared" si="73"/>
        <v>0</v>
      </c>
      <c r="AI153" s="233">
        <f t="shared" si="74"/>
        <v>0</v>
      </c>
      <c r="AJ153" s="233">
        <f t="shared" si="75"/>
        <v>0</v>
      </c>
      <c r="AK153" s="233">
        <f t="shared" si="76"/>
        <v>0</v>
      </c>
      <c r="AL153" s="260">
        <f t="shared" si="77"/>
        <v>0.12562421972534332</v>
      </c>
      <c r="AN153" s="234">
        <f t="shared" si="78"/>
        <v>0</v>
      </c>
      <c r="AO153" s="218" t="e">
        <f>+VLOOKUP($B153,Mapping!$C$31:$C$81,1,FALSE)</f>
        <v>#N/A</v>
      </c>
    </row>
    <row r="154" spans="1:41">
      <c r="A154" s="218" t="str">
        <f>$A$1&amp;"Commercial"&amp;B154</f>
        <v>PIERCE UTCCommercialEXTRA-COMM</v>
      </c>
      <c r="B154" s="230" t="s">
        <v>309</v>
      </c>
      <c r="C154" s="230" t="s">
        <v>310</v>
      </c>
      <c r="D154" s="230" t="s">
        <v>410</v>
      </c>
      <c r="E154" s="380">
        <v>33001</v>
      </c>
      <c r="F154" s="231">
        <v>3.34</v>
      </c>
      <c r="G154" s="231">
        <v>3.38</v>
      </c>
      <c r="H154" s="231">
        <v>3.31</v>
      </c>
      <c r="I154" s="231">
        <v>3.32</v>
      </c>
      <c r="J154" s="231"/>
      <c r="K154" s="231">
        <v>808.28</v>
      </c>
      <c r="L154" s="231">
        <v>688.04</v>
      </c>
      <c r="M154" s="231">
        <v>637.94000000000005</v>
      </c>
      <c r="N154" s="231">
        <v>1094.76</v>
      </c>
      <c r="O154" s="231">
        <v>801.06</v>
      </c>
      <c r="P154" s="231">
        <v>1188.99</v>
      </c>
      <c r="Q154" s="231">
        <v>1062.03</v>
      </c>
      <c r="R154" s="231">
        <v>1598.73</v>
      </c>
      <c r="S154" s="231">
        <v>1792.37</v>
      </c>
      <c r="T154" s="231">
        <v>1261.7</v>
      </c>
      <c r="U154" s="231">
        <v>942.88</v>
      </c>
      <c r="V154" s="231">
        <v>813.28</v>
      </c>
      <c r="W154" s="231"/>
      <c r="X154" s="388">
        <f t="shared" si="64"/>
        <v>12690.060000000001</v>
      </c>
      <c r="Y154" s="389"/>
      <c r="Z154" s="233">
        <f t="shared" si="65"/>
        <v>242</v>
      </c>
      <c r="AA154" s="233">
        <f t="shared" si="66"/>
        <v>206</v>
      </c>
      <c r="AB154" s="233">
        <f t="shared" si="67"/>
        <v>191.00000000000003</v>
      </c>
      <c r="AC154" s="233">
        <f t="shared" si="68"/>
        <v>323.89349112426038</v>
      </c>
      <c r="AD154" s="233">
        <f t="shared" si="69"/>
        <v>237</v>
      </c>
      <c r="AE154" s="232">
        <f t="shared" si="70"/>
        <v>359.21148036253777</v>
      </c>
      <c r="AF154" s="232">
        <f t="shared" si="71"/>
        <v>320.85498489425981</v>
      </c>
      <c r="AG154" s="232">
        <f t="shared" si="72"/>
        <v>483</v>
      </c>
      <c r="AH154" s="233">
        <f t="shared" si="73"/>
        <v>539.87048192771078</v>
      </c>
      <c r="AI154" s="233">
        <f t="shared" si="74"/>
        <v>380.03012048192772</v>
      </c>
      <c r="AJ154" s="233">
        <f t="shared" si="75"/>
        <v>284</v>
      </c>
      <c r="AK154" s="233">
        <f t="shared" si="76"/>
        <v>244.96385542168676</v>
      </c>
      <c r="AL154" s="260">
        <f t="shared" si="77"/>
        <v>317.65203451769861</v>
      </c>
      <c r="AN154" s="234">
        <f t="shared" si="78"/>
        <v>4505.4388854511708</v>
      </c>
      <c r="AO154" s="218" t="str">
        <f>+VLOOKUP($B154,Mapping!$C$31:$C$81,1,FALSE)</f>
        <v>EXTRA-COMM</v>
      </c>
    </row>
    <row r="155" spans="1:41">
      <c r="A155" s="218" t="str">
        <f>$A$1&amp;"Commercial"&amp;B155</f>
        <v>PIERCE UTCCommercialEXTRAGWC-COMM</v>
      </c>
      <c r="B155" s="230" t="s">
        <v>411</v>
      </c>
      <c r="C155" s="230" t="s">
        <v>412</v>
      </c>
      <c r="D155" s="230" t="s">
        <v>410</v>
      </c>
      <c r="E155" s="380">
        <v>33001</v>
      </c>
      <c r="F155" s="231">
        <v>2</v>
      </c>
      <c r="G155" s="231">
        <v>2</v>
      </c>
      <c r="H155" s="231">
        <v>4.29</v>
      </c>
      <c r="I155" s="231">
        <v>4.3</v>
      </c>
      <c r="J155" s="231"/>
      <c r="K155" s="231">
        <v>2</v>
      </c>
      <c r="L155" s="231">
        <v>0</v>
      </c>
      <c r="M155" s="231">
        <v>0</v>
      </c>
      <c r="N155" s="231">
        <v>0</v>
      </c>
      <c r="O155" s="231">
        <v>2</v>
      </c>
      <c r="P155" s="231">
        <v>0</v>
      </c>
      <c r="Q155" s="231">
        <v>0</v>
      </c>
      <c r="R155" s="231">
        <v>0</v>
      </c>
      <c r="S155" s="231">
        <v>0</v>
      </c>
      <c r="T155" s="231">
        <v>0</v>
      </c>
      <c r="U155" s="231">
        <v>4.3</v>
      </c>
      <c r="V155" s="231">
        <v>0</v>
      </c>
      <c r="W155" s="231"/>
      <c r="X155" s="388">
        <f t="shared" si="64"/>
        <v>8.3000000000000007</v>
      </c>
      <c r="Y155" s="389"/>
      <c r="Z155" s="233">
        <f t="shared" si="65"/>
        <v>1</v>
      </c>
      <c r="AA155" s="233">
        <f t="shared" si="66"/>
        <v>0</v>
      </c>
      <c r="AB155" s="233">
        <f t="shared" si="67"/>
        <v>0</v>
      </c>
      <c r="AC155" s="233">
        <f t="shared" si="68"/>
        <v>0</v>
      </c>
      <c r="AD155" s="233">
        <f t="shared" si="69"/>
        <v>1</v>
      </c>
      <c r="AE155" s="232">
        <f t="shared" si="70"/>
        <v>0</v>
      </c>
      <c r="AF155" s="232">
        <f t="shared" si="71"/>
        <v>0</v>
      </c>
      <c r="AG155" s="232">
        <f t="shared" si="72"/>
        <v>0</v>
      </c>
      <c r="AH155" s="233">
        <f t="shared" si="73"/>
        <v>0</v>
      </c>
      <c r="AI155" s="233">
        <f t="shared" si="74"/>
        <v>0</v>
      </c>
      <c r="AJ155" s="233">
        <f t="shared" si="75"/>
        <v>1</v>
      </c>
      <c r="AK155" s="233">
        <f t="shared" si="76"/>
        <v>0</v>
      </c>
      <c r="AL155" s="260">
        <f t="shared" si="77"/>
        <v>0.25</v>
      </c>
      <c r="AN155" s="234">
        <f t="shared" si="78"/>
        <v>2</v>
      </c>
      <c r="AO155" s="218" t="e">
        <f>+VLOOKUP($B155,Mapping!$C$31:$C$81,1,FALSE)</f>
        <v>#N/A</v>
      </c>
    </row>
    <row r="156" spans="1:41">
      <c r="A156" s="218" t="str">
        <f>$A$1&amp;"Commercial"&amp;B156</f>
        <v>PIERCE UTCCommercialEXTRAYDG-COM</v>
      </c>
      <c r="B156" s="230" t="s">
        <v>311</v>
      </c>
      <c r="C156" s="230" t="s">
        <v>312</v>
      </c>
      <c r="D156" s="230" t="s">
        <v>410</v>
      </c>
      <c r="E156" s="380">
        <v>33001</v>
      </c>
      <c r="F156" s="231">
        <v>32.04</v>
      </c>
      <c r="G156" s="231">
        <v>32.200000000000003</v>
      </c>
      <c r="H156" s="231">
        <v>31.96</v>
      </c>
      <c r="I156" s="231">
        <v>32.049999999999997</v>
      </c>
      <c r="J156" s="231"/>
      <c r="K156" s="231">
        <v>480.6</v>
      </c>
      <c r="L156" s="231">
        <v>448.56</v>
      </c>
      <c r="M156" s="231">
        <v>1345.68</v>
      </c>
      <c r="N156" s="231">
        <v>2028.12</v>
      </c>
      <c r="O156" s="231">
        <v>1384.6</v>
      </c>
      <c r="P156" s="231">
        <v>926.84</v>
      </c>
      <c r="Q156" s="231">
        <v>2301.12</v>
      </c>
      <c r="R156" s="231">
        <v>1598</v>
      </c>
      <c r="S156" s="231">
        <v>1697.93</v>
      </c>
      <c r="T156" s="231">
        <v>1442.25</v>
      </c>
      <c r="U156" s="231">
        <v>544.85</v>
      </c>
      <c r="V156" s="231">
        <v>448.7</v>
      </c>
      <c r="W156" s="231"/>
      <c r="X156" s="388">
        <f t="shared" si="64"/>
        <v>14647.250000000002</v>
      </c>
      <c r="Y156" s="389"/>
      <c r="Z156" s="233">
        <f t="shared" si="65"/>
        <v>15.000000000000002</v>
      </c>
      <c r="AA156" s="233">
        <f t="shared" si="66"/>
        <v>14</v>
      </c>
      <c r="AB156" s="233">
        <f t="shared" si="67"/>
        <v>42</v>
      </c>
      <c r="AC156" s="233">
        <f t="shared" si="68"/>
        <v>62.985093167701855</v>
      </c>
      <c r="AD156" s="233">
        <f t="shared" si="69"/>
        <v>42.999999999999993</v>
      </c>
      <c r="AE156" s="232">
        <f t="shared" si="70"/>
        <v>29</v>
      </c>
      <c r="AF156" s="232">
        <f t="shared" si="71"/>
        <v>72</v>
      </c>
      <c r="AG156" s="232">
        <f t="shared" si="72"/>
        <v>50</v>
      </c>
      <c r="AH156" s="233">
        <f t="shared" si="73"/>
        <v>52.977535101404065</v>
      </c>
      <c r="AI156" s="233">
        <f t="shared" si="74"/>
        <v>45.000000000000007</v>
      </c>
      <c r="AJ156" s="233">
        <f t="shared" si="75"/>
        <v>17.000000000000004</v>
      </c>
      <c r="AK156" s="233">
        <f t="shared" si="76"/>
        <v>14</v>
      </c>
      <c r="AL156" s="260">
        <f t="shared" si="77"/>
        <v>38.080219022425489</v>
      </c>
      <c r="AN156" s="234">
        <f t="shared" si="78"/>
        <v>501.95507020280814</v>
      </c>
      <c r="AO156" s="218" t="e">
        <f>+VLOOKUP($B156,Mapping!$C$31:$C$81,1,FALSE)</f>
        <v>#N/A</v>
      </c>
    </row>
    <row r="157" spans="1:41">
      <c r="A157" s="218" t="str">
        <f>$A$1&amp;"Commercial"&amp;B157</f>
        <v>PIERCE UTCCommercialACCESS-COMM</v>
      </c>
      <c r="B157" s="230" t="s">
        <v>413</v>
      </c>
      <c r="C157" s="230" t="s">
        <v>414</v>
      </c>
      <c r="D157" s="230" t="s">
        <v>397</v>
      </c>
      <c r="E157" s="380">
        <v>33000</v>
      </c>
      <c r="F157" s="231">
        <v>4.76</v>
      </c>
      <c r="G157" s="231">
        <v>4.76</v>
      </c>
      <c r="H157" s="231">
        <v>4.72</v>
      </c>
      <c r="I157" s="231">
        <v>4.72</v>
      </c>
      <c r="J157" s="231"/>
      <c r="K157" s="231">
        <v>2865.03</v>
      </c>
      <c r="L157" s="231">
        <v>2787.1</v>
      </c>
      <c r="M157" s="231">
        <v>2870.69</v>
      </c>
      <c r="N157" s="231">
        <v>2906.08</v>
      </c>
      <c r="O157" s="231">
        <v>2811.64</v>
      </c>
      <c r="P157" s="231">
        <v>2692.55</v>
      </c>
      <c r="Q157" s="231">
        <v>2758.66</v>
      </c>
      <c r="R157" s="231">
        <v>2842.39</v>
      </c>
      <c r="S157" s="231">
        <v>2905.6</v>
      </c>
      <c r="T157" s="231">
        <v>2962.51</v>
      </c>
      <c r="U157" s="231">
        <v>2958.5699999999997</v>
      </c>
      <c r="V157" s="231">
        <v>2976.57</v>
      </c>
      <c r="W157" s="231"/>
      <c r="X157" s="388">
        <f t="shared" ref="X157:X188" si="80">SUM(K157:V157)</f>
        <v>34337.39</v>
      </c>
      <c r="Y157" s="389"/>
      <c r="Z157" s="233">
        <f t="shared" ref="Z157:Z188" si="81">IFERROR(K157/$F157,0)</f>
        <v>601.89705882352951</v>
      </c>
      <c r="AA157" s="233">
        <f t="shared" ref="AA157:AA188" si="82">IFERROR(L157/$F157,0)</f>
        <v>585.52521008403357</v>
      </c>
      <c r="AB157" s="233">
        <f t="shared" ref="AB157:AB188" si="83">IFERROR(M157/$F157,0)</f>
        <v>603.0861344537816</v>
      </c>
      <c r="AC157" s="233">
        <f t="shared" ref="AC157:AC188" si="84">IFERROR(N157/$G157,0)</f>
        <v>610.52100840336141</v>
      </c>
      <c r="AD157" s="233">
        <f t="shared" ref="AD157:AD188" si="85">IFERROR(O157/$G157,0)</f>
        <v>590.68067226890753</v>
      </c>
      <c r="AE157" s="232">
        <f t="shared" ref="AE157:AE188" si="86">IFERROR(P157/$H157,0)</f>
        <v>570.45550847457639</v>
      </c>
      <c r="AF157" s="232">
        <f t="shared" ref="AF157:AF188" si="87">IFERROR(Q157/$H157,0)</f>
        <v>584.46186440677968</v>
      </c>
      <c r="AG157" s="232">
        <f t="shared" ref="AG157:AG188" si="88">IFERROR(R157/$H157,0)</f>
        <v>602.20127118644064</v>
      </c>
      <c r="AH157" s="233">
        <f t="shared" ref="AH157:AH188" si="89">IFERROR(S157/$I157,0)</f>
        <v>615.59322033898309</v>
      </c>
      <c r="AI157" s="233">
        <f t="shared" ref="AI157:AI188" si="90">IFERROR(T157/$I157,0)</f>
        <v>627.65042372881362</v>
      </c>
      <c r="AJ157" s="233">
        <f t="shared" ref="AJ157:AJ188" si="91">IFERROR(U157/$I157,0)</f>
        <v>626.8156779661017</v>
      </c>
      <c r="AK157" s="233">
        <f t="shared" ref="AK157:AK188" si="92">IFERROR(V157/$I157,0)</f>
        <v>630.62923728813564</v>
      </c>
      <c r="AL157" s="260">
        <f t="shared" ref="AL157:AL188" si="93">AVERAGE(Z157:AK157)</f>
        <v>604.12644061862034</v>
      </c>
      <c r="AN157" s="234">
        <f t="shared" ref="AN157:AN188" si="94">+SUM(AF157:AK157)*2</f>
        <v>7374.703389830509</v>
      </c>
      <c r="AO157" s="218" t="e">
        <f>+VLOOKUP($B157,Mapping!$C$31:$C$81,1,FALSE)</f>
        <v>#N/A</v>
      </c>
    </row>
    <row r="158" spans="1:41" s="217" customFormat="1">
      <c r="A158" s="218" t="str">
        <f>$A$1&amp;"Commercial"&amp;B158</f>
        <v>PIERCE UTCCommercialDISP-COMM</v>
      </c>
      <c r="B158" s="230" t="s">
        <v>415</v>
      </c>
      <c r="C158" s="230" t="s">
        <v>416</v>
      </c>
      <c r="D158" s="230" t="s">
        <v>397</v>
      </c>
      <c r="E158" s="380">
        <v>33000</v>
      </c>
      <c r="F158" s="231">
        <v>164.34</v>
      </c>
      <c r="G158" s="231">
        <v>167.38</v>
      </c>
      <c r="H158" s="231">
        <v>167.38</v>
      </c>
      <c r="I158" s="231">
        <v>167.38</v>
      </c>
      <c r="J158" s="231"/>
      <c r="K158" s="231">
        <v>248.14</v>
      </c>
      <c r="L158" s="231">
        <v>613</v>
      </c>
      <c r="M158" s="231">
        <v>558.76</v>
      </c>
      <c r="N158" s="231">
        <v>0</v>
      </c>
      <c r="O158" s="231">
        <v>80.34</v>
      </c>
      <c r="P158" s="231">
        <v>210.9</v>
      </c>
      <c r="Q158" s="231">
        <v>107.12</v>
      </c>
      <c r="R158" s="231">
        <v>272.83</v>
      </c>
      <c r="S158" s="231">
        <v>229.3</v>
      </c>
      <c r="T158" s="231">
        <v>241.02</v>
      </c>
      <c r="U158" s="231">
        <v>259.43</v>
      </c>
      <c r="V158" s="231">
        <v>264.45</v>
      </c>
      <c r="W158" s="231"/>
      <c r="X158" s="388">
        <f t="shared" si="80"/>
        <v>3085.29</v>
      </c>
      <c r="Y158" s="389"/>
      <c r="Z158" s="233">
        <f t="shared" si="81"/>
        <v>1.5099184617256904</v>
      </c>
      <c r="AA158" s="233">
        <f t="shared" si="82"/>
        <v>3.7300718023609587</v>
      </c>
      <c r="AB158" s="233">
        <f t="shared" si="83"/>
        <v>3.4000243397833758</v>
      </c>
      <c r="AC158" s="233">
        <f t="shared" si="84"/>
        <v>0</v>
      </c>
      <c r="AD158" s="233">
        <f t="shared" si="85"/>
        <v>0.47998566136933929</v>
      </c>
      <c r="AE158" s="232">
        <f t="shared" si="86"/>
        <v>1.2600071693153305</v>
      </c>
      <c r="AF158" s="232">
        <f t="shared" si="87"/>
        <v>0.63998088182578572</v>
      </c>
      <c r="AG158" s="232">
        <f t="shared" si="88"/>
        <v>1.630003584657665</v>
      </c>
      <c r="AH158" s="233">
        <f t="shared" si="89"/>
        <v>1.3699366710479151</v>
      </c>
      <c r="AI158" s="233">
        <f t="shared" si="90"/>
        <v>1.4399569841080178</v>
      </c>
      <c r="AJ158" s="233">
        <f t="shared" si="91"/>
        <v>1.5499462301350222</v>
      </c>
      <c r="AK158" s="233">
        <f t="shared" si="92"/>
        <v>1.5799378659338033</v>
      </c>
      <c r="AL158" s="260">
        <f t="shared" si="93"/>
        <v>1.5491474710219084</v>
      </c>
      <c r="AN158" s="234">
        <f t="shared" si="94"/>
        <v>16.41952443541642</v>
      </c>
      <c r="AO158" s="218" t="e">
        <f>+VLOOKUP($B158,Mapping!$C$31:$C$81,1,FALSE)</f>
        <v>#N/A</v>
      </c>
    </row>
    <row r="159" spans="1:41">
      <c r="A159" s="218" t="str">
        <f>$A$1&amp;"Commercial"&amp;B159</f>
        <v>PIERCE UTCCommercialDRIVEIN1-COMM</v>
      </c>
      <c r="B159" s="230" t="s">
        <v>417</v>
      </c>
      <c r="C159" s="230" t="s">
        <v>418</v>
      </c>
      <c r="D159" s="230" t="s">
        <v>397</v>
      </c>
      <c r="E159" s="380">
        <v>33000</v>
      </c>
      <c r="F159" s="231">
        <v>7.01</v>
      </c>
      <c r="G159" s="231">
        <v>7.01</v>
      </c>
      <c r="H159" s="231">
        <v>6.93</v>
      </c>
      <c r="I159" s="231">
        <v>6.93</v>
      </c>
      <c r="J159" s="231"/>
      <c r="K159" s="231">
        <v>659.26</v>
      </c>
      <c r="L159" s="231">
        <v>644.91999999999996</v>
      </c>
      <c r="M159" s="231">
        <v>637.91</v>
      </c>
      <c r="N159" s="231">
        <v>662.8</v>
      </c>
      <c r="O159" s="231">
        <v>637.91</v>
      </c>
      <c r="P159" s="231">
        <v>645.4</v>
      </c>
      <c r="Q159" s="231">
        <v>659.88</v>
      </c>
      <c r="R159" s="231">
        <v>670.96</v>
      </c>
      <c r="S159" s="231">
        <v>679.28</v>
      </c>
      <c r="T159" s="231">
        <v>693.48</v>
      </c>
      <c r="U159" s="231">
        <v>674.42000000000007</v>
      </c>
      <c r="V159" s="231">
        <v>693.4799999999999</v>
      </c>
      <c r="W159" s="231"/>
      <c r="X159" s="388">
        <f t="shared" si="80"/>
        <v>7959.6999999999989</v>
      </c>
      <c r="Y159" s="389"/>
      <c r="Z159" s="233">
        <f t="shared" si="81"/>
        <v>94.045649072753207</v>
      </c>
      <c r="AA159" s="233">
        <f t="shared" si="82"/>
        <v>92</v>
      </c>
      <c r="AB159" s="233">
        <f t="shared" si="83"/>
        <v>91</v>
      </c>
      <c r="AC159" s="233">
        <f t="shared" si="84"/>
        <v>94.550641940085583</v>
      </c>
      <c r="AD159" s="233">
        <f t="shared" si="85"/>
        <v>91</v>
      </c>
      <c r="AE159" s="232">
        <f t="shared" si="86"/>
        <v>93.131313131313135</v>
      </c>
      <c r="AF159" s="232">
        <f t="shared" si="87"/>
        <v>95.220779220779221</v>
      </c>
      <c r="AG159" s="232">
        <f t="shared" si="88"/>
        <v>96.819624819624835</v>
      </c>
      <c r="AH159" s="233">
        <f t="shared" si="89"/>
        <v>98.020202020202021</v>
      </c>
      <c r="AI159" s="233">
        <f t="shared" si="90"/>
        <v>100.06926406926408</v>
      </c>
      <c r="AJ159" s="233">
        <f t="shared" si="91"/>
        <v>97.318903318903338</v>
      </c>
      <c r="AK159" s="233">
        <f t="shared" si="92"/>
        <v>100.06926406926407</v>
      </c>
      <c r="AL159" s="260">
        <f t="shared" si="93"/>
        <v>95.270470138515805</v>
      </c>
      <c r="AN159" s="234">
        <f t="shared" si="94"/>
        <v>1175.0360750360751</v>
      </c>
      <c r="AO159" s="218" t="e">
        <f>+VLOOKUP($B159,Mapping!$C$31:$C$81,1,FALSE)</f>
        <v>#N/A</v>
      </c>
    </row>
    <row r="160" spans="1:41">
      <c r="A160" s="218" t="str">
        <f>$A$1&amp;"Commercial"&amp;B160</f>
        <v>PIERCE UTCCommercialDRIVEIN2-COMM</v>
      </c>
      <c r="B160" s="230" t="s">
        <v>419</v>
      </c>
      <c r="C160" s="230" t="s">
        <v>420</v>
      </c>
      <c r="D160" s="230" t="s">
        <v>397</v>
      </c>
      <c r="E160" s="380">
        <v>33000</v>
      </c>
      <c r="F160" s="231">
        <v>8.44</v>
      </c>
      <c r="G160" s="231">
        <v>8.44</v>
      </c>
      <c r="H160" s="231">
        <v>8.36</v>
      </c>
      <c r="I160" s="231">
        <v>8.36</v>
      </c>
      <c r="J160" s="231"/>
      <c r="K160" s="231">
        <v>0</v>
      </c>
      <c r="L160" s="231">
        <v>0</v>
      </c>
      <c r="M160" s="231">
        <v>0</v>
      </c>
      <c r="N160" s="231">
        <v>0</v>
      </c>
      <c r="O160" s="231">
        <v>0</v>
      </c>
      <c r="P160" s="231">
        <v>0</v>
      </c>
      <c r="Q160" s="231">
        <v>0</v>
      </c>
      <c r="R160" s="231">
        <v>0</v>
      </c>
      <c r="S160" s="231">
        <v>8.36</v>
      </c>
      <c r="T160" s="231">
        <v>8.36</v>
      </c>
      <c r="U160" s="231">
        <v>3.34</v>
      </c>
      <c r="V160" s="231">
        <v>0</v>
      </c>
      <c r="W160" s="231"/>
      <c r="X160" s="388">
        <f t="shared" si="80"/>
        <v>20.059999999999999</v>
      </c>
      <c r="Y160" s="389"/>
      <c r="Z160" s="233">
        <f t="shared" si="81"/>
        <v>0</v>
      </c>
      <c r="AA160" s="233">
        <f t="shared" si="82"/>
        <v>0</v>
      </c>
      <c r="AB160" s="233">
        <f t="shared" si="83"/>
        <v>0</v>
      </c>
      <c r="AC160" s="233">
        <f t="shared" si="84"/>
        <v>0</v>
      </c>
      <c r="AD160" s="233">
        <f t="shared" si="85"/>
        <v>0</v>
      </c>
      <c r="AE160" s="232">
        <f t="shared" si="86"/>
        <v>0</v>
      </c>
      <c r="AF160" s="232">
        <f t="shared" si="87"/>
        <v>0</v>
      </c>
      <c r="AG160" s="232">
        <f t="shared" si="88"/>
        <v>0</v>
      </c>
      <c r="AH160" s="233">
        <f t="shared" si="89"/>
        <v>1</v>
      </c>
      <c r="AI160" s="233">
        <f t="shared" si="90"/>
        <v>1</v>
      </c>
      <c r="AJ160" s="233">
        <f t="shared" si="91"/>
        <v>0.3995215311004785</v>
      </c>
      <c r="AK160" s="233">
        <f t="shared" si="92"/>
        <v>0</v>
      </c>
      <c r="AL160" s="260">
        <f t="shared" si="93"/>
        <v>0.19996012759170653</v>
      </c>
      <c r="AN160" s="234">
        <f t="shared" si="94"/>
        <v>4.7990430622009566</v>
      </c>
      <c r="AO160" s="218" t="e">
        <f>+VLOOKUP($B160,Mapping!$C$31:$C$81,1,FALSE)</f>
        <v>#N/A</v>
      </c>
    </row>
    <row r="161" spans="1:41">
      <c r="A161" s="218" t="str">
        <f>$A$1&amp;"Commercial"&amp;B161</f>
        <v>PIERCE UTCCommercialDRIVEIN3-COMM</v>
      </c>
      <c r="B161" s="230" t="s">
        <v>708</v>
      </c>
      <c r="C161" s="230" t="s">
        <v>765</v>
      </c>
      <c r="D161" s="230" t="s">
        <v>397</v>
      </c>
      <c r="E161" s="380">
        <v>33000</v>
      </c>
      <c r="F161" s="231">
        <v>9.8699999999999992</v>
      </c>
      <c r="G161" s="231">
        <v>9.8699999999999992</v>
      </c>
      <c r="H161" s="231">
        <v>9.7899999999999991</v>
      </c>
      <c r="I161" s="231">
        <v>9.7899999999999991</v>
      </c>
      <c r="J161" s="231"/>
      <c r="K161" s="231">
        <v>9.8699999999999992</v>
      </c>
      <c r="L161" s="231">
        <v>13.82</v>
      </c>
      <c r="M161" s="231">
        <v>19.739999999999998</v>
      </c>
      <c r="N161" s="231">
        <v>19.739999999999998</v>
      </c>
      <c r="O161" s="231">
        <v>19.739999999999998</v>
      </c>
      <c r="P161" s="231">
        <v>19.579999999999998</v>
      </c>
      <c r="Q161" s="231">
        <v>19.579999999999998</v>
      </c>
      <c r="R161" s="231">
        <v>19.579999999999998</v>
      </c>
      <c r="S161" s="231">
        <v>19.579999999999998</v>
      </c>
      <c r="T161" s="231">
        <v>19.579999999999998</v>
      </c>
      <c r="U161" s="231">
        <v>12.24</v>
      </c>
      <c r="V161" s="231">
        <v>9.7899999999999991</v>
      </c>
      <c r="W161" s="231"/>
      <c r="X161" s="388">
        <f t="shared" si="80"/>
        <v>202.83999999999995</v>
      </c>
      <c r="Y161" s="389"/>
      <c r="Z161" s="233">
        <f t="shared" si="81"/>
        <v>1</v>
      </c>
      <c r="AA161" s="233">
        <f t="shared" si="82"/>
        <v>1.4002026342451876</v>
      </c>
      <c r="AB161" s="233">
        <f t="shared" si="83"/>
        <v>2</v>
      </c>
      <c r="AC161" s="233">
        <f t="shared" si="84"/>
        <v>2</v>
      </c>
      <c r="AD161" s="233">
        <f t="shared" si="85"/>
        <v>2</v>
      </c>
      <c r="AE161" s="232">
        <f t="shared" si="86"/>
        <v>2</v>
      </c>
      <c r="AF161" s="232">
        <f t="shared" si="87"/>
        <v>2</v>
      </c>
      <c r="AG161" s="232">
        <f t="shared" si="88"/>
        <v>2</v>
      </c>
      <c r="AH161" s="233">
        <f t="shared" si="89"/>
        <v>2</v>
      </c>
      <c r="AI161" s="233">
        <f t="shared" si="90"/>
        <v>2</v>
      </c>
      <c r="AJ161" s="233">
        <f t="shared" si="91"/>
        <v>1.2502553626149133</v>
      </c>
      <c r="AK161" s="233">
        <f t="shared" si="92"/>
        <v>1</v>
      </c>
      <c r="AL161" s="260">
        <f t="shared" si="93"/>
        <v>1.7208714997383421</v>
      </c>
      <c r="AN161" s="234">
        <f t="shared" si="94"/>
        <v>20.500510725229827</v>
      </c>
      <c r="AO161" s="218" t="e">
        <f>+VLOOKUP($B161,Mapping!$C$31:$C$81,1,FALSE)</f>
        <v>#N/A</v>
      </c>
    </row>
    <row r="162" spans="1:41">
      <c r="A162" s="218" t="str">
        <f>$A$1&amp;"Commercial"&amp;B162</f>
        <v>PIERCE UTCCommercialROLL-COMM</v>
      </c>
      <c r="B162" s="230" t="s">
        <v>421</v>
      </c>
      <c r="C162" s="230" t="s">
        <v>422</v>
      </c>
      <c r="D162" s="230" t="s">
        <v>397</v>
      </c>
      <c r="E162" s="380">
        <v>33000</v>
      </c>
      <c r="F162" s="231">
        <v>16.45</v>
      </c>
      <c r="G162" s="231">
        <v>16.45</v>
      </c>
      <c r="H162" s="231">
        <v>16.32</v>
      </c>
      <c r="I162" s="231">
        <v>16.37</v>
      </c>
      <c r="J162" s="231"/>
      <c r="K162" s="231">
        <v>214.4</v>
      </c>
      <c r="L162" s="231">
        <v>214.4</v>
      </c>
      <c r="M162" s="231">
        <v>214.4</v>
      </c>
      <c r="N162" s="231">
        <v>214.4</v>
      </c>
      <c r="O162" s="231">
        <v>214.4</v>
      </c>
      <c r="P162" s="231">
        <v>212.84</v>
      </c>
      <c r="Q162" s="231">
        <v>240.04</v>
      </c>
      <c r="R162" s="231">
        <v>229.16</v>
      </c>
      <c r="S162" s="231">
        <v>229.81</v>
      </c>
      <c r="T162" s="231">
        <v>229.81</v>
      </c>
      <c r="U162" s="231">
        <v>229.81</v>
      </c>
      <c r="V162" s="231">
        <v>229.81</v>
      </c>
      <c r="W162" s="231"/>
      <c r="X162" s="388">
        <f t="shared" si="80"/>
        <v>2673.2799999999997</v>
      </c>
      <c r="Y162" s="389"/>
      <c r="Z162" s="233">
        <f t="shared" si="81"/>
        <v>13.033434650455927</v>
      </c>
      <c r="AA162" s="233">
        <f t="shared" si="82"/>
        <v>13.033434650455927</v>
      </c>
      <c r="AB162" s="233">
        <f t="shared" si="83"/>
        <v>13.033434650455927</v>
      </c>
      <c r="AC162" s="233">
        <f t="shared" si="84"/>
        <v>13.033434650455927</v>
      </c>
      <c r="AD162" s="233">
        <f t="shared" si="85"/>
        <v>13.033434650455927</v>
      </c>
      <c r="AE162" s="232">
        <f t="shared" si="86"/>
        <v>13.041666666666666</v>
      </c>
      <c r="AF162" s="232">
        <f t="shared" si="87"/>
        <v>14.708333333333332</v>
      </c>
      <c r="AG162" s="232">
        <f t="shared" si="88"/>
        <v>14.041666666666666</v>
      </c>
      <c r="AH162" s="233">
        <f t="shared" si="89"/>
        <v>14.038485033598045</v>
      </c>
      <c r="AI162" s="233">
        <f t="shared" si="90"/>
        <v>14.038485033598045</v>
      </c>
      <c r="AJ162" s="233">
        <f t="shared" si="91"/>
        <v>14.038485033598045</v>
      </c>
      <c r="AK162" s="233">
        <f t="shared" si="92"/>
        <v>14.038485033598045</v>
      </c>
      <c r="AL162" s="260">
        <f t="shared" si="93"/>
        <v>13.592731671111542</v>
      </c>
      <c r="AN162" s="234">
        <f t="shared" si="94"/>
        <v>169.80788026878437</v>
      </c>
      <c r="AO162" s="218" t="e">
        <f>+VLOOKUP($B162,Mapping!$C$31:$C$81,1,FALSE)</f>
        <v>#N/A</v>
      </c>
    </row>
    <row r="163" spans="1:41">
      <c r="A163" s="218" t="str">
        <f>$A$1&amp;"Commercial"&amp;B163</f>
        <v>PIERCE UTCCommercialWI1-COMM</v>
      </c>
      <c r="B163" s="230" t="s">
        <v>423</v>
      </c>
      <c r="C163" s="230" t="s">
        <v>424</v>
      </c>
      <c r="D163" s="230" t="s">
        <v>397</v>
      </c>
      <c r="E163" s="380">
        <v>33000</v>
      </c>
      <c r="F163" s="231">
        <v>2.08</v>
      </c>
      <c r="G163" s="231">
        <v>2.08</v>
      </c>
      <c r="H163" s="231">
        <v>2.08</v>
      </c>
      <c r="I163" s="231">
        <v>2.08</v>
      </c>
      <c r="J163" s="231"/>
      <c r="K163" s="231">
        <v>20.22</v>
      </c>
      <c r="L163" s="231">
        <v>20.8</v>
      </c>
      <c r="M163" s="231">
        <v>20.8</v>
      </c>
      <c r="N163" s="231">
        <v>20.8</v>
      </c>
      <c r="O163" s="231">
        <v>19.97</v>
      </c>
      <c r="P163" s="231">
        <v>20.8</v>
      </c>
      <c r="Q163" s="231">
        <v>24.72</v>
      </c>
      <c r="R163" s="231">
        <v>31.2</v>
      </c>
      <c r="S163" s="231">
        <v>31.2</v>
      </c>
      <c r="T163" s="231">
        <v>27.04</v>
      </c>
      <c r="U163" s="231">
        <v>27.04</v>
      </c>
      <c r="V163" s="231">
        <v>24.44</v>
      </c>
      <c r="W163" s="231"/>
      <c r="X163" s="388">
        <f t="shared" si="80"/>
        <v>289.02999999999997</v>
      </c>
      <c r="Y163" s="389"/>
      <c r="Z163" s="233">
        <f t="shared" si="81"/>
        <v>9.7211538461538449</v>
      </c>
      <c r="AA163" s="233">
        <f t="shared" si="82"/>
        <v>10</v>
      </c>
      <c r="AB163" s="233">
        <f t="shared" si="83"/>
        <v>10</v>
      </c>
      <c r="AC163" s="233">
        <f t="shared" si="84"/>
        <v>10</v>
      </c>
      <c r="AD163" s="233">
        <f t="shared" si="85"/>
        <v>9.6009615384615383</v>
      </c>
      <c r="AE163" s="232">
        <f t="shared" si="86"/>
        <v>10</v>
      </c>
      <c r="AF163" s="232">
        <f t="shared" si="87"/>
        <v>11.884615384615383</v>
      </c>
      <c r="AG163" s="232">
        <f t="shared" si="88"/>
        <v>15</v>
      </c>
      <c r="AH163" s="233">
        <f t="shared" si="89"/>
        <v>15</v>
      </c>
      <c r="AI163" s="233">
        <f t="shared" si="90"/>
        <v>13</v>
      </c>
      <c r="AJ163" s="233">
        <f t="shared" si="91"/>
        <v>13</v>
      </c>
      <c r="AK163" s="233">
        <f t="shared" si="92"/>
        <v>11.75</v>
      </c>
      <c r="AL163" s="260">
        <f t="shared" si="93"/>
        <v>11.579727564102564</v>
      </c>
      <c r="AN163" s="234">
        <f t="shared" si="94"/>
        <v>159.26923076923077</v>
      </c>
      <c r="AO163" s="218" t="e">
        <f>+VLOOKUP($B163,Mapping!$C$31:$C$81,1,FALSE)</f>
        <v>#N/A</v>
      </c>
    </row>
    <row r="164" spans="1:41">
      <c r="A164" s="218" t="str">
        <f>$A$1&amp;"Commercial"&amp;B164</f>
        <v>PIERCE UTCCommercialWI2-COMM</v>
      </c>
      <c r="B164" s="230" t="s">
        <v>425</v>
      </c>
      <c r="C164" s="230" t="s">
        <v>426</v>
      </c>
      <c r="D164" s="230" t="s">
        <v>397</v>
      </c>
      <c r="E164" s="380">
        <v>33000</v>
      </c>
      <c r="F164" s="231">
        <v>3.42</v>
      </c>
      <c r="G164" s="231">
        <v>3.42</v>
      </c>
      <c r="H164" s="231">
        <v>3.42</v>
      </c>
      <c r="I164" s="231">
        <v>3.42</v>
      </c>
      <c r="J164" s="231"/>
      <c r="K164" s="231">
        <v>3.42</v>
      </c>
      <c r="L164" s="231">
        <v>3.42</v>
      </c>
      <c r="M164" s="231">
        <v>3.42</v>
      </c>
      <c r="N164" s="231">
        <v>3.42</v>
      </c>
      <c r="O164" s="231">
        <v>3.42</v>
      </c>
      <c r="P164" s="231">
        <v>3.42</v>
      </c>
      <c r="Q164" s="231">
        <v>3.42</v>
      </c>
      <c r="R164" s="231">
        <v>3.42</v>
      </c>
      <c r="S164" s="231">
        <v>3.42</v>
      </c>
      <c r="T164" s="231">
        <v>3.42</v>
      </c>
      <c r="U164" s="231">
        <v>3.42</v>
      </c>
      <c r="V164" s="231">
        <v>3.42</v>
      </c>
      <c r="W164" s="231"/>
      <c r="X164" s="388">
        <f t="shared" si="80"/>
        <v>41.040000000000013</v>
      </c>
      <c r="Y164" s="389"/>
      <c r="Z164" s="233">
        <f t="shared" si="81"/>
        <v>1</v>
      </c>
      <c r="AA164" s="233">
        <f t="shared" si="82"/>
        <v>1</v>
      </c>
      <c r="AB164" s="233">
        <f t="shared" si="83"/>
        <v>1</v>
      </c>
      <c r="AC164" s="233">
        <f t="shared" si="84"/>
        <v>1</v>
      </c>
      <c r="AD164" s="233">
        <f t="shared" si="85"/>
        <v>1</v>
      </c>
      <c r="AE164" s="232">
        <f t="shared" si="86"/>
        <v>1</v>
      </c>
      <c r="AF164" s="232">
        <f t="shared" si="87"/>
        <v>1</v>
      </c>
      <c r="AG164" s="232">
        <f t="shared" si="88"/>
        <v>1</v>
      </c>
      <c r="AH164" s="233">
        <f t="shared" si="89"/>
        <v>1</v>
      </c>
      <c r="AI164" s="233">
        <f t="shared" si="90"/>
        <v>1</v>
      </c>
      <c r="AJ164" s="233">
        <f t="shared" si="91"/>
        <v>1</v>
      </c>
      <c r="AK164" s="233">
        <f t="shared" si="92"/>
        <v>1</v>
      </c>
      <c r="AL164" s="260">
        <f t="shared" si="93"/>
        <v>1</v>
      </c>
      <c r="AN164" s="234">
        <f t="shared" si="94"/>
        <v>12</v>
      </c>
      <c r="AO164" s="218" t="e">
        <f>+VLOOKUP($B164,Mapping!$C$31:$C$81,1,FALSE)</f>
        <v>#N/A</v>
      </c>
    </row>
    <row r="165" spans="1:41">
      <c r="A165" s="218" t="str">
        <f>$A$1&amp;"Commercial"&amp;B165</f>
        <v>PIERCE UTCCommercialWI4-COMM</v>
      </c>
      <c r="B165" s="230" t="s">
        <v>427</v>
      </c>
      <c r="C165" s="230" t="s">
        <v>428</v>
      </c>
      <c r="D165" s="230" t="s">
        <v>397</v>
      </c>
      <c r="E165" s="380">
        <v>33000</v>
      </c>
      <c r="F165" s="231">
        <v>6.11</v>
      </c>
      <c r="G165" s="231">
        <v>6.11</v>
      </c>
      <c r="H165" s="231">
        <v>6.11</v>
      </c>
      <c r="I165" s="231">
        <v>6.11</v>
      </c>
      <c r="J165" s="231"/>
      <c r="K165" s="231">
        <v>6.11</v>
      </c>
      <c r="L165" s="231">
        <v>6.11</v>
      </c>
      <c r="M165" s="231">
        <v>6.11</v>
      </c>
      <c r="N165" s="231">
        <v>6.11</v>
      </c>
      <c r="O165" s="231">
        <v>6.11</v>
      </c>
      <c r="P165" s="231">
        <v>6.11</v>
      </c>
      <c r="Q165" s="231">
        <v>6.11</v>
      </c>
      <c r="R165" s="231">
        <v>6.11</v>
      </c>
      <c r="S165" s="231">
        <v>6.11</v>
      </c>
      <c r="T165" s="231">
        <v>6.11</v>
      </c>
      <c r="U165" s="231">
        <v>6.11</v>
      </c>
      <c r="V165" s="231">
        <v>6.11</v>
      </c>
      <c r="W165" s="231"/>
      <c r="X165" s="388">
        <f t="shared" si="80"/>
        <v>73.320000000000007</v>
      </c>
      <c r="Y165" s="389"/>
      <c r="Z165" s="233">
        <f t="shared" si="81"/>
        <v>1</v>
      </c>
      <c r="AA165" s="233">
        <f t="shared" si="82"/>
        <v>1</v>
      </c>
      <c r="AB165" s="233">
        <f t="shared" si="83"/>
        <v>1</v>
      </c>
      <c r="AC165" s="233">
        <f t="shared" si="84"/>
        <v>1</v>
      </c>
      <c r="AD165" s="233">
        <f t="shared" si="85"/>
        <v>1</v>
      </c>
      <c r="AE165" s="232">
        <f t="shared" si="86"/>
        <v>1</v>
      </c>
      <c r="AF165" s="232">
        <f t="shared" si="87"/>
        <v>1</v>
      </c>
      <c r="AG165" s="232">
        <f t="shared" si="88"/>
        <v>1</v>
      </c>
      <c r="AH165" s="233">
        <f t="shared" si="89"/>
        <v>1</v>
      </c>
      <c r="AI165" s="233">
        <f t="shared" si="90"/>
        <v>1</v>
      </c>
      <c r="AJ165" s="233">
        <f t="shared" si="91"/>
        <v>1</v>
      </c>
      <c r="AK165" s="233">
        <f t="shared" si="92"/>
        <v>1</v>
      </c>
      <c r="AL165" s="260">
        <f t="shared" si="93"/>
        <v>1</v>
      </c>
      <c r="AN165" s="234">
        <f t="shared" si="94"/>
        <v>12</v>
      </c>
      <c r="AO165" s="218" t="e">
        <f>+VLOOKUP($B165,Mapping!$C$31:$C$81,1,FALSE)</f>
        <v>#N/A</v>
      </c>
    </row>
    <row r="166" spans="1:41">
      <c r="A166" s="218" t="str">
        <f>$A$1&amp;"Commercial"&amp;B166</f>
        <v>PIERCE UTCCommercialCLEAN1.5-COMM</v>
      </c>
      <c r="B166" s="230" t="s">
        <v>429</v>
      </c>
      <c r="C166" s="230" t="s">
        <v>430</v>
      </c>
      <c r="D166" s="230" t="s">
        <v>410</v>
      </c>
      <c r="E166" s="380">
        <v>33001</v>
      </c>
      <c r="F166" s="231">
        <v>19</v>
      </c>
      <c r="G166" s="231">
        <v>19</v>
      </c>
      <c r="H166" s="231">
        <v>18.82</v>
      </c>
      <c r="I166" s="231">
        <v>18.87</v>
      </c>
      <c r="J166" s="231"/>
      <c r="K166" s="231">
        <v>19</v>
      </c>
      <c r="L166" s="231">
        <v>76</v>
      </c>
      <c r="M166" s="231">
        <v>57</v>
      </c>
      <c r="N166" s="231">
        <v>57</v>
      </c>
      <c r="O166" s="231">
        <v>76</v>
      </c>
      <c r="P166" s="231">
        <v>94.1</v>
      </c>
      <c r="Q166" s="231">
        <v>207.02</v>
      </c>
      <c r="R166" s="231">
        <v>188.2</v>
      </c>
      <c r="S166" s="231">
        <v>207.47</v>
      </c>
      <c r="T166" s="231">
        <v>188.7</v>
      </c>
      <c r="U166" s="231">
        <v>94.35</v>
      </c>
      <c r="V166" s="231">
        <v>56.61</v>
      </c>
      <c r="W166" s="231"/>
      <c r="X166" s="388">
        <f t="shared" si="80"/>
        <v>1321.4499999999998</v>
      </c>
      <c r="Y166" s="389"/>
      <c r="Z166" s="233">
        <f t="shared" si="81"/>
        <v>1</v>
      </c>
      <c r="AA166" s="233">
        <f t="shared" si="82"/>
        <v>4</v>
      </c>
      <c r="AB166" s="233">
        <f t="shared" si="83"/>
        <v>3</v>
      </c>
      <c r="AC166" s="233">
        <f t="shared" si="84"/>
        <v>3</v>
      </c>
      <c r="AD166" s="233">
        <f t="shared" si="85"/>
        <v>4</v>
      </c>
      <c r="AE166" s="232">
        <f t="shared" si="86"/>
        <v>5</v>
      </c>
      <c r="AF166" s="232">
        <f t="shared" si="87"/>
        <v>11</v>
      </c>
      <c r="AG166" s="232">
        <f t="shared" si="88"/>
        <v>10</v>
      </c>
      <c r="AH166" s="233">
        <f t="shared" si="89"/>
        <v>10.994700582935877</v>
      </c>
      <c r="AI166" s="233">
        <f t="shared" si="90"/>
        <v>9.9999999999999982</v>
      </c>
      <c r="AJ166" s="233">
        <f t="shared" si="91"/>
        <v>4.9999999999999991</v>
      </c>
      <c r="AK166" s="233">
        <f t="shared" si="92"/>
        <v>3</v>
      </c>
      <c r="AL166" s="260">
        <f t="shared" si="93"/>
        <v>5.8328917152446564</v>
      </c>
      <c r="AN166" s="234">
        <f t="shared" si="94"/>
        <v>99.989401165871755</v>
      </c>
      <c r="AO166" s="218" t="e">
        <f>+VLOOKUP($B166,Mapping!$C$31:$C$81,1,FALSE)</f>
        <v>#N/A</v>
      </c>
    </row>
    <row r="167" spans="1:41">
      <c r="A167" s="218" t="str">
        <f>$A$1&amp;"Commercial"&amp;B167</f>
        <v>PIERCE UTCCommercialCLEAN1-COMM</v>
      </c>
      <c r="B167" s="230" t="s">
        <v>431</v>
      </c>
      <c r="C167" s="230" t="s">
        <v>432</v>
      </c>
      <c r="D167" s="230" t="s">
        <v>410</v>
      </c>
      <c r="E167" s="380">
        <v>33001</v>
      </c>
      <c r="F167" s="231">
        <v>19</v>
      </c>
      <c r="G167" s="231">
        <v>19</v>
      </c>
      <c r="H167" s="231">
        <v>18.82</v>
      </c>
      <c r="I167" s="231">
        <v>18.87</v>
      </c>
      <c r="J167" s="231"/>
      <c r="K167" s="231">
        <v>19</v>
      </c>
      <c r="L167" s="231">
        <v>38</v>
      </c>
      <c r="M167" s="231">
        <v>0</v>
      </c>
      <c r="N167" s="231">
        <v>19</v>
      </c>
      <c r="O167" s="231">
        <v>19</v>
      </c>
      <c r="P167" s="231">
        <v>0</v>
      </c>
      <c r="Q167" s="231">
        <v>56.46</v>
      </c>
      <c r="R167" s="231">
        <v>73.55</v>
      </c>
      <c r="S167" s="231">
        <v>18.87</v>
      </c>
      <c r="T167" s="231">
        <v>18.87</v>
      </c>
      <c r="U167" s="231">
        <v>0</v>
      </c>
      <c r="V167" s="231">
        <v>75.48</v>
      </c>
      <c r="W167" s="231"/>
      <c r="X167" s="388">
        <f t="shared" si="80"/>
        <v>338.23</v>
      </c>
      <c r="Y167" s="389"/>
      <c r="Z167" s="233">
        <f t="shared" si="81"/>
        <v>1</v>
      </c>
      <c r="AA167" s="233">
        <f t="shared" si="82"/>
        <v>2</v>
      </c>
      <c r="AB167" s="233">
        <f t="shared" si="83"/>
        <v>0</v>
      </c>
      <c r="AC167" s="233">
        <f t="shared" si="84"/>
        <v>1</v>
      </c>
      <c r="AD167" s="233">
        <f t="shared" si="85"/>
        <v>1</v>
      </c>
      <c r="AE167" s="232">
        <f t="shared" si="86"/>
        <v>0</v>
      </c>
      <c r="AF167" s="232">
        <f t="shared" si="87"/>
        <v>3</v>
      </c>
      <c r="AG167" s="232">
        <f t="shared" si="88"/>
        <v>3.9080765143464395</v>
      </c>
      <c r="AH167" s="233">
        <f t="shared" si="89"/>
        <v>1</v>
      </c>
      <c r="AI167" s="233">
        <f t="shared" si="90"/>
        <v>1</v>
      </c>
      <c r="AJ167" s="233">
        <f t="shared" si="91"/>
        <v>0</v>
      </c>
      <c r="AK167" s="233">
        <f t="shared" si="92"/>
        <v>4</v>
      </c>
      <c r="AL167" s="260">
        <f t="shared" si="93"/>
        <v>1.49233970952887</v>
      </c>
      <c r="AN167" s="234">
        <f t="shared" si="94"/>
        <v>25.816153028692881</v>
      </c>
      <c r="AO167" s="218" t="e">
        <f>+VLOOKUP($B167,Mapping!$C$31:$C$81,1,FALSE)</f>
        <v>#N/A</v>
      </c>
    </row>
    <row r="168" spans="1:41">
      <c r="A168" s="218" t="str">
        <f>$A$1&amp;"Commercial"&amp;B168</f>
        <v>PIERCE UTCCommercialCLEAN2-COMM</v>
      </c>
      <c r="B168" s="230" t="s">
        <v>433</v>
      </c>
      <c r="C168" s="230" t="s">
        <v>434</v>
      </c>
      <c r="D168" s="230" t="s">
        <v>410</v>
      </c>
      <c r="E168" s="380">
        <v>33001</v>
      </c>
      <c r="F168" s="231">
        <v>19</v>
      </c>
      <c r="G168" s="231">
        <v>19</v>
      </c>
      <c r="H168" s="231">
        <v>18.82</v>
      </c>
      <c r="I168" s="231">
        <v>18.87</v>
      </c>
      <c r="J168" s="231"/>
      <c r="K168" s="231">
        <v>228</v>
      </c>
      <c r="L168" s="231">
        <v>285</v>
      </c>
      <c r="M168" s="231">
        <v>190</v>
      </c>
      <c r="N168" s="231">
        <v>266</v>
      </c>
      <c r="O168" s="231">
        <v>551</v>
      </c>
      <c r="P168" s="231">
        <v>621.41999999999996</v>
      </c>
      <c r="Q168" s="231">
        <v>545.6</v>
      </c>
      <c r="R168" s="231">
        <v>772.16</v>
      </c>
      <c r="S168" s="231">
        <v>697.84</v>
      </c>
      <c r="T168" s="231">
        <v>886.89</v>
      </c>
      <c r="U168" s="231">
        <v>603.84</v>
      </c>
      <c r="V168" s="231">
        <v>452.88</v>
      </c>
      <c r="W168" s="231"/>
      <c r="X168" s="388">
        <f t="shared" si="80"/>
        <v>6100.63</v>
      </c>
      <c r="Y168" s="389"/>
      <c r="Z168" s="233">
        <f t="shared" si="81"/>
        <v>12</v>
      </c>
      <c r="AA168" s="233">
        <f t="shared" si="82"/>
        <v>15</v>
      </c>
      <c r="AB168" s="233">
        <f t="shared" si="83"/>
        <v>10</v>
      </c>
      <c r="AC168" s="233">
        <f t="shared" si="84"/>
        <v>14</v>
      </c>
      <c r="AD168" s="233">
        <f t="shared" si="85"/>
        <v>29</v>
      </c>
      <c r="AE168" s="232">
        <f t="shared" si="86"/>
        <v>33.019128586609988</v>
      </c>
      <c r="AF168" s="232">
        <f t="shared" si="87"/>
        <v>28.990435706695006</v>
      </c>
      <c r="AG168" s="232">
        <f t="shared" si="88"/>
        <v>41.028692879914985</v>
      </c>
      <c r="AH168" s="233">
        <f t="shared" si="89"/>
        <v>36.98145204027557</v>
      </c>
      <c r="AI168" s="233">
        <f t="shared" si="90"/>
        <v>47</v>
      </c>
      <c r="AJ168" s="233">
        <f t="shared" si="91"/>
        <v>32</v>
      </c>
      <c r="AK168" s="233">
        <f t="shared" si="92"/>
        <v>24</v>
      </c>
      <c r="AL168" s="260">
        <f t="shared" si="93"/>
        <v>26.918309101124624</v>
      </c>
      <c r="AN168" s="234">
        <f t="shared" si="94"/>
        <v>420.0011612537711</v>
      </c>
      <c r="AO168" s="218" t="e">
        <f>+VLOOKUP($B168,Mapping!$C$31:$C$81,1,FALSE)</f>
        <v>#N/A</v>
      </c>
    </row>
    <row r="169" spans="1:41">
      <c r="A169" s="218" t="str">
        <f>$A$1&amp;"Commercial"&amp;B169</f>
        <v>PIERCE UTCCommercialCLEAN3-COMM</v>
      </c>
      <c r="B169" s="230" t="s">
        <v>435</v>
      </c>
      <c r="C169" s="230" t="s">
        <v>436</v>
      </c>
      <c r="D169" s="230" t="s">
        <v>410</v>
      </c>
      <c r="E169" s="380">
        <v>33001</v>
      </c>
      <c r="F169" s="231">
        <v>19</v>
      </c>
      <c r="G169" s="231">
        <v>19</v>
      </c>
      <c r="H169" s="231">
        <v>18.82</v>
      </c>
      <c r="I169" s="231">
        <v>18.87</v>
      </c>
      <c r="J169" s="231"/>
      <c r="K169" s="231">
        <v>0</v>
      </c>
      <c r="L169" s="231">
        <v>0</v>
      </c>
      <c r="M169" s="231">
        <v>0</v>
      </c>
      <c r="N169" s="231">
        <v>0</v>
      </c>
      <c r="O169" s="231">
        <v>0</v>
      </c>
      <c r="P169" s="231">
        <v>0</v>
      </c>
      <c r="Q169" s="231">
        <v>0</v>
      </c>
      <c r="R169" s="231">
        <v>0</v>
      </c>
      <c r="S169" s="231">
        <v>0</v>
      </c>
      <c r="T169" s="231">
        <v>0</v>
      </c>
      <c r="U169" s="231">
        <v>0</v>
      </c>
      <c r="V169" s="231">
        <v>0</v>
      </c>
      <c r="W169" s="231"/>
      <c r="X169" s="388">
        <f t="shared" si="80"/>
        <v>0</v>
      </c>
      <c r="Y169" s="389"/>
      <c r="Z169" s="233">
        <f t="shared" si="81"/>
        <v>0</v>
      </c>
      <c r="AA169" s="233">
        <f t="shared" si="82"/>
        <v>0</v>
      </c>
      <c r="AB169" s="233">
        <f t="shared" si="83"/>
        <v>0</v>
      </c>
      <c r="AC169" s="233">
        <f t="shared" si="84"/>
        <v>0</v>
      </c>
      <c r="AD169" s="233">
        <f t="shared" si="85"/>
        <v>0</v>
      </c>
      <c r="AE169" s="232">
        <f t="shared" si="86"/>
        <v>0</v>
      </c>
      <c r="AF169" s="232">
        <f t="shared" si="87"/>
        <v>0</v>
      </c>
      <c r="AG169" s="232">
        <f t="shared" si="88"/>
        <v>0</v>
      </c>
      <c r="AH169" s="233">
        <f t="shared" si="89"/>
        <v>0</v>
      </c>
      <c r="AI169" s="233">
        <f t="shared" si="90"/>
        <v>0</v>
      </c>
      <c r="AJ169" s="233">
        <f t="shared" si="91"/>
        <v>0</v>
      </c>
      <c r="AK169" s="233">
        <f t="shared" si="92"/>
        <v>0</v>
      </c>
      <c r="AL169" s="260">
        <f t="shared" si="93"/>
        <v>0</v>
      </c>
      <c r="AN169" s="234">
        <f t="shared" si="94"/>
        <v>0</v>
      </c>
      <c r="AO169" s="218" t="e">
        <f>+VLOOKUP($B169,Mapping!$C$31:$C$81,1,FALSE)</f>
        <v>#N/A</v>
      </c>
    </row>
    <row r="170" spans="1:41">
      <c r="A170" s="218" t="str">
        <f>$A$1&amp;"Commercial"&amp;B170</f>
        <v>PIERCE UTCCommercialCLEAN4-COMM</v>
      </c>
      <c r="B170" s="230" t="s">
        <v>437</v>
      </c>
      <c r="C170" s="230" t="s">
        <v>438</v>
      </c>
      <c r="D170" s="230" t="s">
        <v>410</v>
      </c>
      <c r="E170" s="380">
        <v>33001</v>
      </c>
      <c r="F170" s="231">
        <v>19</v>
      </c>
      <c r="G170" s="231">
        <v>19</v>
      </c>
      <c r="H170" s="231">
        <v>18.84</v>
      </c>
      <c r="I170" s="231">
        <v>18.88</v>
      </c>
      <c r="J170" s="231"/>
      <c r="K170" s="231">
        <v>0</v>
      </c>
      <c r="L170" s="231">
        <v>0</v>
      </c>
      <c r="M170" s="231">
        <v>0</v>
      </c>
      <c r="N170" s="231">
        <v>0</v>
      </c>
      <c r="O170" s="231">
        <v>0</v>
      </c>
      <c r="P170" s="231">
        <v>0</v>
      </c>
      <c r="Q170" s="231">
        <v>0</v>
      </c>
      <c r="R170" s="231">
        <v>35.93</v>
      </c>
      <c r="S170" s="231">
        <v>18.88</v>
      </c>
      <c r="T170" s="231">
        <v>72.040000000000006</v>
      </c>
      <c r="U170" s="231">
        <v>0</v>
      </c>
      <c r="V170" s="231">
        <v>0</v>
      </c>
      <c r="W170" s="231"/>
      <c r="X170" s="388">
        <f t="shared" si="80"/>
        <v>126.85000000000001</v>
      </c>
      <c r="Y170" s="389"/>
      <c r="Z170" s="233">
        <f t="shared" si="81"/>
        <v>0</v>
      </c>
      <c r="AA170" s="233">
        <f t="shared" si="82"/>
        <v>0</v>
      </c>
      <c r="AB170" s="233">
        <f t="shared" si="83"/>
        <v>0</v>
      </c>
      <c r="AC170" s="233">
        <f t="shared" si="84"/>
        <v>0</v>
      </c>
      <c r="AD170" s="233">
        <f t="shared" si="85"/>
        <v>0</v>
      </c>
      <c r="AE170" s="232">
        <f t="shared" si="86"/>
        <v>0</v>
      </c>
      <c r="AF170" s="232">
        <f t="shared" si="87"/>
        <v>0</v>
      </c>
      <c r="AG170" s="232">
        <f t="shared" si="88"/>
        <v>1.9071125265392781</v>
      </c>
      <c r="AH170" s="233">
        <f t="shared" si="89"/>
        <v>1</v>
      </c>
      <c r="AI170" s="233">
        <f t="shared" si="90"/>
        <v>3.8156779661016955</v>
      </c>
      <c r="AJ170" s="233">
        <f t="shared" si="91"/>
        <v>0</v>
      </c>
      <c r="AK170" s="233">
        <f t="shared" si="92"/>
        <v>0</v>
      </c>
      <c r="AL170" s="260">
        <f t="shared" si="93"/>
        <v>0.56023254105341447</v>
      </c>
      <c r="AN170" s="234">
        <f t="shared" si="94"/>
        <v>13.445580985281946</v>
      </c>
      <c r="AO170" s="218" t="e">
        <f>+VLOOKUP($B170,Mapping!$C$31:$C$81,1,FALSE)</f>
        <v>#N/A</v>
      </c>
    </row>
    <row r="171" spans="1:41">
      <c r="A171" s="218" t="str">
        <f>$A$1&amp;"Commercial"&amp;B171</f>
        <v>PIERCE UTCCommercialCLEAN6-COMM</v>
      </c>
      <c r="B171" s="230" t="s">
        <v>439</v>
      </c>
      <c r="C171" s="230" t="s">
        <v>440</v>
      </c>
      <c r="D171" s="230" t="s">
        <v>410</v>
      </c>
      <c r="E171" s="380">
        <v>33001</v>
      </c>
      <c r="F171" s="231">
        <v>28.5</v>
      </c>
      <c r="G171" s="231">
        <v>28.5</v>
      </c>
      <c r="H171" s="231">
        <v>28.26</v>
      </c>
      <c r="I171" s="231">
        <v>28.32</v>
      </c>
      <c r="J171" s="231"/>
      <c r="K171" s="231">
        <v>0</v>
      </c>
      <c r="L171" s="231">
        <v>28.5</v>
      </c>
      <c r="M171" s="231">
        <v>28.5</v>
      </c>
      <c r="N171" s="231">
        <v>28.5</v>
      </c>
      <c r="O171" s="231">
        <v>0</v>
      </c>
      <c r="P171" s="231">
        <v>0</v>
      </c>
      <c r="Q171" s="231">
        <v>0</v>
      </c>
      <c r="R171" s="231">
        <v>28.26</v>
      </c>
      <c r="S171" s="231">
        <v>0</v>
      </c>
      <c r="T171" s="231">
        <v>56.64</v>
      </c>
      <c r="U171" s="231">
        <v>0</v>
      </c>
      <c r="V171" s="231">
        <v>0</v>
      </c>
      <c r="W171" s="231"/>
      <c r="X171" s="388">
        <f t="shared" si="80"/>
        <v>170.4</v>
      </c>
      <c r="Y171" s="389"/>
      <c r="Z171" s="233">
        <f t="shared" si="81"/>
        <v>0</v>
      </c>
      <c r="AA171" s="233">
        <f t="shared" si="82"/>
        <v>1</v>
      </c>
      <c r="AB171" s="233">
        <f t="shared" si="83"/>
        <v>1</v>
      </c>
      <c r="AC171" s="233">
        <f t="shared" si="84"/>
        <v>1</v>
      </c>
      <c r="AD171" s="233">
        <f t="shared" si="85"/>
        <v>0</v>
      </c>
      <c r="AE171" s="232">
        <f t="shared" si="86"/>
        <v>0</v>
      </c>
      <c r="AF171" s="232">
        <f t="shared" si="87"/>
        <v>0</v>
      </c>
      <c r="AG171" s="232">
        <f t="shared" si="88"/>
        <v>1</v>
      </c>
      <c r="AH171" s="233">
        <f t="shared" si="89"/>
        <v>0</v>
      </c>
      <c r="AI171" s="233">
        <f t="shared" si="90"/>
        <v>2</v>
      </c>
      <c r="AJ171" s="233">
        <f t="shared" si="91"/>
        <v>0</v>
      </c>
      <c r="AK171" s="233">
        <f t="shared" si="92"/>
        <v>0</v>
      </c>
      <c r="AL171" s="260">
        <f t="shared" si="93"/>
        <v>0.5</v>
      </c>
      <c r="AN171" s="234">
        <f t="shared" si="94"/>
        <v>6</v>
      </c>
      <c r="AO171" s="218" t="e">
        <f>+VLOOKUP($B171,Mapping!$C$31:$C$81,1,FALSE)</f>
        <v>#N/A</v>
      </c>
    </row>
    <row r="172" spans="1:41">
      <c r="A172" s="218" t="str">
        <f>$A$1&amp;"Commercial"&amp;B172</f>
        <v>PIERCE UTCCommercialCLEAN-COMM</v>
      </c>
      <c r="B172" s="230" t="s">
        <v>441</v>
      </c>
      <c r="C172" s="230" t="s">
        <v>442</v>
      </c>
      <c r="D172" s="230" t="s">
        <v>410</v>
      </c>
      <c r="E172" s="380">
        <v>33001</v>
      </c>
      <c r="F172" s="231">
        <v>4.75</v>
      </c>
      <c r="G172" s="231">
        <v>4.75</v>
      </c>
      <c r="H172" s="231">
        <v>4.71</v>
      </c>
      <c r="I172" s="231">
        <v>4.72</v>
      </c>
      <c r="J172" s="231"/>
      <c r="K172" s="231">
        <v>0</v>
      </c>
      <c r="L172" s="231">
        <v>-4.75</v>
      </c>
      <c r="M172" s="231">
        <v>0</v>
      </c>
      <c r="N172" s="231">
        <v>0</v>
      </c>
      <c r="O172" s="231">
        <v>4.75</v>
      </c>
      <c r="P172" s="231">
        <v>4.71</v>
      </c>
      <c r="Q172" s="231">
        <v>0</v>
      </c>
      <c r="R172" s="231">
        <v>4.71</v>
      </c>
      <c r="S172" s="231">
        <v>18.88</v>
      </c>
      <c r="T172" s="231">
        <v>0</v>
      </c>
      <c r="U172" s="231">
        <v>0</v>
      </c>
      <c r="V172" s="231">
        <v>0</v>
      </c>
      <c r="W172" s="231"/>
      <c r="X172" s="388">
        <f t="shared" si="80"/>
        <v>28.299999999999997</v>
      </c>
      <c r="Y172" s="389"/>
      <c r="Z172" s="233">
        <f t="shared" si="81"/>
        <v>0</v>
      </c>
      <c r="AA172" s="233">
        <f t="shared" si="82"/>
        <v>-1</v>
      </c>
      <c r="AB172" s="233">
        <f t="shared" si="83"/>
        <v>0</v>
      </c>
      <c r="AC172" s="233">
        <f t="shared" si="84"/>
        <v>0</v>
      </c>
      <c r="AD172" s="233">
        <f t="shared" si="85"/>
        <v>1</v>
      </c>
      <c r="AE172" s="232">
        <f t="shared" si="86"/>
        <v>1</v>
      </c>
      <c r="AF172" s="232">
        <f t="shared" si="87"/>
        <v>0</v>
      </c>
      <c r="AG172" s="232">
        <f t="shared" si="88"/>
        <v>1</v>
      </c>
      <c r="AH172" s="233">
        <f t="shared" si="89"/>
        <v>4</v>
      </c>
      <c r="AI172" s="233">
        <f t="shared" si="90"/>
        <v>0</v>
      </c>
      <c r="AJ172" s="233">
        <f t="shared" si="91"/>
        <v>0</v>
      </c>
      <c r="AK172" s="233">
        <f t="shared" si="92"/>
        <v>0</v>
      </c>
      <c r="AL172" s="260">
        <f t="shared" si="93"/>
        <v>0.5</v>
      </c>
      <c r="AN172" s="234">
        <f t="shared" si="94"/>
        <v>10</v>
      </c>
      <c r="AO172" s="218" t="e">
        <f>+VLOOKUP($B172,Mapping!$C$31:$C$81,1,FALSE)</f>
        <v>#N/A</v>
      </c>
    </row>
    <row r="173" spans="1:41">
      <c r="A173" s="218" t="str">
        <f>$A$1&amp;"Commercial"&amp;B173</f>
        <v>PIERCE UTCCommercialDEL1.5TEMP-COMM</v>
      </c>
      <c r="B173" s="230" t="s">
        <v>443</v>
      </c>
      <c r="C173" s="230" t="s">
        <v>444</v>
      </c>
      <c r="D173" s="230" t="s">
        <v>410</v>
      </c>
      <c r="E173" s="380">
        <v>33001</v>
      </c>
      <c r="F173" s="231">
        <v>22.71</v>
      </c>
      <c r="G173" s="231">
        <v>22.71</v>
      </c>
      <c r="H173" s="231">
        <v>22.5</v>
      </c>
      <c r="I173" s="231">
        <v>22.56</v>
      </c>
      <c r="J173" s="231"/>
      <c r="K173" s="231">
        <v>45.42</v>
      </c>
      <c r="L173" s="231">
        <v>0</v>
      </c>
      <c r="M173" s="231">
        <v>68.13</v>
      </c>
      <c r="N173" s="231">
        <v>158.97</v>
      </c>
      <c r="O173" s="231">
        <v>136.26</v>
      </c>
      <c r="P173" s="231">
        <v>270.20999999999998</v>
      </c>
      <c r="Q173" s="231">
        <v>292.5</v>
      </c>
      <c r="R173" s="231">
        <v>427.5</v>
      </c>
      <c r="S173" s="231">
        <v>157.86000000000001</v>
      </c>
      <c r="T173" s="231">
        <v>67.680000000000007</v>
      </c>
      <c r="U173" s="231">
        <v>90.24</v>
      </c>
      <c r="V173" s="231">
        <v>22.56</v>
      </c>
      <c r="W173" s="231"/>
      <c r="X173" s="388">
        <f t="shared" si="80"/>
        <v>1737.33</v>
      </c>
      <c r="Y173" s="389"/>
      <c r="Z173" s="233">
        <f t="shared" si="81"/>
        <v>2</v>
      </c>
      <c r="AA173" s="233">
        <f t="shared" si="82"/>
        <v>0</v>
      </c>
      <c r="AB173" s="233">
        <f t="shared" si="83"/>
        <v>2.9999999999999996</v>
      </c>
      <c r="AC173" s="233">
        <f t="shared" si="84"/>
        <v>7</v>
      </c>
      <c r="AD173" s="233">
        <f t="shared" si="85"/>
        <v>5.9999999999999991</v>
      </c>
      <c r="AE173" s="232">
        <f t="shared" si="86"/>
        <v>12.009333333333332</v>
      </c>
      <c r="AF173" s="232">
        <f t="shared" si="87"/>
        <v>13</v>
      </c>
      <c r="AG173" s="232">
        <f t="shared" si="88"/>
        <v>19</v>
      </c>
      <c r="AH173" s="233">
        <f t="shared" si="89"/>
        <v>6.9973404255319158</v>
      </c>
      <c r="AI173" s="233">
        <f t="shared" si="90"/>
        <v>3.0000000000000004</v>
      </c>
      <c r="AJ173" s="233">
        <f t="shared" si="91"/>
        <v>4</v>
      </c>
      <c r="AK173" s="233">
        <f t="shared" si="92"/>
        <v>1</v>
      </c>
      <c r="AL173" s="260">
        <f t="shared" si="93"/>
        <v>6.4172228132387703</v>
      </c>
      <c r="AN173" s="234">
        <f t="shared" si="94"/>
        <v>93.994680851063833</v>
      </c>
      <c r="AO173" s="218" t="e">
        <f>+VLOOKUP($B173,Mapping!$C$31:$C$81,1,FALSE)</f>
        <v>#N/A</v>
      </c>
    </row>
    <row r="174" spans="1:41">
      <c r="A174" s="218" t="str">
        <f>$A$1&amp;"Commercial"&amp;B174</f>
        <v>PIERCE UTCCommercialDEL1TEMP-COMM</v>
      </c>
      <c r="B174" s="230" t="s">
        <v>445</v>
      </c>
      <c r="C174" s="230" t="s">
        <v>446</v>
      </c>
      <c r="D174" s="230" t="s">
        <v>410</v>
      </c>
      <c r="E174" s="380">
        <v>33001</v>
      </c>
      <c r="F174" s="231">
        <v>22.71</v>
      </c>
      <c r="G174" s="231">
        <v>22.71</v>
      </c>
      <c r="H174" s="231">
        <v>22.5</v>
      </c>
      <c r="I174" s="231">
        <v>22.56</v>
      </c>
      <c r="J174" s="231"/>
      <c r="K174" s="231">
        <v>22.71</v>
      </c>
      <c r="L174" s="231">
        <v>0</v>
      </c>
      <c r="M174" s="231">
        <v>22.71</v>
      </c>
      <c r="N174" s="231">
        <v>22.71</v>
      </c>
      <c r="O174" s="231">
        <v>45.42</v>
      </c>
      <c r="P174" s="231">
        <v>45</v>
      </c>
      <c r="Q174" s="231">
        <v>45</v>
      </c>
      <c r="R174" s="231">
        <v>0</v>
      </c>
      <c r="S174" s="231">
        <v>45.12</v>
      </c>
      <c r="T174" s="231">
        <v>90.24</v>
      </c>
      <c r="U174" s="231">
        <v>112.8</v>
      </c>
      <c r="V174" s="231">
        <v>45.12</v>
      </c>
      <c r="W174" s="231"/>
      <c r="X174" s="388">
        <f t="shared" si="80"/>
        <v>496.83000000000004</v>
      </c>
      <c r="Y174" s="389"/>
      <c r="Z174" s="233">
        <f t="shared" si="81"/>
        <v>1</v>
      </c>
      <c r="AA174" s="233">
        <f t="shared" si="82"/>
        <v>0</v>
      </c>
      <c r="AB174" s="233">
        <f t="shared" si="83"/>
        <v>1</v>
      </c>
      <c r="AC174" s="233">
        <f t="shared" si="84"/>
        <v>1</v>
      </c>
      <c r="AD174" s="233">
        <f t="shared" si="85"/>
        <v>2</v>
      </c>
      <c r="AE174" s="232">
        <f t="shared" si="86"/>
        <v>2</v>
      </c>
      <c r="AF174" s="232">
        <f t="shared" si="87"/>
        <v>2</v>
      </c>
      <c r="AG174" s="232">
        <f t="shared" si="88"/>
        <v>0</v>
      </c>
      <c r="AH174" s="233">
        <f t="shared" si="89"/>
        <v>2</v>
      </c>
      <c r="AI174" s="233">
        <f t="shared" si="90"/>
        <v>4</v>
      </c>
      <c r="AJ174" s="233">
        <f t="shared" si="91"/>
        <v>5</v>
      </c>
      <c r="AK174" s="233">
        <f t="shared" si="92"/>
        <v>2</v>
      </c>
      <c r="AL174" s="260">
        <f t="shared" si="93"/>
        <v>1.8333333333333333</v>
      </c>
      <c r="AN174" s="234">
        <f t="shared" si="94"/>
        <v>30</v>
      </c>
      <c r="AO174" s="218" t="e">
        <f>+VLOOKUP($B174,Mapping!$C$31:$C$81,1,FALSE)</f>
        <v>#N/A</v>
      </c>
    </row>
    <row r="175" spans="1:41">
      <c r="A175" s="218" t="str">
        <f>$A$1&amp;"Commercial"&amp;B175</f>
        <v>PIERCE UTCCommercialDEL2TEMP-COMM</v>
      </c>
      <c r="B175" s="230" t="s">
        <v>447</v>
      </c>
      <c r="C175" s="230" t="s">
        <v>448</v>
      </c>
      <c r="D175" s="230" t="s">
        <v>410</v>
      </c>
      <c r="E175" s="380">
        <v>33001</v>
      </c>
      <c r="F175" s="231">
        <v>22.71</v>
      </c>
      <c r="G175" s="231">
        <v>22.71</v>
      </c>
      <c r="H175" s="231">
        <v>22.5</v>
      </c>
      <c r="I175" s="231">
        <v>22.56</v>
      </c>
      <c r="J175" s="231"/>
      <c r="K175" s="231">
        <v>249.81</v>
      </c>
      <c r="L175" s="231">
        <v>227.1</v>
      </c>
      <c r="M175" s="231">
        <v>454.2</v>
      </c>
      <c r="N175" s="231">
        <v>613.17000000000007</v>
      </c>
      <c r="O175" s="231">
        <v>1180.92</v>
      </c>
      <c r="P175" s="231">
        <v>787.71</v>
      </c>
      <c r="Q175" s="231">
        <v>675</v>
      </c>
      <c r="R175" s="231">
        <v>810.63</v>
      </c>
      <c r="S175" s="231">
        <v>834.42</v>
      </c>
      <c r="T175" s="231">
        <v>992.64</v>
      </c>
      <c r="U175" s="231">
        <v>676.8</v>
      </c>
      <c r="V175" s="231">
        <v>586.55999999999995</v>
      </c>
      <c r="W175" s="231"/>
      <c r="X175" s="388">
        <f t="shared" si="80"/>
        <v>8088.9600000000009</v>
      </c>
      <c r="Y175" s="389"/>
      <c r="Z175" s="233">
        <f t="shared" si="81"/>
        <v>11</v>
      </c>
      <c r="AA175" s="233">
        <f t="shared" si="82"/>
        <v>10</v>
      </c>
      <c r="AB175" s="233">
        <f t="shared" si="83"/>
        <v>20</v>
      </c>
      <c r="AC175" s="233">
        <f t="shared" si="84"/>
        <v>27.000000000000004</v>
      </c>
      <c r="AD175" s="233">
        <f t="shared" si="85"/>
        <v>52</v>
      </c>
      <c r="AE175" s="232">
        <f t="shared" si="86"/>
        <v>35.009333333333338</v>
      </c>
      <c r="AF175" s="232">
        <f t="shared" si="87"/>
        <v>30</v>
      </c>
      <c r="AG175" s="232">
        <f t="shared" si="88"/>
        <v>36.027999999999999</v>
      </c>
      <c r="AH175" s="233">
        <f t="shared" si="89"/>
        <v>36.986702127659576</v>
      </c>
      <c r="AI175" s="233">
        <f t="shared" si="90"/>
        <v>44</v>
      </c>
      <c r="AJ175" s="233">
        <f t="shared" si="91"/>
        <v>30</v>
      </c>
      <c r="AK175" s="233">
        <f t="shared" si="92"/>
        <v>26</v>
      </c>
      <c r="AL175" s="260">
        <f t="shared" si="93"/>
        <v>29.835336288416073</v>
      </c>
      <c r="AN175" s="234">
        <f t="shared" si="94"/>
        <v>406.02940425531915</v>
      </c>
      <c r="AO175" s="218" t="e">
        <f>+VLOOKUP($B175,Mapping!$C$31:$C$81,1,FALSE)</f>
        <v>#N/A</v>
      </c>
    </row>
    <row r="176" spans="1:41">
      <c r="A176" s="218" t="str">
        <f>$A$1&amp;"Commercial"&amp;B176</f>
        <v>PIERCE UTCCommercialDEL3TEMP-COMM</v>
      </c>
      <c r="B176" s="230" t="s">
        <v>449</v>
      </c>
      <c r="C176" s="230" t="s">
        <v>450</v>
      </c>
      <c r="D176" s="230" t="s">
        <v>410</v>
      </c>
      <c r="E176" s="380">
        <v>33001</v>
      </c>
      <c r="F176" s="231">
        <v>22.71</v>
      </c>
      <c r="G176" s="231">
        <v>22.71</v>
      </c>
      <c r="H176" s="231">
        <v>22.5</v>
      </c>
      <c r="I176" s="231">
        <v>22.56</v>
      </c>
      <c r="J176" s="231"/>
      <c r="K176" s="231">
        <v>0</v>
      </c>
      <c r="L176" s="231">
        <v>0</v>
      </c>
      <c r="M176" s="231">
        <v>0</v>
      </c>
      <c r="N176" s="231">
        <v>0</v>
      </c>
      <c r="O176" s="231">
        <v>0</v>
      </c>
      <c r="P176" s="231">
        <v>0</v>
      </c>
      <c r="Q176" s="231">
        <v>0</v>
      </c>
      <c r="R176" s="231">
        <v>0</v>
      </c>
      <c r="S176" s="231">
        <v>0</v>
      </c>
      <c r="T176" s="231">
        <v>0</v>
      </c>
      <c r="U176" s="231">
        <v>0</v>
      </c>
      <c r="V176" s="231">
        <v>0</v>
      </c>
      <c r="W176" s="231"/>
      <c r="X176" s="388">
        <f t="shared" si="80"/>
        <v>0</v>
      </c>
      <c r="Y176" s="389"/>
      <c r="Z176" s="233">
        <f t="shared" si="81"/>
        <v>0</v>
      </c>
      <c r="AA176" s="233">
        <f t="shared" si="82"/>
        <v>0</v>
      </c>
      <c r="AB176" s="233">
        <f t="shared" si="83"/>
        <v>0</v>
      </c>
      <c r="AC176" s="233">
        <f t="shared" si="84"/>
        <v>0</v>
      </c>
      <c r="AD176" s="233">
        <f t="shared" si="85"/>
        <v>0</v>
      </c>
      <c r="AE176" s="232">
        <f t="shared" si="86"/>
        <v>0</v>
      </c>
      <c r="AF176" s="232">
        <f t="shared" si="87"/>
        <v>0</v>
      </c>
      <c r="AG176" s="232">
        <f t="shared" si="88"/>
        <v>0</v>
      </c>
      <c r="AH176" s="233">
        <f t="shared" si="89"/>
        <v>0</v>
      </c>
      <c r="AI176" s="233">
        <f t="shared" si="90"/>
        <v>0</v>
      </c>
      <c r="AJ176" s="233">
        <f t="shared" si="91"/>
        <v>0</v>
      </c>
      <c r="AK176" s="233">
        <f t="shared" si="92"/>
        <v>0</v>
      </c>
      <c r="AL176" s="260">
        <f t="shared" si="93"/>
        <v>0</v>
      </c>
      <c r="AN176" s="234">
        <f t="shared" si="94"/>
        <v>0</v>
      </c>
      <c r="AO176" s="218" t="e">
        <f>+VLOOKUP($B176,Mapping!$C$31:$C$81,1,FALSE)</f>
        <v>#N/A</v>
      </c>
    </row>
    <row r="177" spans="1:41">
      <c r="A177" s="218" t="str">
        <f>$A$1&amp;"Commercial"&amp;B177</f>
        <v>PIERCE UTCCommercialDEL4TEMP-COMM</v>
      </c>
      <c r="B177" s="230" t="s">
        <v>451</v>
      </c>
      <c r="C177" s="230" t="s">
        <v>452</v>
      </c>
      <c r="D177" s="230" t="s">
        <v>410</v>
      </c>
      <c r="E177" s="380">
        <v>33001</v>
      </c>
      <c r="F177" s="231">
        <v>22.71</v>
      </c>
      <c r="G177" s="231">
        <v>22.71</v>
      </c>
      <c r="H177" s="231">
        <v>22.5</v>
      </c>
      <c r="I177" s="231">
        <v>22.56</v>
      </c>
      <c r="J177" s="231"/>
      <c r="K177" s="231">
        <v>0</v>
      </c>
      <c r="L177" s="231">
        <v>0</v>
      </c>
      <c r="M177" s="231">
        <v>0</v>
      </c>
      <c r="N177" s="231">
        <v>0</v>
      </c>
      <c r="O177" s="231">
        <v>0</v>
      </c>
      <c r="P177" s="231">
        <v>0</v>
      </c>
      <c r="Q177" s="231">
        <v>0</v>
      </c>
      <c r="R177" s="231">
        <v>22.5</v>
      </c>
      <c r="S177" s="231">
        <v>0</v>
      </c>
      <c r="T177" s="231">
        <v>0</v>
      </c>
      <c r="U177" s="231">
        <v>0</v>
      </c>
      <c r="V177" s="231">
        <v>0</v>
      </c>
      <c r="W177" s="231"/>
      <c r="X177" s="388">
        <f t="shared" si="80"/>
        <v>22.5</v>
      </c>
      <c r="Y177" s="389"/>
      <c r="Z177" s="233">
        <f t="shared" si="81"/>
        <v>0</v>
      </c>
      <c r="AA177" s="233">
        <f t="shared" si="82"/>
        <v>0</v>
      </c>
      <c r="AB177" s="233">
        <f t="shared" si="83"/>
        <v>0</v>
      </c>
      <c r="AC177" s="233">
        <f t="shared" si="84"/>
        <v>0</v>
      </c>
      <c r="AD177" s="233">
        <f t="shared" si="85"/>
        <v>0</v>
      </c>
      <c r="AE177" s="232">
        <f t="shared" si="86"/>
        <v>0</v>
      </c>
      <c r="AF177" s="232">
        <f t="shared" si="87"/>
        <v>0</v>
      </c>
      <c r="AG177" s="232">
        <f t="shared" si="88"/>
        <v>1</v>
      </c>
      <c r="AH177" s="233">
        <f t="shared" si="89"/>
        <v>0</v>
      </c>
      <c r="AI177" s="233">
        <f t="shared" si="90"/>
        <v>0</v>
      </c>
      <c r="AJ177" s="233">
        <f t="shared" si="91"/>
        <v>0</v>
      </c>
      <c r="AK177" s="233">
        <f t="shared" si="92"/>
        <v>0</v>
      </c>
      <c r="AL177" s="260">
        <f t="shared" si="93"/>
        <v>8.3333333333333329E-2</v>
      </c>
      <c r="AN177" s="234">
        <f t="shared" si="94"/>
        <v>2</v>
      </c>
      <c r="AO177" s="218" t="e">
        <f>+VLOOKUP($B177,Mapping!$C$31:$C$81,1,FALSE)</f>
        <v>#N/A</v>
      </c>
    </row>
    <row r="178" spans="1:41">
      <c r="A178" s="218" t="str">
        <f>$A$1&amp;"Commercial"&amp;B178</f>
        <v>PIERCE UTCCommercialDEL6TEMP-COMM</v>
      </c>
      <c r="B178" s="230" t="s">
        <v>453</v>
      </c>
      <c r="C178" s="230" t="s">
        <v>454</v>
      </c>
      <c r="D178" s="230" t="s">
        <v>410</v>
      </c>
      <c r="E178" s="380">
        <v>33001</v>
      </c>
      <c r="F178" s="231">
        <v>42.77</v>
      </c>
      <c r="G178" s="231">
        <v>42.77</v>
      </c>
      <c r="H178" s="231">
        <v>42.37</v>
      </c>
      <c r="I178" s="231">
        <v>42.49</v>
      </c>
      <c r="J178" s="231"/>
      <c r="K178" s="231">
        <v>42.77</v>
      </c>
      <c r="L178" s="231">
        <v>42.77</v>
      </c>
      <c r="M178" s="231">
        <v>42.77</v>
      </c>
      <c r="N178" s="231">
        <v>42.77</v>
      </c>
      <c r="O178" s="231">
        <v>0</v>
      </c>
      <c r="P178" s="231">
        <v>0</v>
      </c>
      <c r="Q178" s="231">
        <v>42.37</v>
      </c>
      <c r="R178" s="231">
        <v>42.37</v>
      </c>
      <c r="S178" s="231">
        <v>0</v>
      </c>
      <c r="T178" s="231">
        <v>42.49</v>
      </c>
      <c r="U178" s="231">
        <v>0</v>
      </c>
      <c r="V178" s="231">
        <v>0</v>
      </c>
      <c r="W178" s="231"/>
      <c r="X178" s="388">
        <f t="shared" si="80"/>
        <v>298.31</v>
      </c>
      <c r="Y178" s="389"/>
      <c r="Z178" s="233">
        <f t="shared" si="81"/>
        <v>1</v>
      </c>
      <c r="AA178" s="233">
        <f t="shared" si="82"/>
        <v>1</v>
      </c>
      <c r="AB178" s="233">
        <f t="shared" si="83"/>
        <v>1</v>
      </c>
      <c r="AC178" s="233">
        <f t="shared" si="84"/>
        <v>1</v>
      </c>
      <c r="AD178" s="233">
        <f t="shared" si="85"/>
        <v>0</v>
      </c>
      <c r="AE178" s="232">
        <f t="shared" si="86"/>
        <v>0</v>
      </c>
      <c r="AF178" s="232">
        <f t="shared" si="87"/>
        <v>1</v>
      </c>
      <c r="AG178" s="232">
        <f t="shared" si="88"/>
        <v>1</v>
      </c>
      <c r="AH178" s="233">
        <f t="shared" si="89"/>
        <v>0</v>
      </c>
      <c r="AI178" s="233">
        <f t="shared" si="90"/>
        <v>1</v>
      </c>
      <c r="AJ178" s="233">
        <f t="shared" si="91"/>
        <v>0</v>
      </c>
      <c r="AK178" s="233">
        <f t="shared" si="92"/>
        <v>0</v>
      </c>
      <c r="AL178" s="260">
        <f t="shared" si="93"/>
        <v>0.58333333333333337</v>
      </c>
      <c r="AN178" s="234">
        <f t="shared" si="94"/>
        <v>6</v>
      </c>
      <c r="AO178" s="218" t="e">
        <f>+VLOOKUP($B178,Mapping!$C$31:$C$81,1,FALSE)</f>
        <v>#N/A</v>
      </c>
    </row>
    <row r="179" spans="1:41">
      <c r="A179" s="218" t="str">
        <f>$A$1&amp;"Commercial"&amp;B179</f>
        <v>PIERCE UTCCommercialREINSTATE-COMM</v>
      </c>
      <c r="B179" s="230" t="s">
        <v>455</v>
      </c>
      <c r="C179" s="230" t="s">
        <v>456</v>
      </c>
      <c r="D179" s="230" t="s">
        <v>410</v>
      </c>
      <c r="E179" s="380">
        <v>33001</v>
      </c>
      <c r="F179" s="231">
        <v>12.65</v>
      </c>
      <c r="G179" s="231">
        <v>12.65</v>
      </c>
      <c r="H179" s="231">
        <v>12.53</v>
      </c>
      <c r="I179" s="231">
        <v>12.56</v>
      </c>
      <c r="J179" s="231"/>
      <c r="K179" s="231">
        <v>303.60000000000002</v>
      </c>
      <c r="L179" s="231">
        <v>113.85</v>
      </c>
      <c r="M179" s="231">
        <v>177.1</v>
      </c>
      <c r="N179" s="231">
        <v>151.80000000000001</v>
      </c>
      <c r="O179" s="231">
        <v>0</v>
      </c>
      <c r="P179" s="231">
        <v>12.53</v>
      </c>
      <c r="Q179" s="231">
        <v>213.01</v>
      </c>
      <c r="R179" s="231">
        <v>37.590000000000003</v>
      </c>
      <c r="S179" s="231">
        <v>12.56</v>
      </c>
      <c r="T179" s="231">
        <v>62.8</v>
      </c>
      <c r="U179" s="231">
        <v>113.04</v>
      </c>
      <c r="V179" s="231">
        <v>62.8</v>
      </c>
      <c r="W179" s="231"/>
      <c r="X179" s="388">
        <f t="shared" si="80"/>
        <v>1260.68</v>
      </c>
      <c r="Y179" s="389"/>
      <c r="Z179" s="233">
        <f t="shared" si="81"/>
        <v>24</v>
      </c>
      <c r="AA179" s="233">
        <f t="shared" si="82"/>
        <v>9</v>
      </c>
      <c r="AB179" s="233">
        <f t="shared" si="83"/>
        <v>14</v>
      </c>
      <c r="AC179" s="233">
        <f t="shared" si="84"/>
        <v>12</v>
      </c>
      <c r="AD179" s="233">
        <f t="shared" si="85"/>
        <v>0</v>
      </c>
      <c r="AE179" s="232">
        <f t="shared" si="86"/>
        <v>1</v>
      </c>
      <c r="AF179" s="232">
        <f t="shared" si="87"/>
        <v>17</v>
      </c>
      <c r="AG179" s="232">
        <f t="shared" si="88"/>
        <v>3.0000000000000004</v>
      </c>
      <c r="AH179" s="233">
        <f t="shared" si="89"/>
        <v>1</v>
      </c>
      <c r="AI179" s="233">
        <f t="shared" si="90"/>
        <v>5</v>
      </c>
      <c r="AJ179" s="233">
        <f t="shared" si="91"/>
        <v>9</v>
      </c>
      <c r="AK179" s="233">
        <f t="shared" si="92"/>
        <v>5</v>
      </c>
      <c r="AL179" s="260">
        <f t="shared" si="93"/>
        <v>8.3333333333333339</v>
      </c>
      <c r="AN179" s="234">
        <f t="shared" si="94"/>
        <v>80</v>
      </c>
      <c r="AO179" s="218" t="e">
        <f>+VLOOKUP($B179,Mapping!$C$31:$C$81,1,FALSE)</f>
        <v>#N/A</v>
      </c>
    </row>
    <row r="180" spans="1:41">
      <c r="A180" s="218" t="str">
        <f>$A$1&amp;"Commercial"&amp;B180</f>
        <v>PIERCE UTCCommercialRTRNCAN-COMM</v>
      </c>
      <c r="B180" s="230" t="s">
        <v>457</v>
      </c>
      <c r="C180" s="230" t="s">
        <v>458</v>
      </c>
      <c r="D180" s="230" t="s">
        <v>410</v>
      </c>
      <c r="E180" s="380">
        <v>33001</v>
      </c>
      <c r="F180" s="231">
        <v>6.35</v>
      </c>
      <c r="G180" s="231">
        <v>6.35</v>
      </c>
      <c r="H180" s="231">
        <v>6.29</v>
      </c>
      <c r="I180" s="231">
        <v>6.31</v>
      </c>
      <c r="J180" s="231"/>
      <c r="K180" s="231">
        <v>0</v>
      </c>
      <c r="L180" s="231">
        <v>0</v>
      </c>
      <c r="M180" s="231">
        <v>0</v>
      </c>
      <c r="N180" s="231">
        <v>0</v>
      </c>
      <c r="O180" s="231">
        <v>0</v>
      </c>
      <c r="P180" s="231">
        <v>0</v>
      </c>
      <c r="Q180" s="231">
        <v>0</v>
      </c>
      <c r="R180" s="231">
        <v>0</v>
      </c>
      <c r="S180" s="231">
        <v>0</v>
      </c>
      <c r="T180" s="231">
        <v>0</v>
      </c>
      <c r="U180" s="231">
        <v>0</v>
      </c>
      <c r="V180" s="231">
        <v>0</v>
      </c>
      <c r="W180" s="231"/>
      <c r="X180" s="388">
        <f t="shared" si="80"/>
        <v>0</v>
      </c>
      <c r="Y180" s="389"/>
      <c r="Z180" s="233">
        <f t="shared" si="81"/>
        <v>0</v>
      </c>
      <c r="AA180" s="233">
        <f t="shared" si="82"/>
        <v>0</v>
      </c>
      <c r="AB180" s="233">
        <f t="shared" si="83"/>
        <v>0</v>
      </c>
      <c r="AC180" s="233">
        <f t="shared" si="84"/>
        <v>0</v>
      </c>
      <c r="AD180" s="233">
        <f t="shared" si="85"/>
        <v>0</v>
      </c>
      <c r="AE180" s="232">
        <f t="shared" si="86"/>
        <v>0</v>
      </c>
      <c r="AF180" s="232">
        <f t="shared" si="87"/>
        <v>0</v>
      </c>
      <c r="AG180" s="232">
        <f t="shared" si="88"/>
        <v>0</v>
      </c>
      <c r="AH180" s="233">
        <f t="shared" si="89"/>
        <v>0</v>
      </c>
      <c r="AI180" s="233">
        <f t="shared" si="90"/>
        <v>0</v>
      </c>
      <c r="AJ180" s="233">
        <f t="shared" si="91"/>
        <v>0</v>
      </c>
      <c r="AK180" s="233">
        <f t="shared" si="92"/>
        <v>0</v>
      </c>
      <c r="AL180" s="260">
        <f t="shared" si="93"/>
        <v>0</v>
      </c>
      <c r="AN180" s="234">
        <f t="shared" si="94"/>
        <v>0</v>
      </c>
      <c r="AO180" s="218" t="e">
        <f>+VLOOKUP($B180,Mapping!$C$31:$C$81,1,FALSE)</f>
        <v>#N/A</v>
      </c>
    </row>
    <row r="181" spans="1:41">
      <c r="A181" s="218" t="str">
        <f>$A$1&amp;"Commercial"&amp;B181</f>
        <v>PIERCE UTCCommercialRTRNCART65-COMM</v>
      </c>
      <c r="B181" s="230" t="s">
        <v>459</v>
      </c>
      <c r="C181" s="230" t="s">
        <v>460</v>
      </c>
      <c r="D181" s="230" t="s">
        <v>410</v>
      </c>
      <c r="E181" s="380">
        <v>33001</v>
      </c>
      <c r="F181" s="231">
        <v>7.4</v>
      </c>
      <c r="G181" s="231">
        <v>7.4</v>
      </c>
      <c r="H181" s="231">
        <v>7.33</v>
      </c>
      <c r="I181" s="231">
        <v>7.35</v>
      </c>
      <c r="J181" s="231"/>
      <c r="K181" s="231">
        <v>0</v>
      </c>
      <c r="L181" s="231">
        <v>0</v>
      </c>
      <c r="M181" s="231">
        <v>0</v>
      </c>
      <c r="N181" s="231">
        <v>0</v>
      </c>
      <c r="O181" s="231">
        <v>0</v>
      </c>
      <c r="P181" s="231">
        <v>0</v>
      </c>
      <c r="Q181" s="231">
        <v>0</v>
      </c>
      <c r="R181" s="231">
        <v>0</v>
      </c>
      <c r="S181" s="231">
        <v>7.33</v>
      </c>
      <c r="T181" s="231">
        <v>0</v>
      </c>
      <c r="U181" s="231">
        <v>7.35</v>
      </c>
      <c r="V181" s="231">
        <v>0</v>
      </c>
      <c r="W181" s="231"/>
      <c r="X181" s="388">
        <f t="shared" si="80"/>
        <v>14.68</v>
      </c>
      <c r="Y181" s="389"/>
      <c r="Z181" s="233">
        <f t="shared" si="81"/>
        <v>0</v>
      </c>
      <c r="AA181" s="233">
        <f t="shared" si="82"/>
        <v>0</v>
      </c>
      <c r="AB181" s="233">
        <f t="shared" si="83"/>
        <v>0</v>
      </c>
      <c r="AC181" s="233">
        <f t="shared" si="84"/>
        <v>0</v>
      </c>
      <c r="AD181" s="233">
        <f t="shared" si="85"/>
        <v>0</v>
      </c>
      <c r="AE181" s="232">
        <f t="shared" si="86"/>
        <v>0</v>
      </c>
      <c r="AF181" s="232">
        <f t="shared" si="87"/>
        <v>0</v>
      </c>
      <c r="AG181" s="232">
        <f t="shared" si="88"/>
        <v>0</v>
      </c>
      <c r="AH181" s="233">
        <f t="shared" si="89"/>
        <v>0.99727891156462589</v>
      </c>
      <c r="AI181" s="233">
        <f t="shared" si="90"/>
        <v>0</v>
      </c>
      <c r="AJ181" s="233">
        <f t="shared" si="91"/>
        <v>1</v>
      </c>
      <c r="AK181" s="233">
        <f t="shared" si="92"/>
        <v>0</v>
      </c>
      <c r="AL181" s="260">
        <f t="shared" si="93"/>
        <v>0.16643990929705216</v>
      </c>
      <c r="AN181" s="234">
        <f t="shared" si="94"/>
        <v>3.9945578231292518</v>
      </c>
      <c r="AO181" s="218" t="e">
        <f>+VLOOKUP($B181,Mapping!$C$31:$C$81,1,FALSE)</f>
        <v>#N/A</v>
      </c>
    </row>
    <row r="182" spans="1:41">
      <c r="A182" s="218" t="str">
        <f>$A$1&amp;"Commercial"&amp;B182</f>
        <v>PIERCE UTCCommercialRTRNCART95-COMM</v>
      </c>
      <c r="B182" s="230" t="s">
        <v>461</v>
      </c>
      <c r="C182" s="230" t="s">
        <v>462</v>
      </c>
      <c r="D182" s="230" t="s">
        <v>410</v>
      </c>
      <c r="E182" s="380">
        <v>33001</v>
      </c>
      <c r="F182" s="231">
        <v>9.5</v>
      </c>
      <c r="G182" s="231">
        <v>9.5</v>
      </c>
      <c r="H182" s="231">
        <v>9.41</v>
      </c>
      <c r="I182" s="231">
        <v>9.44</v>
      </c>
      <c r="J182" s="231"/>
      <c r="K182" s="231">
        <v>0</v>
      </c>
      <c r="L182" s="231">
        <v>0</v>
      </c>
      <c r="M182" s="231">
        <v>0</v>
      </c>
      <c r="N182" s="231">
        <v>0</v>
      </c>
      <c r="O182" s="231">
        <v>0</v>
      </c>
      <c r="P182" s="231">
        <v>0</v>
      </c>
      <c r="Q182" s="231">
        <v>0</v>
      </c>
      <c r="R182" s="231">
        <v>0</v>
      </c>
      <c r="S182" s="231">
        <v>0</v>
      </c>
      <c r="T182" s="231">
        <v>9.44</v>
      </c>
      <c r="U182" s="231">
        <v>0</v>
      </c>
      <c r="V182" s="231">
        <v>0</v>
      </c>
      <c r="W182" s="231"/>
      <c r="X182" s="388">
        <f t="shared" si="80"/>
        <v>9.44</v>
      </c>
      <c r="Y182" s="389"/>
      <c r="Z182" s="233">
        <f t="shared" si="81"/>
        <v>0</v>
      </c>
      <c r="AA182" s="233">
        <f t="shared" si="82"/>
        <v>0</v>
      </c>
      <c r="AB182" s="233">
        <f t="shared" si="83"/>
        <v>0</v>
      </c>
      <c r="AC182" s="233">
        <f t="shared" si="84"/>
        <v>0</v>
      </c>
      <c r="AD182" s="233">
        <f t="shared" si="85"/>
        <v>0</v>
      </c>
      <c r="AE182" s="232">
        <f t="shared" si="86"/>
        <v>0</v>
      </c>
      <c r="AF182" s="232">
        <f t="shared" si="87"/>
        <v>0</v>
      </c>
      <c r="AG182" s="232">
        <f t="shared" si="88"/>
        <v>0</v>
      </c>
      <c r="AH182" s="233">
        <f t="shared" si="89"/>
        <v>0</v>
      </c>
      <c r="AI182" s="233">
        <f t="shared" si="90"/>
        <v>1</v>
      </c>
      <c r="AJ182" s="233">
        <f t="shared" si="91"/>
        <v>0</v>
      </c>
      <c r="AK182" s="233">
        <f t="shared" si="92"/>
        <v>0</v>
      </c>
      <c r="AL182" s="260">
        <f t="shared" si="93"/>
        <v>8.3333333333333329E-2</v>
      </c>
      <c r="AN182" s="234">
        <f t="shared" si="94"/>
        <v>2</v>
      </c>
      <c r="AO182" s="218" t="e">
        <f>+VLOOKUP($B182,Mapping!$C$31:$C$81,1,FALSE)</f>
        <v>#N/A</v>
      </c>
    </row>
    <row r="183" spans="1:41">
      <c r="A183" s="218" t="str">
        <f>$A$1&amp;"Commercial"&amp;B183</f>
        <v>PIERCE UTCCommercialRTRNTRIP-COMM</v>
      </c>
      <c r="B183" s="230" t="s">
        <v>463</v>
      </c>
      <c r="C183" s="230" t="s">
        <v>464</v>
      </c>
      <c r="D183" s="230" t="s">
        <v>410</v>
      </c>
      <c r="E183" s="380">
        <v>33001</v>
      </c>
      <c r="F183" s="231">
        <v>16.8</v>
      </c>
      <c r="G183" s="231">
        <v>16.8</v>
      </c>
      <c r="H183" s="231">
        <v>16.64</v>
      </c>
      <c r="I183" s="231">
        <v>16.690000000000001</v>
      </c>
      <c r="J183" s="231"/>
      <c r="K183" s="231">
        <v>67.2</v>
      </c>
      <c r="L183" s="231">
        <v>33.6</v>
      </c>
      <c r="M183" s="231">
        <v>84</v>
      </c>
      <c r="N183" s="231">
        <v>67.2</v>
      </c>
      <c r="O183" s="231">
        <v>50.4</v>
      </c>
      <c r="P183" s="231">
        <v>0</v>
      </c>
      <c r="Q183" s="231">
        <v>66.56</v>
      </c>
      <c r="R183" s="231">
        <v>16.64</v>
      </c>
      <c r="S183" s="231">
        <v>83.45</v>
      </c>
      <c r="T183" s="231">
        <v>50.07</v>
      </c>
      <c r="U183" s="231">
        <v>100.14</v>
      </c>
      <c r="V183" s="231">
        <v>50.07</v>
      </c>
      <c r="W183" s="231"/>
      <c r="X183" s="388">
        <f t="shared" si="80"/>
        <v>669.33</v>
      </c>
      <c r="Y183" s="389"/>
      <c r="Z183" s="233">
        <f t="shared" si="81"/>
        <v>4</v>
      </c>
      <c r="AA183" s="233">
        <f t="shared" si="82"/>
        <v>2</v>
      </c>
      <c r="AB183" s="233">
        <f t="shared" si="83"/>
        <v>5</v>
      </c>
      <c r="AC183" s="233">
        <f t="shared" si="84"/>
        <v>4</v>
      </c>
      <c r="AD183" s="233">
        <f t="shared" si="85"/>
        <v>3</v>
      </c>
      <c r="AE183" s="232">
        <f t="shared" si="86"/>
        <v>0</v>
      </c>
      <c r="AF183" s="232">
        <f t="shared" si="87"/>
        <v>4</v>
      </c>
      <c r="AG183" s="232">
        <f t="shared" si="88"/>
        <v>1</v>
      </c>
      <c r="AH183" s="233">
        <f t="shared" si="89"/>
        <v>5</v>
      </c>
      <c r="AI183" s="233">
        <f t="shared" si="90"/>
        <v>3</v>
      </c>
      <c r="AJ183" s="233">
        <f t="shared" si="91"/>
        <v>6</v>
      </c>
      <c r="AK183" s="233">
        <f t="shared" si="92"/>
        <v>3</v>
      </c>
      <c r="AL183" s="260">
        <f t="shared" si="93"/>
        <v>3.3333333333333335</v>
      </c>
      <c r="AN183" s="234">
        <f t="shared" si="94"/>
        <v>44</v>
      </c>
      <c r="AO183" s="218" t="e">
        <f>+VLOOKUP($B183,Mapping!$C$31:$C$81,1,FALSE)</f>
        <v>#N/A</v>
      </c>
    </row>
    <row r="184" spans="1:41">
      <c r="A184" s="218" t="str">
        <f>$A$1&amp;"Commercial"&amp;B184</f>
        <v>PIERCE UTCCommercialSP1.5-COMM</v>
      </c>
      <c r="B184" s="230" t="s">
        <v>465</v>
      </c>
      <c r="C184" s="230" t="s">
        <v>466</v>
      </c>
      <c r="D184" s="230" t="s">
        <v>410</v>
      </c>
      <c r="E184" s="380">
        <v>33001</v>
      </c>
      <c r="F184" s="231">
        <v>71.09</v>
      </c>
      <c r="G184" s="231">
        <v>71.400000000000006</v>
      </c>
      <c r="H184" s="231">
        <v>70.73</v>
      </c>
      <c r="I184" s="231">
        <v>70.930000000000007</v>
      </c>
      <c r="J184" s="231"/>
      <c r="K184" s="231">
        <v>426.54</v>
      </c>
      <c r="L184" s="231">
        <v>71.09</v>
      </c>
      <c r="M184" s="231">
        <v>213.27</v>
      </c>
      <c r="N184" s="231">
        <v>214.2</v>
      </c>
      <c r="O184" s="231">
        <v>142.80000000000001</v>
      </c>
      <c r="P184" s="231">
        <v>141.46</v>
      </c>
      <c r="Q184" s="231">
        <v>212.19</v>
      </c>
      <c r="R184" s="231">
        <v>70.73</v>
      </c>
      <c r="S184" s="231">
        <v>283.52</v>
      </c>
      <c r="T184" s="231">
        <v>212.79</v>
      </c>
      <c r="U184" s="231">
        <v>0</v>
      </c>
      <c r="V184" s="231">
        <v>283.72000000000003</v>
      </c>
      <c r="W184" s="231"/>
      <c r="X184" s="388">
        <f t="shared" si="80"/>
        <v>2272.31</v>
      </c>
      <c r="Y184" s="389"/>
      <c r="Z184" s="233">
        <f t="shared" si="81"/>
        <v>6</v>
      </c>
      <c r="AA184" s="233">
        <f t="shared" si="82"/>
        <v>1</v>
      </c>
      <c r="AB184" s="233">
        <f t="shared" si="83"/>
        <v>3</v>
      </c>
      <c r="AC184" s="233">
        <f t="shared" si="84"/>
        <v>2.9999999999999996</v>
      </c>
      <c r="AD184" s="233">
        <f t="shared" si="85"/>
        <v>2</v>
      </c>
      <c r="AE184" s="232">
        <f t="shared" si="86"/>
        <v>2</v>
      </c>
      <c r="AF184" s="232">
        <f t="shared" si="87"/>
        <v>3</v>
      </c>
      <c r="AG184" s="232">
        <f t="shared" si="88"/>
        <v>1</v>
      </c>
      <c r="AH184" s="233">
        <f t="shared" si="89"/>
        <v>3.9971803186239949</v>
      </c>
      <c r="AI184" s="233">
        <f t="shared" si="90"/>
        <v>2.9999999999999996</v>
      </c>
      <c r="AJ184" s="233">
        <f t="shared" si="91"/>
        <v>0</v>
      </c>
      <c r="AK184" s="233">
        <f t="shared" si="92"/>
        <v>4</v>
      </c>
      <c r="AL184" s="260">
        <f t="shared" si="93"/>
        <v>2.6664316932186662</v>
      </c>
      <c r="AN184" s="234">
        <f t="shared" si="94"/>
        <v>29.99436063724799</v>
      </c>
      <c r="AO184" s="218" t="str">
        <f>+VLOOKUP($B184,Mapping!$C$31:$C$81,1,FALSE)</f>
        <v>SP1.5-COMM</v>
      </c>
    </row>
    <row r="185" spans="1:41">
      <c r="A185" s="218" t="str">
        <f>$A$1&amp;"Commercial"&amp;B185</f>
        <v>PIERCE UTCCommercialSP1-COMM</v>
      </c>
      <c r="B185" s="230" t="s">
        <v>467</v>
      </c>
      <c r="C185" s="230" t="s">
        <v>468</v>
      </c>
      <c r="D185" s="230" t="s">
        <v>410</v>
      </c>
      <c r="E185" s="380">
        <v>33001</v>
      </c>
      <c r="F185" s="231">
        <v>63.83</v>
      </c>
      <c r="G185" s="231">
        <v>64.05</v>
      </c>
      <c r="H185" s="231">
        <v>63.45</v>
      </c>
      <c r="I185" s="231">
        <v>63.63</v>
      </c>
      <c r="J185" s="231"/>
      <c r="K185" s="231">
        <v>191.49</v>
      </c>
      <c r="L185" s="231">
        <v>255.32</v>
      </c>
      <c r="M185" s="231">
        <v>191.49</v>
      </c>
      <c r="N185" s="231">
        <v>320.25</v>
      </c>
      <c r="O185" s="231">
        <v>128.32</v>
      </c>
      <c r="P185" s="231">
        <v>317.25</v>
      </c>
      <c r="Q185" s="231">
        <v>660.75</v>
      </c>
      <c r="R185" s="231">
        <v>444.15</v>
      </c>
      <c r="S185" s="231">
        <v>254.34</v>
      </c>
      <c r="T185" s="231">
        <v>572.66999999999996</v>
      </c>
      <c r="U185" s="231">
        <v>280.52</v>
      </c>
      <c r="V185" s="231">
        <v>254.52</v>
      </c>
      <c r="W185" s="231"/>
      <c r="X185" s="388">
        <f t="shared" si="80"/>
        <v>3871.07</v>
      </c>
      <c r="Y185" s="389"/>
      <c r="Z185" s="233">
        <f t="shared" si="81"/>
        <v>3.0000000000000004</v>
      </c>
      <c r="AA185" s="233">
        <f t="shared" si="82"/>
        <v>4</v>
      </c>
      <c r="AB185" s="233">
        <f t="shared" si="83"/>
        <v>3.0000000000000004</v>
      </c>
      <c r="AC185" s="233">
        <f t="shared" si="84"/>
        <v>5</v>
      </c>
      <c r="AD185" s="233">
        <f t="shared" si="85"/>
        <v>2.0034348165495706</v>
      </c>
      <c r="AE185" s="232">
        <f t="shared" si="86"/>
        <v>5</v>
      </c>
      <c r="AF185" s="232">
        <f t="shared" si="87"/>
        <v>10.41371158392435</v>
      </c>
      <c r="AG185" s="232">
        <f t="shared" si="88"/>
        <v>6.9999999999999991</v>
      </c>
      <c r="AH185" s="233">
        <f t="shared" si="89"/>
        <v>3.9971711456859969</v>
      </c>
      <c r="AI185" s="233">
        <f t="shared" si="90"/>
        <v>8.9999999999999982</v>
      </c>
      <c r="AJ185" s="233">
        <f t="shared" si="91"/>
        <v>4.4086122898004083</v>
      </c>
      <c r="AK185" s="233">
        <f t="shared" si="92"/>
        <v>4</v>
      </c>
      <c r="AL185" s="260">
        <f t="shared" si="93"/>
        <v>5.0685774863300272</v>
      </c>
      <c r="AN185" s="234">
        <f t="shared" si="94"/>
        <v>77.638990038821504</v>
      </c>
      <c r="AO185" s="218" t="str">
        <f>+VLOOKUP($B185,Mapping!$C$31:$C$81,1,FALSE)</f>
        <v>SP1-COMM</v>
      </c>
    </row>
    <row r="186" spans="1:41">
      <c r="A186" s="218" t="str">
        <f>$A$1&amp;"Commercial"&amp;B186</f>
        <v>PIERCE UTCCommercialSP2-COMM</v>
      </c>
      <c r="B186" s="230" t="s">
        <v>469</v>
      </c>
      <c r="C186" s="230" t="s">
        <v>470</v>
      </c>
      <c r="D186" s="230" t="s">
        <v>410</v>
      </c>
      <c r="E186" s="380">
        <v>33001</v>
      </c>
      <c r="F186" s="231">
        <v>79.41</v>
      </c>
      <c r="G186" s="231">
        <v>79.81</v>
      </c>
      <c r="H186" s="231">
        <v>79.06</v>
      </c>
      <c r="I186" s="231">
        <v>79.28</v>
      </c>
      <c r="J186" s="231"/>
      <c r="K186" s="231">
        <v>317.64</v>
      </c>
      <c r="L186" s="231">
        <v>158.82</v>
      </c>
      <c r="M186" s="231">
        <v>397.05</v>
      </c>
      <c r="N186" s="231">
        <v>478.86</v>
      </c>
      <c r="O186" s="231">
        <v>558.66999999999996</v>
      </c>
      <c r="P186" s="231">
        <v>790.6</v>
      </c>
      <c r="Q186" s="231">
        <v>711.54</v>
      </c>
      <c r="R186" s="231">
        <v>474.36</v>
      </c>
      <c r="S186" s="231">
        <v>396.4</v>
      </c>
      <c r="T186" s="231">
        <v>317.12</v>
      </c>
      <c r="U186" s="231">
        <v>554.96</v>
      </c>
      <c r="V186" s="231">
        <v>158.56</v>
      </c>
      <c r="W186" s="231"/>
      <c r="X186" s="388">
        <f t="shared" si="80"/>
        <v>5314.58</v>
      </c>
      <c r="Y186" s="389"/>
      <c r="Z186" s="233">
        <f t="shared" si="81"/>
        <v>4</v>
      </c>
      <c r="AA186" s="233">
        <f t="shared" si="82"/>
        <v>2</v>
      </c>
      <c r="AB186" s="233">
        <f t="shared" si="83"/>
        <v>5</v>
      </c>
      <c r="AC186" s="233">
        <f t="shared" si="84"/>
        <v>6</v>
      </c>
      <c r="AD186" s="233">
        <f t="shared" si="85"/>
        <v>6.9999999999999991</v>
      </c>
      <c r="AE186" s="232">
        <f t="shared" si="86"/>
        <v>10</v>
      </c>
      <c r="AF186" s="232">
        <f t="shared" si="87"/>
        <v>9</v>
      </c>
      <c r="AG186" s="232">
        <f t="shared" si="88"/>
        <v>6</v>
      </c>
      <c r="AH186" s="233">
        <f t="shared" si="89"/>
        <v>5</v>
      </c>
      <c r="AI186" s="233">
        <f t="shared" si="90"/>
        <v>4</v>
      </c>
      <c r="AJ186" s="233">
        <f t="shared" si="91"/>
        <v>7</v>
      </c>
      <c r="AK186" s="233">
        <f t="shared" si="92"/>
        <v>2</v>
      </c>
      <c r="AL186" s="260">
        <f t="shared" si="93"/>
        <v>5.583333333333333</v>
      </c>
      <c r="AN186" s="234">
        <f t="shared" si="94"/>
        <v>66</v>
      </c>
      <c r="AO186" s="218" t="str">
        <f>+VLOOKUP($B186,Mapping!$C$31:$C$81,1,FALSE)</f>
        <v>SP2-COMM</v>
      </c>
    </row>
    <row r="187" spans="1:41">
      <c r="A187" s="218" t="str">
        <f>$A$1&amp;"Commercial"&amp;B187</f>
        <v>PIERCE UTCCommercialSP3-COMM</v>
      </c>
      <c r="B187" s="230" t="s">
        <v>471</v>
      </c>
      <c r="C187" s="230" t="s">
        <v>472</v>
      </c>
      <c r="D187" s="230" t="s">
        <v>410</v>
      </c>
      <c r="E187" s="380">
        <v>33001</v>
      </c>
      <c r="F187" s="231">
        <v>91.89</v>
      </c>
      <c r="G187" s="231">
        <v>92.48</v>
      </c>
      <c r="H187" s="231">
        <v>91.61</v>
      </c>
      <c r="I187" s="231">
        <v>91.86</v>
      </c>
      <c r="J187" s="231"/>
      <c r="K187" s="231">
        <v>0</v>
      </c>
      <c r="L187" s="231">
        <v>91.89</v>
      </c>
      <c r="M187" s="231">
        <v>459.45</v>
      </c>
      <c r="N187" s="231">
        <v>92.48</v>
      </c>
      <c r="O187" s="231">
        <v>369.92</v>
      </c>
      <c r="P187" s="231">
        <v>549.66</v>
      </c>
      <c r="Q187" s="231">
        <v>183.22</v>
      </c>
      <c r="R187" s="231">
        <v>91.61</v>
      </c>
      <c r="S187" s="231">
        <v>275.33</v>
      </c>
      <c r="T187" s="231">
        <v>275.58</v>
      </c>
      <c r="U187" s="231">
        <v>0</v>
      </c>
      <c r="V187" s="231">
        <v>275.58</v>
      </c>
      <c r="W187" s="231"/>
      <c r="X187" s="388">
        <f t="shared" si="80"/>
        <v>2664.72</v>
      </c>
      <c r="Y187" s="389"/>
      <c r="Z187" s="233">
        <f t="shared" si="81"/>
        <v>0</v>
      </c>
      <c r="AA187" s="233">
        <f t="shared" si="82"/>
        <v>1</v>
      </c>
      <c r="AB187" s="233">
        <f t="shared" si="83"/>
        <v>5</v>
      </c>
      <c r="AC187" s="233">
        <f t="shared" si="84"/>
        <v>1</v>
      </c>
      <c r="AD187" s="233">
        <f t="shared" si="85"/>
        <v>4</v>
      </c>
      <c r="AE187" s="232">
        <f t="shared" si="86"/>
        <v>6</v>
      </c>
      <c r="AF187" s="232">
        <f t="shared" si="87"/>
        <v>2</v>
      </c>
      <c r="AG187" s="232">
        <f t="shared" si="88"/>
        <v>1</v>
      </c>
      <c r="AH187" s="233">
        <f t="shared" si="89"/>
        <v>2.9972784672327455</v>
      </c>
      <c r="AI187" s="233">
        <f t="shared" si="90"/>
        <v>3</v>
      </c>
      <c r="AJ187" s="233">
        <f t="shared" si="91"/>
        <v>0</v>
      </c>
      <c r="AK187" s="233">
        <f t="shared" si="92"/>
        <v>3</v>
      </c>
      <c r="AL187" s="260">
        <f t="shared" si="93"/>
        <v>2.4164398722693954</v>
      </c>
      <c r="AN187" s="234">
        <f t="shared" si="94"/>
        <v>23.994556934465493</v>
      </c>
      <c r="AO187" s="218" t="str">
        <f>+VLOOKUP($B187,Mapping!$C$31:$C$81,1,FALSE)</f>
        <v>SP3-COMM</v>
      </c>
    </row>
    <row r="188" spans="1:41">
      <c r="A188" s="218" t="str">
        <f>$A$1&amp;"Commercial"&amp;B188</f>
        <v>PIERCE UTCCommercialSP4-COMM</v>
      </c>
      <c r="B188" s="230" t="s">
        <v>473</v>
      </c>
      <c r="C188" s="230" t="s">
        <v>474</v>
      </c>
      <c r="D188" s="230" t="s">
        <v>410</v>
      </c>
      <c r="E188" s="380">
        <v>33001</v>
      </c>
      <c r="F188" s="231">
        <v>106.14</v>
      </c>
      <c r="G188" s="231">
        <v>106.9</v>
      </c>
      <c r="H188" s="231">
        <v>105.9</v>
      </c>
      <c r="I188" s="231">
        <v>106.19</v>
      </c>
      <c r="J188" s="231"/>
      <c r="K188" s="231">
        <v>318.42</v>
      </c>
      <c r="L188" s="231">
        <v>318.42</v>
      </c>
      <c r="M188" s="231">
        <v>636.84</v>
      </c>
      <c r="N188" s="231">
        <v>320.7</v>
      </c>
      <c r="O188" s="231">
        <v>855.2</v>
      </c>
      <c r="P188" s="231">
        <v>847.2</v>
      </c>
      <c r="Q188" s="231">
        <v>1482.6</v>
      </c>
      <c r="R188" s="231">
        <v>317.7</v>
      </c>
      <c r="S188" s="231">
        <v>530.95000000000005</v>
      </c>
      <c r="T188" s="231">
        <v>1126.24</v>
      </c>
      <c r="U188" s="231">
        <v>530.95000000000005</v>
      </c>
      <c r="V188" s="231">
        <v>743.33</v>
      </c>
      <c r="W188" s="231"/>
      <c r="X188" s="388">
        <f t="shared" si="80"/>
        <v>8028.5499999999984</v>
      </c>
      <c r="Y188" s="389"/>
      <c r="Z188" s="233">
        <f t="shared" si="81"/>
        <v>3</v>
      </c>
      <c r="AA188" s="233">
        <f t="shared" si="82"/>
        <v>3</v>
      </c>
      <c r="AB188" s="233">
        <f t="shared" si="83"/>
        <v>6</v>
      </c>
      <c r="AC188" s="233">
        <f t="shared" si="84"/>
        <v>2.9999999999999996</v>
      </c>
      <c r="AD188" s="233">
        <f t="shared" si="85"/>
        <v>8</v>
      </c>
      <c r="AE188" s="232">
        <f t="shared" si="86"/>
        <v>8</v>
      </c>
      <c r="AF188" s="232">
        <f t="shared" si="87"/>
        <v>13.999999999999998</v>
      </c>
      <c r="AG188" s="232">
        <f t="shared" si="88"/>
        <v>2.9999999999999996</v>
      </c>
      <c r="AH188" s="233">
        <f t="shared" si="89"/>
        <v>5.0000000000000009</v>
      </c>
      <c r="AI188" s="233">
        <f t="shared" si="90"/>
        <v>10.605895093699973</v>
      </c>
      <c r="AJ188" s="233">
        <f t="shared" si="91"/>
        <v>5.0000000000000009</v>
      </c>
      <c r="AK188" s="233">
        <f t="shared" si="92"/>
        <v>7.0000000000000009</v>
      </c>
      <c r="AL188" s="260">
        <f t="shared" si="93"/>
        <v>6.3004912578083312</v>
      </c>
      <c r="AN188" s="234">
        <f t="shared" si="94"/>
        <v>89.211790187399941</v>
      </c>
      <c r="AO188" s="218" t="str">
        <f>+VLOOKUP($B188,Mapping!$C$31:$C$81,1,FALSE)</f>
        <v>SP4-COMM</v>
      </c>
    </row>
    <row r="189" spans="1:41">
      <c r="A189" s="218" t="str">
        <f>$A$1&amp;"Commercial"&amp;B189</f>
        <v>PIERCE UTCCommercialSP6-COMM</v>
      </c>
      <c r="B189" s="230" t="s">
        <v>475</v>
      </c>
      <c r="C189" s="230" t="s">
        <v>476</v>
      </c>
      <c r="D189" s="230" t="s">
        <v>410</v>
      </c>
      <c r="E189" s="380">
        <v>33001</v>
      </c>
      <c r="F189" s="231">
        <v>126.22</v>
      </c>
      <c r="G189" s="231">
        <v>127.27</v>
      </c>
      <c r="H189" s="231">
        <v>126.08</v>
      </c>
      <c r="I189" s="231">
        <v>126.43</v>
      </c>
      <c r="J189" s="231"/>
      <c r="K189" s="231">
        <v>1388.42</v>
      </c>
      <c r="L189" s="231">
        <v>631.1</v>
      </c>
      <c r="M189" s="231">
        <v>1009.76</v>
      </c>
      <c r="N189" s="231">
        <v>1145.43</v>
      </c>
      <c r="O189" s="231">
        <v>2290.86</v>
      </c>
      <c r="P189" s="231">
        <v>6556.16</v>
      </c>
      <c r="Q189" s="231">
        <v>7186.56</v>
      </c>
      <c r="R189" s="231">
        <v>3404.16</v>
      </c>
      <c r="S189" s="231">
        <v>4044.71</v>
      </c>
      <c r="T189" s="231">
        <v>5689.35</v>
      </c>
      <c r="U189" s="231">
        <v>4930.7700000000004</v>
      </c>
      <c r="V189" s="231">
        <v>2655.03</v>
      </c>
      <c r="W189" s="231"/>
      <c r="X189" s="388">
        <f t="shared" ref="X189:X204" si="95">SUM(K189:V189)</f>
        <v>40932.31</v>
      </c>
      <c r="Y189" s="389"/>
      <c r="Z189" s="233">
        <f t="shared" ref="Z189:Z204" si="96">IFERROR(K189/$F189,0)</f>
        <v>11</v>
      </c>
      <c r="AA189" s="233">
        <f t="shared" ref="AA189:AA204" si="97">IFERROR(L189/$F189,0)</f>
        <v>5</v>
      </c>
      <c r="AB189" s="233">
        <f t="shared" ref="AB189:AB204" si="98">IFERROR(M189/$F189,0)</f>
        <v>8</v>
      </c>
      <c r="AC189" s="233">
        <f t="shared" ref="AC189:AC204" si="99">IFERROR(N189/$G189,0)</f>
        <v>9</v>
      </c>
      <c r="AD189" s="233">
        <f t="shared" ref="AD189:AD204" si="100">IFERROR(O189/$G189,0)</f>
        <v>18</v>
      </c>
      <c r="AE189" s="232">
        <f t="shared" ref="AE189:AE204" si="101">IFERROR(P189/$H189,0)</f>
        <v>52</v>
      </c>
      <c r="AF189" s="232">
        <f t="shared" ref="AF189:AF204" si="102">IFERROR(Q189/$H189,0)</f>
        <v>57.000000000000007</v>
      </c>
      <c r="AG189" s="232">
        <f t="shared" ref="AG189:AG204" si="103">IFERROR(R189/$H189,0)</f>
        <v>27</v>
      </c>
      <c r="AH189" s="233">
        <f t="shared" ref="AH189:AH204" si="104">IFERROR(S189/$I189,0)</f>
        <v>31.991695009095942</v>
      </c>
      <c r="AI189" s="233">
        <f t="shared" ref="AI189:AI204" si="105">IFERROR(T189/$I189,0)</f>
        <v>45</v>
      </c>
      <c r="AJ189" s="233">
        <f t="shared" ref="AJ189:AJ204" si="106">IFERROR(U189/$I189,0)</f>
        <v>39</v>
      </c>
      <c r="AK189" s="233">
        <f t="shared" ref="AK189:AK204" si="107">IFERROR(V189/$I189,0)</f>
        <v>21</v>
      </c>
      <c r="AL189" s="260">
        <f t="shared" ref="AL189:AL204" si="108">AVERAGE(Z189:AK189)</f>
        <v>26.999307917424659</v>
      </c>
      <c r="AN189" s="234">
        <f t="shared" ref="AN189:AN204" si="109">+SUM(AF189:AK189)*2</f>
        <v>441.98339001819187</v>
      </c>
      <c r="AO189" s="218" t="str">
        <f>+VLOOKUP($B189,Mapping!$C$31:$C$81,1,FALSE)</f>
        <v>SP6-COMM</v>
      </c>
    </row>
    <row r="190" spans="1:41">
      <c r="A190" s="218" t="str">
        <f>$A$1&amp;"Commercial"&amp;B190</f>
        <v>PIERCE UTCCommercialSP4CMP-COMM</v>
      </c>
      <c r="B190" s="230" t="s">
        <v>489</v>
      </c>
      <c r="C190" s="230" t="s">
        <v>476</v>
      </c>
      <c r="D190" s="230" t="s">
        <v>410</v>
      </c>
      <c r="E190" s="380">
        <v>33001</v>
      </c>
      <c r="F190" s="231">
        <v>190.99</v>
      </c>
      <c r="G190" s="231">
        <v>193.28</v>
      </c>
      <c r="H190" s="231">
        <v>191.48</v>
      </c>
      <c r="I190" s="231">
        <v>192.01</v>
      </c>
      <c r="J190" s="231"/>
      <c r="K190" s="231">
        <v>0</v>
      </c>
      <c r="L190" s="231">
        <v>0</v>
      </c>
      <c r="M190" s="231">
        <v>0</v>
      </c>
      <c r="N190" s="231">
        <v>0</v>
      </c>
      <c r="O190" s="231">
        <v>0</v>
      </c>
      <c r="P190" s="231">
        <v>0</v>
      </c>
      <c r="Q190" s="231">
        <v>0</v>
      </c>
      <c r="R190" s="231">
        <v>0</v>
      </c>
      <c r="S190" s="231">
        <v>0</v>
      </c>
      <c r="T190" s="231">
        <v>0</v>
      </c>
      <c r="U190" s="231">
        <v>0</v>
      </c>
      <c r="V190" s="231">
        <v>0</v>
      </c>
      <c r="W190" s="231"/>
      <c r="X190" s="388">
        <f t="shared" si="95"/>
        <v>0</v>
      </c>
      <c r="Y190" s="389"/>
      <c r="Z190" s="233">
        <f t="shared" si="96"/>
        <v>0</v>
      </c>
      <c r="AA190" s="233">
        <f t="shared" si="97"/>
        <v>0</v>
      </c>
      <c r="AB190" s="233">
        <f t="shared" si="98"/>
        <v>0</v>
      </c>
      <c r="AC190" s="233">
        <f t="shared" si="99"/>
        <v>0</v>
      </c>
      <c r="AD190" s="233">
        <f t="shared" si="100"/>
        <v>0</v>
      </c>
      <c r="AE190" s="232">
        <f t="shared" si="101"/>
        <v>0</v>
      </c>
      <c r="AF190" s="232">
        <f t="shared" si="102"/>
        <v>0</v>
      </c>
      <c r="AG190" s="232">
        <f t="shared" si="103"/>
        <v>0</v>
      </c>
      <c r="AH190" s="233">
        <f t="shared" si="104"/>
        <v>0</v>
      </c>
      <c r="AI190" s="233">
        <f t="shared" si="105"/>
        <v>0</v>
      </c>
      <c r="AJ190" s="233">
        <f t="shared" si="106"/>
        <v>0</v>
      </c>
      <c r="AK190" s="233">
        <f t="shared" si="107"/>
        <v>0</v>
      </c>
      <c r="AL190" s="260">
        <f t="shared" si="108"/>
        <v>0</v>
      </c>
      <c r="AN190" s="234">
        <f t="shared" si="109"/>
        <v>0</v>
      </c>
      <c r="AO190" s="218" t="e">
        <f>+VLOOKUP($B190,Mapping!$C$31:$C$81,1,FALSE)</f>
        <v>#N/A</v>
      </c>
    </row>
    <row r="191" spans="1:41">
      <c r="A191" s="218" t="str">
        <f>$A$1&amp;"Commercial"&amp;B191</f>
        <v>PIERCE UTCCommercialSP5CMP-COMM</v>
      </c>
      <c r="B191" s="230" t="s">
        <v>496</v>
      </c>
      <c r="C191" s="230" t="s">
        <v>476</v>
      </c>
      <c r="D191" s="230" t="s">
        <v>410</v>
      </c>
      <c r="E191" s="380">
        <v>33001</v>
      </c>
      <c r="F191" s="231">
        <v>61.6</v>
      </c>
      <c r="G191" s="231">
        <v>61.6</v>
      </c>
      <c r="H191" s="231">
        <v>61.6</v>
      </c>
      <c r="I191" s="231">
        <v>61.6</v>
      </c>
      <c r="J191" s="231"/>
      <c r="K191" s="231">
        <v>0</v>
      </c>
      <c r="L191" s="231">
        <v>0</v>
      </c>
      <c r="M191" s="231">
        <v>0</v>
      </c>
      <c r="N191" s="231">
        <v>0</v>
      </c>
      <c r="O191" s="231">
        <v>0</v>
      </c>
      <c r="P191" s="231">
        <v>0</v>
      </c>
      <c r="Q191" s="231">
        <v>0</v>
      </c>
      <c r="R191" s="231">
        <v>61.27</v>
      </c>
      <c r="S191" s="231">
        <v>61.27</v>
      </c>
      <c r="T191" s="231">
        <v>0</v>
      </c>
      <c r="U191" s="231">
        <v>0</v>
      </c>
      <c r="V191" s="231">
        <v>0</v>
      </c>
      <c r="W191" s="231"/>
      <c r="X191" s="388">
        <f t="shared" si="95"/>
        <v>122.54</v>
      </c>
      <c r="Y191" s="389"/>
      <c r="Z191" s="233">
        <f t="shared" si="96"/>
        <v>0</v>
      </c>
      <c r="AA191" s="233">
        <f t="shared" si="97"/>
        <v>0</v>
      </c>
      <c r="AB191" s="233">
        <f t="shared" si="98"/>
        <v>0</v>
      </c>
      <c r="AC191" s="233">
        <f t="shared" si="99"/>
        <v>0</v>
      </c>
      <c r="AD191" s="233">
        <f t="shared" si="100"/>
        <v>0</v>
      </c>
      <c r="AE191" s="232">
        <f t="shared" si="101"/>
        <v>0</v>
      </c>
      <c r="AF191" s="232">
        <f t="shared" si="102"/>
        <v>0</v>
      </c>
      <c r="AG191" s="232">
        <f t="shared" si="103"/>
        <v>0.99464285714285716</v>
      </c>
      <c r="AH191" s="233">
        <f t="shared" si="104"/>
        <v>0.99464285714285716</v>
      </c>
      <c r="AI191" s="233">
        <f t="shared" si="105"/>
        <v>0</v>
      </c>
      <c r="AJ191" s="233">
        <f t="shared" si="106"/>
        <v>0</v>
      </c>
      <c r="AK191" s="233">
        <f t="shared" si="107"/>
        <v>0</v>
      </c>
      <c r="AL191" s="260">
        <f t="shared" si="108"/>
        <v>0.16577380952380952</v>
      </c>
      <c r="AN191" s="234">
        <f t="shared" si="109"/>
        <v>3.9785714285714286</v>
      </c>
      <c r="AO191" s="218" t="str">
        <f>+VLOOKUP($B191,Mapping!$C$31:$C$81,1,FALSE)</f>
        <v>SP5CMP-COMM</v>
      </c>
    </row>
    <row r="192" spans="1:41">
      <c r="A192" s="218" t="str">
        <f>$A$1&amp;"Commercial"&amp;B192</f>
        <v>PIERCE UTCCommercialSP6CMP-COMM</v>
      </c>
      <c r="B192" s="230" t="s">
        <v>709</v>
      </c>
      <c r="C192" s="230" t="s">
        <v>476</v>
      </c>
      <c r="D192" s="230" t="s">
        <v>410</v>
      </c>
      <c r="E192" s="380">
        <v>33001</v>
      </c>
      <c r="F192" s="231">
        <v>262.14</v>
      </c>
      <c r="G192" s="231">
        <v>265.27999999999997</v>
      </c>
      <c r="H192" s="231">
        <v>262.8</v>
      </c>
      <c r="I192" s="231">
        <v>263.52999999999997</v>
      </c>
      <c r="J192" s="231"/>
      <c r="K192" s="231">
        <v>0</v>
      </c>
      <c r="L192" s="231">
        <v>0</v>
      </c>
      <c r="M192" s="231">
        <v>0</v>
      </c>
      <c r="N192" s="231">
        <v>0</v>
      </c>
      <c r="O192" s="231">
        <v>0</v>
      </c>
      <c r="P192" s="231">
        <v>0</v>
      </c>
      <c r="Q192" s="231">
        <v>0</v>
      </c>
      <c r="R192" s="231">
        <v>0</v>
      </c>
      <c r="S192" s="231">
        <v>0</v>
      </c>
      <c r="T192" s="231">
        <v>0</v>
      </c>
      <c r="U192" s="231">
        <v>0</v>
      </c>
      <c r="V192" s="231">
        <v>0</v>
      </c>
      <c r="W192" s="231"/>
      <c r="X192" s="388">
        <f t="shared" si="95"/>
        <v>0</v>
      </c>
      <c r="Y192" s="389"/>
      <c r="Z192" s="233">
        <f t="shared" si="96"/>
        <v>0</v>
      </c>
      <c r="AA192" s="233">
        <f t="shared" si="97"/>
        <v>0</v>
      </c>
      <c r="AB192" s="233">
        <f t="shared" si="98"/>
        <v>0</v>
      </c>
      <c r="AC192" s="233">
        <f t="shared" si="99"/>
        <v>0</v>
      </c>
      <c r="AD192" s="233">
        <f t="shared" si="100"/>
        <v>0</v>
      </c>
      <c r="AE192" s="232">
        <f t="shared" si="101"/>
        <v>0</v>
      </c>
      <c r="AF192" s="232">
        <f t="shared" si="102"/>
        <v>0</v>
      </c>
      <c r="AG192" s="232">
        <f t="shared" si="103"/>
        <v>0</v>
      </c>
      <c r="AH192" s="233">
        <f t="shared" si="104"/>
        <v>0</v>
      </c>
      <c r="AI192" s="233">
        <f t="shared" si="105"/>
        <v>0</v>
      </c>
      <c r="AJ192" s="233">
        <f t="shared" si="106"/>
        <v>0</v>
      </c>
      <c r="AK192" s="233">
        <f t="shared" si="107"/>
        <v>0</v>
      </c>
      <c r="AL192" s="260">
        <f t="shared" si="108"/>
        <v>0</v>
      </c>
      <c r="AN192" s="234">
        <f t="shared" si="109"/>
        <v>0</v>
      </c>
      <c r="AO192" s="218" t="e">
        <f>+VLOOKUP($B192,Mapping!$C$31:$C$81,1,FALSE)</f>
        <v>#N/A</v>
      </c>
    </row>
    <row r="193" spans="1:41">
      <c r="A193" s="218" t="str">
        <f>$A$1&amp;"Commercial"&amp;B193</f>
        <v>PIERCE UTCCommercialSPGRAD1S-COMM</v>
      </c>
      <c r="B193" s="230" t="s">
        <v>477</v>
      </c>
      <c r="C193" s="230" t="s">
        <v>771</v>
      </c>
      <c r="D193" s="230"/>
      <c r="F193" s="231">
        <v>10.83</v>
      </c>
      <c r="G193" s="231">
        <v>10.83</v>
      </c>
      <c r="H193" s="231">
        <v>0</v>
      </c>
      <c r="I193" s="231">
        <v>0</v>
      </c>
      <c r="J193" s="231"/>
      <c r="K193" s="231">
        <v>24.26</v>
      </c>
      <c r="L193" s="231">
        <v>24.26</v>
      </c>
      <c r="M193" s="231">
        <v>12.13</v>
      </c>
      <c r="N193" s="231">
        <v>12.13</v>
      </c>
      <c r="O193" s="231">
        <v>26.74</v>
      </c>
      <c r="P193" s="231">
        <v>0</v>
      </c>
      <c r="Q193" s="231">
        <v>114.95</v>
      </c>
      <c r="R193" s="231">
        <v>0</v>
      </c>
      <c r="S193" s="231">
        <v>0</v>
      </c>
      <c r="T193" s="231">
        <v>0</v>
      </c>
      <c r="U193" s="231">
        <v>0</v>
      </c>
      <c r="V193" s="231">
        <v>0</v>
      </c>
      <c r="W193" s="231"/>
      <c r="X193" s="388">
        <f t="shared" si="95"/>
        <v>214.47</v>
      </c>
      <c r="Y193" s="389"/>
      <c r="Z193" s="233">
        <f t="shared" si="96"/>
        <v>2.2400738688827331</v>
      </c>
      <c r="AA193" s="233">
        <f t="shared" si="97"/>
        <v>2.2400738688827331</v>
      </c>
      <c r="AB193" s="233">
        <f t="shared" si="98"/>
        <v>1.1200369344413665</v>
      </c>
      <c r="AC193" s="233">
        <f t="shared" si="99"/>
        <v>1.1200369344413665</v>
      </c>
      <c r="AD193" s="233">
        <f t="shared" si="100"/>
        <v>2.469067405355494</v>
      </c>
      <c r="AE193" s="232">
        <f t="shared" si="101"/>
        <v>0</v>
      </c>
      <c r="AF193" s="232">
        <f t="shared" si="102"/>
        <v>0</v>
      </c>
      <c r="AG193" s="232">
        <f t="shared" si="103"/>
        <v>0</v>
      </c>
      <c r="AH193" s="233">
        <f t="shared" si="104"/>
        <v>0</v>
      </c>
      <c r="AI193" s="233">
        <f t="shared" si="105"/>
        <v>0</v>
      </c>
      <c r="AJ193" s="233">
        <f t="shared" si="106"/>
        <v>0</v>
      </c>
      <c r="AK193" s="233">
        <f t="shared" si="107"/>
        <v>0</v>
      </c>
      <c r="AL193" s="260">
        <f t="shared" si="108"/>
        <v>0.76577408433364125</v>
      </c>
      <c r="AN193" s="234">
        <f t="shared" si="109"/>
        <v>0</v>
      </c>
      <c r="AO193" s="218" t="e">
        <f>+VLOOKUP($B193,Mapping!$C$31:$C$81,1,FALSE)</f>
        <v>#N/A</v>
      </c>
    </row>
    <row r="194" spans="1:41">
      <c r="A194" s="218" t="str">
        <f>$A$1&amp;"Commercial"&amp;B194</f>
        <v>PIERCE UTCCommercialSPGRAD2S-COMM</v>
      </c>
      <c r="B194" s="230" t="s">
        <v>478</v>
      </c>
      <c r="C194" s="230" t="s">
        <v>772</v>
      </c>
      <c r="D194" s="230"/>
      <c r="F194" s="231">
        <v>3.97</v>
      </c>
      <c r="G194" s="231">
        <v>3.97</v>
      </c>
      <c r="H194" s="231">
        <v>0</v>
      </c>
      <c r="I194" s="231">
        <v>0</v>
      </c>
      <c r="J194" s="231"/>
      <c r="K194" s="231">
        <v>64.48</v>
      </c>
      <c r="L194" s="231">
        <v>44.99</v>
      </c>
      <c r="M194" s="231">
        <v>40.9</v>
      </c>
      <c r="N194" s="231">
        <v>24.54</v>
      </c>
      <c r="O194" s="231">
        <v>43.13</v>
      </c>
      <c r="P194" s="231">
        <v>0</v>
      </c>
      <c r="Q194" s="231">
        <v>83.24</v>
      </c>
      <c r="R194" s="231">
        <v>0</v>
      </c>
      <c r="S194" s="231">
        <v>0</v>
      </c>
      <c r="T194" s="231">
        <v>0</v>
      </c>
      <c r="U194" s="231">
        <v>0</v>
      </c>
      <c r="V194" s="231">
        <v>0</v>
      </c>
      <c r="W194" s="231"/>
      <c r="X194" s="388">
        <f t="shared" si="95"/>
        <v>301.27999999999997</v>
      </c>
      <c r="Y194" s="389"/>
      <c r="Z194" s="233">
        <f t="shared" si="96"/>
        <v>16.241813602015114</v>
      </c>
      <c r="AA194" s="233">
        <f t="shared" si="97"/>
        <v>11.332493702770781</v>
      </c>
      <c r="AB194" s="233">
        <f t="shared" si="98"/>
        <v>10.30226700251889</v>
      </c>
      <c r="AC194" s="233">
        <f t="shared" si="99"/>
        <v>6.1813602015113345</v>
      </c>
      <c r="AD194" s="233">
        <f t="shared" si="100"/>
        <v>10.863979848866499</v>
      </c>
      <c r="AE194" s="232">
        <f t="shared" si="101"/>
        <v>0</v>
      </c>
      <c r="AF194" s="232">
        <f t="shared" si="102"/>
        <v>0</v>
      </c>
      <c r="AG194" s="232">
        <f t="shared" si="103"/>
        <v>0</v>
      </c>
      <c r="AH194" s="233">
        <f t="shared" si="104"/>
        <v>0</v>
      </c>
      <c r="AI194" s="233">
        <f t="shared" si="105"/>
        <v>0</v>
      </c>
      <c r="AJ194" s="233">
        <f t="shared" si="106"/>
        <v>0</v>
      </c>
      <c r="AK194" s="233">
        <f t="shared" si="107"/>
        <v>0</v>
      </c>
      <c r="AL194" s="260">
        <f t="shared" si="108"/>
        <v>4.5768261964735517</v>
      </c>
      <c r="AN194" s="234">
        <f t="shared" si="109"/>
        <v>0</v>
      </c>
      <c r="AO194" s="218" t="e">
        <f>+VLOOKUP($B194,Mapping!$C$31:$C$81,1,FALSE)</f>
        <v>#N/A</v>
      </c>
    </row>
    <row r="195" spans="1:41">
      <c r="A195" s="218" t="str">
        <f>$A$1&amp;"Commercial"&amp;B195</f>
        <v>PIERCE UTCCommercialSPGRAD1-COMM</v>
      </c>
      <c r="B195" s="230" t="s">
        <v>479</v>
      </c>
      <c r="C195" s="230" t="s">
        <v>773</v>
      </c>
      <c r="D195" s="230"/>
      <c r="F195" s="231">
        <v>12.25</v>
      </c>
      <c r="G195" s="231">
        <v>12.25</v>
      </c>
      <c r="H195" s="231">
        <v>0</v>
      </c>
      <c r="I195" s="231">
        <v>0</v>
      </c>
      <c r="J195" s="231"/>
      <c r="K195" s="231">
        <v>142.88999999999999</v>
      </c>
      <c r="L195" s="231">
        <v>12.25</v>
      </c>
      <c r="M195" s="231">
        <v>0</v>
      </c>
      <c r="N195" s="231">
        <v>12.25</v>
      </c>
      <c r="O195" s="231">
        <v>12.25</v>
      </c>
      <c r="P195" s="231">
        <v>0</v>
      </c>
      <c r="Q195" s="231">
        <v>0</v>
      </c>
      <c r="R195" s="231">
        <v>70.73</v>
      </c>
      <c r="S195" s="231">
        <v>0</v>
      </c>
      <c r="T195" s="231">
        <v>63.63</v>
      </c>
      <c r="U195" s="231">
        <v>0</v>
      </c>
      <c r="V195" s="231">
        <v>0</v>
      </c>
      <c r="W195" s="231"/>
      <c r="X195" s="388">
        <f t="shared" si="95"/>
        <v>314</v>
      </c>
      <c r="Y195" s="389"/>
      <c r="Z195" s="233">
        <f t="shared" si="96"/>
        <v>11.664489795918366</v>
      </c>
      <c r="AA195" s="233">
        <f t="shared" si="97"/>
        <v>1</v>
      </c>
      <c r="AB195" s="233">
        <f t="shared" si="98"/>
        <v>0</v>
      </c>
      <c r="AC195" s="233">
        <f t="shared" si="99"/>
        <v>1</v>
      </c>
      <c r="AD195" s="233">
        <f t="shared" si="100"/>
        <v>1</v>
      </c>
      <c r="AE195" s="232">
        <f t="shared" si="101"/>
        <v>0</v>
      </c>
      <c r="AF195" s="232">
        <f t="shared" si="102"/>
        <v>0</v>
      </c>
      <c r="AG195" s="232">
        <f t="shared" si="103"/>
        <v>0</v>
      </c>
      <c r="AH195" s="233">
        <f t="shared" si="104"/>
        <v>0</v>
      </c>
      <c r="AI195" s="233">
        <f t="shared" si="105"/>
        <v>0</v>
      </c>
      <c r="AJ195" s="233">
        <f t="shared" si="106"/>
        <v>0</v>
      </c>
      <c r="AK195" s="233">
        <f t="shared" si="107"/>
        <v>0</v>
      </c>
      <c r="AL195" s="260">
        <f t="shared" si="108"/>
        <v>1.2220408163265304</v>
      </c>
      <c r="AN195" s="234">
        <f t="shared" si="109"/>
        <v>0</v>
      </c>
      <c r="AO195" s="218" t="e">
        <f>+VLOOKUP($B195,Mapping!$C$31:$C$81,1,FALSE)</f>
        <v>#N/A</v>
      </c>
    </row>
    <row r="196" spans="1:41">
      <c r="A196" s="218" t="str">
        <f>$A$1&amp;"Commercial"&amp;B196</f>
        <v>PIERCE UTCCommercialSPGRAD2-COMM</v>
      </c>
      <c r="B196" s="230" t="s">
        <v>480</v>
      </c>
      <c r="C196" s="230" t="s">
        <v>774</v>
      </c>
      <c r="D196" s="230"/>
      <c r="F196" s="231">
        <v>4.2300000000000004</v>
      </c>
      <c r="G196" s="231">
        <v>4.2300000000000004</v>
      </c>
      <c r="H196" s="231">
        <v>0</v>
      </c>
      <c r="I196" s="231">
        <v>0</v>
      </c>
      <c r="J196" s="231"/>
      <c r="K196" s="231">
        <v>12.69</v>
      </c>
      <c r="L196" s="231">
        <v>8.7200000000000006</v>
      </c>
      <c r="M196" s="231">
        <v>0</v>
      </c>
      <c r="N196" s="231">
        <v>12.69</v>
      </c>
      <c r="O196" s="231">
        <v>0</v>
      </c>
      <c r="P196" s="231">
        <v>0</v>
      </c>
      <c r="Q196" s="231">
        <v>0</v>
      </c>
      <c r="R196" s="231">
        <v>0</v>
      </c>
      <c r="S196" s="231">
        <v>0</v>
      </c>
      <c r="T196" s="231">
        <v>0</v>
      </c>
      <c r="U196" s="231">
        <v>0</v>
      </c>
      <c r="V196" s="231">
        <v>0</v>
      </c>
      <c r="W196" s="231"/>
      <c r="X196" s="388">
        <f t="shared" si="95"/>
        <v>34.1</v>
      </c>
      <c r="Y196" s="389"/>
      <c r="Z196" s="233">
        <f t="shared" si="96"/>
        <v>2.9999999999999996</v>
      </c>
      <c r="AA196" s="233">
        <f t="shared" si="97"/>
        <v>2.061465721040189</v>
      </c>
      <c r="AB196" s="233">
        <f t="shared" si="98"/>
        <v>0</v>
      </c>
      <c r="AC196" s="233">
        <f t="shared" si="99"/>
        <v>2.9999999999999996</v>
      </c>
      <c r="AD196" s="233">
        <f t="shared" si="100"/>
        <v>0</v>
      </c>
      <c r="AE196" s="232">
        <f t="shared" si="101"/>
        <v>0</v>
      </c>
      <c r="AF196" s="232">
        <f t="shared" si="102"/>
        <v>0</v>
      </c>
      <c r="AG196" s="232">
        <f t="shared" si="103"/>
        <v>0</v>
      </c>
      <c r="AH196" s="233">
        <f t="shared" si="104"/>
        <v>0</v>
      </c>
      <c r="AI196" s="233">
        <f t="shared" si="105"/>
        <v>0</v>
      </c>
      <c r="AJ196" s="233">
        <f t="shared" si="106"/>
        <v>0</v>
      </c>
      <c r="AK196" s="233">
        <f t="shared" si="107"/>
        <v>0</v>
      </c>
      <c r="AL196" s="260">
        <f t="shared" si="108"/>
        <v>0.67178881008668234</v>
      </c>
      <c r="AN196" s="234">
        <f t="shared" si="109"/>
        <v>0</v>
      </c>
      <c r="AO196" s="218" t="e">
        <f>+VLOOKUP($B196,Mapping!$C$31:$C$81,1,FALSE)</f>
        <v>#N/A</v>
      </c>
    </row>
    <row r="197" spans="1:41">
      <c r="A197" s="218" t="str">
        <f>$A$1&amp;"Commercial"&amp;B197</f>
        <v>PIERCE UTCCommercialTIME-COMM</v>
      </c>
      <c r="B197" s="230" t="s">
        <v>481</v>
      </c>
      <c r="C197" s="230" t="s">
        <v>482</v>
      </c>
      <c r="D197" s="230" t="s">
        <v>410</v>
      </c>
      <c r="E197" s="380">
        <v>33001</v>
      </c>
      <c r="F197" s="231">
        <v>106</v>
      </c>
      <c r="G197" s="231">
        <v>106</v>
      </c>
      <c r="H197" s="231">
        <v>105</v>
      </c>
      <c r="I197" s="231">
        <v>105.29</v>
      </c>
      <c r="J197" s="231"/>
      <c r="K197" s="231">
        <v>2067</v>
      </c>
      <c r="L197" s="231">
        <v>2067</v>
      </c>
      <c r="M197" s="231">
        <v>1378</v>
      </c>
      <c r="N197" s="231">
        <v>26.5</v>
      </c>
      <c r="O197" s="231">
        <v>715.5</v>
      </c>
      <c r="P197" s="231">
        <v>1371.5</v>
      </c>
      <c r="Q197" s="231">
        <v>1443.75</v>
      </c>
      <c r="R197" s="231">
        <v>682.5</v>
      </c>
      <c r="S197" s="231">
        <v>763.36</v>
      </c>
      <c r="T197" s="231">
        <v>1368.78</v>
      </c>
      <c r="U197" s="231">
        <v>1421.4199999999998</v>
      </c>
      <c r="V197" s="231">
        <v>737.03000000000009</v>
      </c>
      <c r="W197" s="231"/>
      <c r="X197" s="388">
        <f t="shared" si="95"/>
        <v>14042.340000000002</v>
      </c>
      <c r="Y197" s="389"/>
      <c r="Z197" s="233">
        <f t="shared" si="96"/>
        <v>19.5</v>
      </c>
      <c r="AA197" s="233">
        <f t="shared" si="97"/>
        <v>19.5</v>
      </c>
      <c r="AB197" s="233">
        <f t="shared" si="98"/>
        <v>13</v>
      </c>
      <c r="AC197" s="233">
        <f t="shared" si="99"/>
        <v>0.25</v>
      </c>
      <c r="AD197" s="233">
        <f t="shared" si="100"/>
        <v>6.75</v>
      </c>
      <c r="AE197" s="232">
        <f t="shared" si="101"/>
        <v>13.061904761904762</v>
      </c>
      <c r="AF197" s="232">
        <f t="shared" si="102"/>
        <v>13.75</v>
      </c>
      <c r="AG197" s="232">
        <f t="shared" si="103"/>
        <v>6.5</v>
      </c>
      <c r="AH197" s="233">
        <f t="shared" si="104"/>
        <v>7.2500712318358813</v>
      </c>
      <c r="AI197" s="233">
        <f t="shared" si="105"/>
        <v>13.000094975781174</v>
      </c>
      <c r="AJ197" s="233">
        <f t="shared" si="106"/>
        <v>13.500047487890585</v>
      </c>
      <c r="AK197" s="233">
        <f t="shared" si="107"/>
        <v>7</v>
      </c>
      <c r="AL197" s="260">
        <f t="shared" si="108"/>
        <v>11.088509871451032</v>
      </c>
      <c r="AN197" s="234">
        <f t="shared" si="109"/>
        <v>122.00042739101528</v>
      </c>
      <c r="AO197" s="218" t="e">
        <f>+VLOOKUP($B197,Mapping!$C$31:$C$81,1,FALSE)</f>
        <v>#N/A</v>
      </c>
    </row>
    <row r="198" spans="1:41">
      <c r="A198" s="218" t="str">
        <f>$A$1&amp;"Commercial"&amp;B198</f>
        <v>PIERCE UTCCommercialLCKC</v>
      </c>
      <c r="B198" s="230" t="s">
        <v>483</v>
      </c>
      <c r="C198" s="230" t="s">
        <v>484</v>
      </c>
      <c r="D198" s="230" t="s">
        <v>397</v>
      </c>
      <c r="E198" s="380">
        <v>33000</v>
      </c>
      <c r="F198" s="231">
        <v>0</v>
      </c>
      <c r="G198" s="231">
        <v>0</v>
      </c>
      <c r="H198" s="231">
        <v>0</v>
      </c>
      <c r="I198" s="231">
        <v>0</v>
      </c>
      <c r="J198" s="231"/>
      <c r="K198" s="231">
        <v>0</v>
      </c>
      <c r="L198" s="231">
        <v>0</v>
      </c>
      <c r="M198" s="231">
        <v>0</v>
      </c>
      <c r="N198" s="231">
        <v>0</v>
      </c>
      <c r="O198" s="231">
        <v>0</v>
      </c>
      <c r="P198" s="231">
        <v>0</v>
      </c>
      <c r="Q198" s="231">
        <v>0</v>
      </c>
      <c r="R198" s="231">
        <v>0</v>
      </c>
      <c r="S198" s="231">
        <v>0</v>
      </c>
      <c r="T198" s="231">
        <v>0</v>
      </c>
      <c r="U198" s="231">
        <v>10</v>
      </c>
      <c r="V198" s="231">
        <v>0</v>
      </c>
      <c r="W198" s="231"/>
      <c r="X198" s="388">
        <f t="shared" si="95"/>
        <v>10</v>
      </c>
      <c r="Y198" s="389"/>
      <c r="Z198" s="233">
        <f t="shared" si="96"/>
        <v>0</v>
      </c>
      <c r="AA198" s="233">
        <f t="shared" si="97"/>
        <v>0</v>
      </c>
      <c r="AB198" s="233">
        <f t="shared" si="98"/>
        <v>0</v>
      </c>
      <c r="AC198" s="233">
        <f t="shared" si="99"/>
        <v>0</v>
      </c>
      <c r="AD198" s="233">
        <f t="shared" si="100"/>
        <v>0</v>
      </c>
      <c r="AE198" s="232">
        <f t="shared" si="101"/>
        <v>0</v>
      </c>
      <c r="AF198" s="232">
        <f t="shared" si="102"/>
        <v>0</v>
      </c>
      <c r="AG198" s="232">
        <f t="shared" si="103"/>
        <v>0</v>
      </c>
      <c r="AH198" s="233">
        <f t="shared" si="104"/>
        <v>0</v>
      </c>
      <c r="AI198" s="233">
        <f t="shared" si="105"/>
        <v>0</v>
      </c>
      <c r="AJ198" s="233">
        <f t="shared" si="106"/>
        <v>0</v>
      </c>
      <c r="AK198" s="233">
        <f t="shared" si="107"/>
        <v>0</v>
      </c>
      <c r="AL198" s="260">
        <f t="shared" si="108"/>
        <v>0</v>
      </c>
      <c r="AN198" s="234">
        <f t="shared" si="109"/>
        <v>0</v>
      </c>
      <c r="AO198" s="218" t="e">
        <f>+VLOOKUP($B198,Mapping!$C$31:$C$81,1,FALSE)</f>
        <v>#N/A</v>
      </c>
    </row>
    <row r="199" spans="1:41">
      <c r="A199" s="218" t="str">
        <f>$A$1&amp;"Commercial"&amp;B199</f>
        <v>PIERCE UTCCommercialREDEL-COMM</v>
      </c>
      <c r="B199" s="230" t="s">
        <v>485</v>
      </c>
      <c r="C199" s="230" t="s">
        <v>486</v>
      </c>
      <c r="D199" s="230" t="s">
        <v>397</v>
      </c>
      <c r="E199" s="380">
        <v>33000</v>
      </c>
      <c r="F199" s="231">
        <v>17.25</v>
      </c>
      <c r="G199" s="231">
        <v>17.25</v>
      </c>
      <c r="H199" s="231">
        <v>17.09</v>
      </c>
      <c r="I199" s="231">
        <v>17.14</v>
      </c>
      <c r="J199" s="231"/>
      <c r="K199" s="231">
        <v>34.5</v>
      </c>
      <c r="L199" s="231">
        <v>17.25</v>
      </c>
      <c r="M199" s="231">
        <v>86.25</v>
      </c>
      <c r="N199" s="231">
        <v>34.5</v>
      </c>
      <c r="O199" s="231">
        <v>0</v>
      </c>
      <c r="P199" s="231">
        <v>0</v>
      </c>
      <c r="Q199" s="231">
        <v>34.18</v>
      </c>
      <c r="R199" s="231">
        <v>0</v>
      </c>
      <c r="S199" s="231">
        <v>68.56</v>
      </c>
      <c r="T199" s="231">
        <v>0</v>
      </c>
      <c r="U199" s="231">
        <v>17.14</v>
      </c>
      <c r="V199" s="231">
        <v>0</v>
      </c>
      <c r="W199" s="231"/>
      <c r="X199" s="388">
        <f t="shared" si="95"/>
        <v>292.38</v>
      </c>
      <c r="Y199" s="389"/>
      <c r="Z199" s="233">
        <f t="shared" si="96"/>
        <v>2</v>
      </c>
      <c r="AA199" s="233">
        <f t="shared" si="97"/>
        <v>1</v>
      </c>
      <c r="AB199" s="233">
        <f t="shared" si="98"/>
        <v>5</v>
      </c>
      <c r="AC199" s="233">
        <f t="shared" si="99"/>
        <v>2</v>
      </c>
      <c r="AD199" s="233">
        <f t="shared" si="100"/>
        <v>0</v>
      </c>
      <c r="AE199" s="232">
        <f t="shared" si="101"/>
        <v>0</v>
      </c>
      <c r="AF199" s="232">
        <f t="shared" si="102"/>
        <v>2</v>
      </c>
      <c r="AG199" s="232">
        <f t="shared" si="103"/>
        <v>0</v>
      </c>
      <c r="AH199" s="233">
        <f t="shared" si="104"/>
        <v>4</v>
      </c>
      <c r="AI199" s="233">
        <f t="shared" si="105"/>
        <v>0</v>
      </c>
      <c r="AJ199" s="233">
        <f t="shared" si="106"/>
        <v>1</v>
      </c>
      <c r="AK199" s="233">
        <f t="shared" si="107"/>
        <v>0</v>
      </c>
      <c r="AL199" s="260">
        <f t="shared" si="108"/>
        <v>1.4166666666666667</v>
      </c>
      <c r="AN199" s="234">
        <f t="shared" si="109"/>
        <v>14</v>
      </c>
      <c r="AO199" s="218" t="e">
        <f>+VLOOKUP($B199,Mapping!$C$31:$C$81,1,FALSE)</f>
        <v>#N/A</v>
      </c>
    </row>
    <row r="200" spans="1:41">
      <c r="A200" s="218" t="str">
        <f>$A$1&amp;"Commercial"&amp;B200</f>
        <v>PIERCE UTCCommercialSP2CMP-COMM</v>
      </c>
      <c r="B200" s="230" t="s">
        <v>488</v>
      </c>
      <c r="C200" s="230" t="s">
        <v>775</v>
      </c>
      <c r="D200" s="230"/>
      <c r="F200" s="231">
        <v>103.21</v>
      </c>
      <c r="G200" s="231">
        <v>104.42</v>
      </c>
      <c r="H200" s="231">
        <v>103.45</v>
      </c>
      <c r="I200" s="231">
        <v>103.74</v>
      </c>
      <c r="J200" s="231"/>
      <c r="K200" s="231">
        <v>92.37</v>
      </c>
      <c r="L200" s="231">
        <v>0</v>
      </c>
      <c r="M200" s="231">
        <v>0</v>
      </c>
      <c r="N200" s="231">
        <v>0</v>
      </c>
      <c r="O200" s="231">
        <v>0</v>
      </c>
      <c r="P200" s="231">
        <v>0</v>
      </c>
      <c r="Q200" s="231">
        <v>0</v>
      </c>
      <c r="R200" s="231">
        <v>0</v>
      </c>
      <c r="S200" s="231">
        <v>0</v>
      </c>
      <c r="T200" s="231">
        <v>0</v>
      </c>
      <c r="U200" s="231">
        <v>0</v>
      </c>
      <c r="V200" s="231">
        <v>0</v>
      </c>
      <c r="W200" s="231"/>
      <c r="X200" s="388">
        <f t="shared" si="95"/>
        <v>92.37</v>
      </c>
      <c r="Y200" s="389"/>
      <c r="Z200" s="233">
        <f t="shared" si="96"/>
        <v>0.89497141749830456</v>
      </c>
      <c r="AA200" s="233">
        <f t="shared" si="97"/>
        <v>0</v>
      </c>
      <c r="AB200" s="233">
        <f t="shared" si="98"/>
        <v>0</v>
      </c>
      <c r="AC200" s="233">
        <f t="shared" si="99"/>
        <v>0</v>
      </c>
      <c r="AD200" s="233">
        <f t="shared" si="100"/>
        <v>0</v>
      </c>
      <c r="AE200" s="232">
        <f t="shared" si="101"/>
        <v>0</v>
      </c>
      <c r="AF200" s="232">
        <f t="shared" si="102"/>
        <v>0</v>
      </c>
      <c r="AG200" s="232">
        <f t="shared" si="103"/>
        <v>0</v>
      </c>
      <c r="AH200" s="233">
        <f t="shared" si="104"/>
        <v>0</v>
      </c>
      <c r="AI200" s="233">
        <f t="shared" si="105"/>
        <v>0</v>
      </c>
      <c r="AJ200" s="233">
        <f t="shared" si="106"/>
        <v>0</v>
      </c>
      <c r="AK200" s="233">
        <f t="shared" si="107"/>
        <v>0</v>
      </c>
      <c r="AL200" s="260">
        <f t="shared" si="108"/>
        <v>7.4580951458192046E-2</v>
      </c>
      <c r="AN200" s="234">
        <f t="shared" si="109"/>
        <v>0</v>
      </c>
      <c r="AO200" s="218" t="e">
        <f>+VLOOKUP($B200,Mapping!$C$31:$C$81,1,FALSE)</f>
        <v>#N/A</v>
      </c>
    </row>
    <row r="201" spans="1:41">
      <c r="A201" s="218" t="str">
        <f>$A$1&amp;"Commercial"&amp;B201</f>
        <v>PIERCE UTCCommercialRTRNCART32-COMM</v>
      </c>
      <c r="B201" s="230" t="s">
        <v>494</v>
      </c>
      <c r="C201" s="230" t="s">
        <v>766</v>
      </c>
      <c r="D201" s="230"/>
      <c r="F201" s="231">
        <v>6.35</v>
      </c>
      <c r="G201" s="231">
        <v>6.35</v>
      </c>
      <c r="H201" s="231">
        <v>6.29</v>
      </c>
      <c r="I201" s="231">
        <v>6.31</v>
      </c>
      <c r="J201" s="231"/>
      <c r="K201" s="231">
        <v>0</v>
      </c>
      <c r="L201" s="231">
        <v>0</v>
      </c>
      <c r="M201" s="231">
        <v>0</v>
      </c>
      <c r="N201" s="231">
        <v>0</v>
      </c>
      <c r="O201" s="231">
        <v>0</v>
      </c>
      <c r="P201" s="231">
        <v>0</v>
      </c>
      <c r="Q201" s="231">
        <v>0</v>
      </c>
      <c r="R201" s="231">
        <v>0</v>
      </c>
      <c r="S201" s="231">
        <v>0</v>
      </c>
      <c r="T201" s="231">
        <v>0</v>
      </c>
      <c r="U201" s="231">
        <v>0</v>
      </c>
      <c r="V201" s="231">
        <v>0</v>
      </c>
      <c r="W201" s="231"/>
      <c r="X201" s="388">
        <f t="shared" si="95"/>
        <v>0</v>
      </c>
      <c r="Y201" s="389"/>
      <c r="Z201" s="233">
        <f t="shared" si="96"/>
        <v>0</v>
      </c>
      <c r="AA201" s="233">
        <f t="shared" si="97"/>
        <v>0</v>
      </c>
      <c r="AB201" s="233">
        <f t="shared" si="98"/>
        <v>0</v>
      </c>
      <c r="AC201" s="233">
        <f t="shared" si="99"/>
        <v>0</v>
      </c>
      <c r="AD201" s="233">
        <f t="shared" si="100"/>
        <v>0</v>
      </c>
      <c r="AE201" s="232">
        <f t="shared" si="101"/>
        <v>0</v>
      </c>
      <c r="AF201" s="232">
        <f t="shared" si="102"/>
        <v>0</v>
      </c>
      <c r="AG201" s="232">
        <f t="shared" si="103"/>
        <v>0</v>
      </c>
      <c r="AH201" s="233">
        <f t="shared" si="104"/>
        <v>0</v>
      </c>
      <c r="AI201" s="233">
        <f t="shared" si="105"/>
        <v>0</v>
      </c>
      <c r="AJ201" s="233">
        <f t="shared" si="106"/>
        <v>0</v>
      </c>
      <c r="AK201" s="233">
        <f t="shared" si="107"/>
        <v>0</v>
      </c>
      <c r="AL201" s="260">
        <f t="shared" si="108"/>
        <v>0</v>
      </c>
      <c r="AN201" s="234">
        <f t="shared" si="109"/>
        <v>0</v>
      </c>
      <c r="AO201" s="218" t="e">
        <f>+VLOOKUP($B201,Mapping!$C$31:$C$81,1,FALSE)</f>
        <v>#N/A</v>
      </c>
    </row>
    <row r="202" spans="1:41">
      <c r="A202" s="218" t="str">
        <f>$A$1&amp;"Commercial"&amp;B202</f>
        <v>PIERCE UTCCommercialRTRNCART35-COMM</v>
      </c>
      <c r="B202" s="230" t="s">
        <v>495</v>
      </c>
      <c r="C202" s="230" t="s">
        <v>767</v>
      </c>
      <c r="D202" s="230"/>
      <c r="F202" s="231">
        <v>6.35</v>
      </c>
      <c r="G202" s="231">
        <v>6.35</v>
      </c>
      <c r="H202" s="231">
        <v>6.29</v>
      </c>
      <c r="I202" s="231">
        <v>6.31</v>
      </c>
      <c r="J202" s="231"/>
      <c r="K202" s="231">
        <v>0</v>
      </c>
      <c r="L202" s="231">
        <v>0</v>
      </c>
      <c r="M202" s="231">
        <v>0</v>
      </c>
      <c r="N202" s="231">
        <v>0</v>
      </c>
      <c r="O202" s="231">
        <v>0</v>
      </c>
      <c r="P202" s="231">
        <v>6.29</v>
      </c>
      <c r="Q202" s="231">
        <v>0</v>
      </c>
      <c r="R202" s="231">
        <v>0</v>
      </c>
      <c r="S202" s="231">
        <v>0</v>
      </c>
      <c r="T202" s="231">
        <v>0</v>
      </c>
      <c r="U202" s="231">
        <v>0</v>
      </c>
      <c r="V202" s="231">
        <v>0</v>
      </c>
      <c r="W202" s="240"/>
      <c r="X202" s="388">
        <f t="shared" si="95"/>
        <v>6.29</v>
      </c>
      <c r="Y202" s="389"/>
      <c r="Z202" s="233">
        <f t="shared" si="96"/>
        <v>0</v>
      </c>
      <c r="AA202" s="233">
        <f t="shared" si="97"/>
        <v>0</v>
      </c>
      <c r="AB202" s="233">
        <f t="shared" si="98"/>
        <v>0</v>
      </c>
      <c r="AC202" s="233">
        <f t="shared" si="99"/>
        <v>0</v>
      </c>
      <c r="AD202" s="233">
        <f t="shared" si="100"/>
        <v>0</v>
      </c>
      <c r="AE202" s="232">
        <f t="shared" si="101"/>
        <v>1</v>
      </c>
      <c r="AF202" s="232">
        <f t="shared" si="102"/>
        <v>0</v>
      </c>
      <c r="AG202" s="232">
        <f t="shared" si="103"/>
        <v>0</v>
      </c>
      <c r="AH202" s="233">
        <f t="shared" si="104"/>
        <v>0</v>
      </c>
      <c r="AI202" s="233">
        <f t="shared" si="105"/>
        <v>0</v>
      </c>
      <c r="AJ202" s="233">
        <f t="shared" si="106"/>
        <v>0</v>
      </c>
      <c r="AK202" s="233">
        <f t="shared" si="107"/>
        <v>0</v>
      </c>
      <c r="AL202" s="260">
        <f t="shared" si="108"/>
        <v>8.3333333333333329E-2</v>
      </c>
      <c r="AN202" s="234">
        <f t="shared" si="109"/>
        <v>0</v>
      </c>
      <c r="AO202" s="218" t="e">
        <f>+VLOOKUP($B202,Mapping!$C$31:$C$81,1,FALSE)</f>
        <v>#N/A</v>
      </c>
    </row>
    <row r="203" spans="1:41">
      <c r="A203" s="218" t="str">
        <f>$A$1&amp;"Commercial"&amp;B203</f>
        <v>PIERCE UTCCommercialADJ-COMM</v>
      </c>
      <c r="B203" s="230" t="s">
        <v>487</v>
      </c>
      <c r="C203" s="230" t="s">
        <v>710</v>
      </c>
      <c r="D203" s="230"/>
      <c r="F203" s="231">
        <v>0</v>
      </c>
      <c r="G203" s="231">
        <v>0</v>
      </c>
      <c r="H203" s="231">
        <v>0</v>
      </c>
      <c r="I203" s="231">
        <v>0</v>
      </c>
      <c r="J203" s="231"/>
      <c r="K203" s="231">
        <v>0</v>
      </c>
      <c r="L203" s="231">
        <v>0</v>
      </c>
      <c r="M203" s="231">
        <v>-1.76</v>
      </c>
      <c r="N203" s="231">
        <v>-300</v>
      </c>
      <c r="O203" s="231">
        <v>-30</v>
      </c>
      <c r="P203" s="231">
        <v>-40</v>
      </c>
      <c r="Q203" s="231">
        <v>0</v>
      </c>
      <c r="R203" s="231">
        <v>0</v>
      </c>
      <c r="S203" s="231">
        <v>0</v>
      </c>
      <c r="T203" s="231">
        <v>0</v>
      </c>
      <c r="U203" s="231">
        <v>0</v>
      </c>
      <c r="V203" s="231">
        <v>0</v>
      </c>
      <c r="W203" s="240"/>
      <c r="X203" s="388">
        <f t="shared" si="95"/>
        <v>-371.76</v>
      </c>
      <c r="Y203" s="389"/>
      <c r="Z203" s="233">
        <f t="shared" si="96"/>
        <v>0</v>
      </c>
      <c r="AA203" s="233">
        <f t="shared" si="97"/>
        <v>0</v>
      </c>
      <c r="AB203" s="233">
        <f t="shared" si="98"/>
        <v>0</v>
      </c>
      <c r="AC203" s="233">
        <f t="shared" si="99"/>
        <v>0</v>
      </c>
      <c r="AD203" s="233">
        <f t="shared" si="100"/>
        <v>0</v>
      </c>
      <c r="AE203" s="232">
        <f t="shared" si="101"/>
        <v>0</v>
      </c>
      <c r="AF203" s="232">
        <f t="shared" si="102"/>
        <v>0</v>
      </c>
      <c r="AG203" s="232">
        <f t="shared" si="103"/>
        <v>0</v>
      </c>
      <c r="AH203" s="233">
        <f t="shared" si="104"/>
        <v>0</v>
      </c>
      <c r="AI203" s="233">
        <f t="shared" si="105"/>
        <v>0</v>
      </c>
      <c r="AJ203" s="233">
        <f t="shared" si="106"/>
        <v>0</v>
      </c>
      <c r="AK203" s="233">
        <f t="shared" si="107"/>
        <v>0</v>
      </c>
      <c r="AL203" s="260">
        <f t="shared" si="108"/>
        <v>0</v>
      </c>
      <c r="AN203" s="234">
        <f t="shared" si="109"/>
        <v>0</v>
      </c>
      <c r="AO203" s="218" t="e">
        <f>+VLOOKUP($B203,Mapping!$C$31:$C$81,1,FALSE)</f>
        <v>#N/A</v>
      </c>
    </row>
    <row r="204" spans="1:41">
      <c r="A204" s="218" t="str">
        <f>$A$1&amp;"Commercial"&amp;B204</f>
        <v>PIERCE UTCCommercialSURCHGC</v>
      </c>
      <c r="B204" s="230" t="s">
        <v>497</v>
      </c>
      <c r="C204" s="230" t="s">
        <v>768</v>
      </c>
      <c r="D204" s="230"/>
      <c r="F204" s="231">
        <v>0</v>
      </c>
      <c r="G204" s="231">
        <v>0</v>
      </c>
      <c r="H204" s="231">
        <v>0</v>
      </c>
      <c r="I204" s="231">
        <v>0</v>
      </c>
      <c r="J204" s="231"/>
      <c r="K204" s="231">
        <v>0</v>
      </c>
      <c r="L204" s="231">
        <v>0</v>
      </c>
      <c r="M204" s="231">
        <v>0</v>
      </c>
      <c r="N204" s="231">
        <v>0</v>
      </c>
      <c r="O204" s="231">
        <v>0</v>
      </c>
      <c r="P204" s="231">
        <v>-46.07</v>
      </c>
      <c r="Q204" s="231">
        <v>0</v>
      </c>
      <c r="R204" s="231">
        <v>-23.61</v>
      </c>
      <c r="S204" s="231">
        <v>0</v>
      </c>
      <c r="T204" s="231">
        <v>0</v>
      </c>
      <c r="U204" s="231">
        <v>0</v>
      </c>
      <c r="V204" s="231">
        <v>-4.41</v>
      </c>
      <c r="W204" s="240"/>
      <c r="X204" s="388">
        <f t="shared" si="95"/>
        <v>-74.09</v>
      </c>
      <c r="Y204" s="389"/>
      <c r="Z204" s="233">
        <f t="shared" si="96"/>
        <v>0</v>
      </c>
      <c r="AA204" s="233">
        <f t="shared" si="97"/>
        <v>0</v>
      </c>
      <c r="AB204" s="233">
        <f t="shared" si="98"/>
        <v>0</v>
      </c>
      <c r="AC204" s="233">
        <f t="shared" si="99"/>
        <v>0</v>
      </c>
      <c r="AD204" s="233">
        <f t="shared" si="100"/>
        <v>0</v>
      </c>
      <c r="AE204" s="232">
        <f t="shared" si="101"/>
        <v>0</v>
      </c>
      <c r="AF204" s="232">
        <f t="shared" si="102"/>
        <v>0</v>
      </c>
      <c r="AG204" s="232">
        <f t="shared" si="103"/>
        <v>0</v>
      </c>
      <c r="AH204" s="233">
        <f t="shared" si="104"/>
        <v>0</v>
      </c>
      <c r="AI204" s="233">
        <f t="shared" si="105"/>
        <v>0</v>
      </c>
      <c r="AJ204" s="233">
        <f t="shared" si="106"/>
        <v>0</v>
      </c>
      <c r="AK204" s="233">
        <f t="shared" si="107"/>
        <v>0</v>
      </c>
      <c r="AL204" s="260">
        <f t="shared" si="108"/>
        <v>0</v>
      </c>
      <c r="AN204" s="234">
        <f t="shared" si="109"/>
        <v>0</v>
      </c>
      <c r="AO204" s="218" t="e">
        <f>+VLOOKUP($B204,Mapping!$C$31:$C$81,1,FALSE)</f>
        <v>#N/A</v>
      </c>
    </row>
    <row r="205" spans="1:41" ht="14.25">
      <c r="B205" s="249"/>
      <c r="C205" s="230"/>
      <c r="D205" s="230"/>
      <c r="F205" s="231"/>
      <c r="G205" s="231"/>
      <c r="H205" s="231"/>
      <c r="I205" s="231"/>
      <c r="J205" s="231"/>
      <c r="K205" s="231"/>
      <c r="L205" s="231"/>
      <c r="M205" s="231"/>
      <c r="N205" s="231"/>
      <c r="O205" s="231"/>
      <c r="P205" s="231"/>
      <c r="Q205" s="231"/>
      <c r="R205" s="231"/>
      <c r="S205" s="231"/>
      <c r="T205" s="231"/>
      <c r="U205" s="231"/>
      <c r="V205" s="231"/>
      <c r="W205" s="240"/>
      <c r="X205" s="388"/>
      <c r="Y205" s="389"/>
      <c r="Z205" s="233"/>
      <c r="AA205" s="233"/>
      <c r="AB205" s="233"/>
      <c r="AC205" s="232"/>
      <c r="AD205" s="232"/>
      <c r="AE205" s="232"/>
      <c r="AF205" s="232"/>
      <c r="AG205" s="232"/>
      <c r="AH205" s="232"/>
      <c r="AI205" s="232"/>
      <c r="AJ205" s="232"/>
      <c r="AK205" s="232"/>
    </row>
    <row r="206" spans="1:41">
      <c r="B206" s="230"/>
      <c r="C206" s="235" t="s">
        <v>141</v>
      </c>
      <c r="D206" s="230"/>
      <c r="E206" s="250"/>
      <c r="F206" s="231"/>
      <c r="G206" s="231"/>
      <c r="H206" s="231"/>
      <c r="I206" s="231"/>
      <c r="J206" s="236"/>
      <c r="K206" s="237">
        <f t="shared" ref="K206:V206" si="110">SUM(K94:K204)</f>
        <v>669283.11000000034</v>
      </c>
      <c r="L206" s="237">
        <f t="shared" si="110"/>
        <v>666272.41000000015</v>
      </c>
      <c r="M206" s="237">
        <f t="shared" si="110"/>
        <v>664772.4800000001</v>
      </c>
      <c r="N206" s="237">
        <f t="shared" si="110"/>
        <v>670392.87</v>
      </c>
      <c r="O206" s="237">
        <f t="shared" si="110"/>
        <v>621147.08000000019</v>
      </c>
      <c r="P206" s="237">
        <f t="shared" si="110"/>
        <v>624544.87999999977</v>
      </c>
      <c r="Q206" s="237">
        <f t="shared" si="110"/>
        <v>642029.18999999983</v>
      </c>
      <c r="R206" s="237">
        <f t="shared" si="110"/>
        <v>650663.10999999964</v>
      </c>
      <c r="S206" s="237">
        <f t="shared" si="110"/>
        <v>658831.18999999994</v>
      </c>
      <c r="T206" s="237">
        <f t="shared" si="110"/>
        <v>667260.76</v>
      </c>
      <c r="U206" s="237">
        <f t="shared" si="110"/>
        <v>669909.43000000017</v>
      </c>
      <c r="V206" s="237">
        <f t="shared" si="110"/>
        <v>664092.96</v>
      </c>
      <c r="W206" s="240"/>
      <c r="X206" s="237">
        <f>SUM(X93:X204)</f>
        <v>7872578.04</v>
      </c>
      <c r="Y206" s="241"/>
      <c r="Z206" s="233">
        <f>+SUM(Z94:Z136)</f>
        <v>4404.1990967615011</v>
      </c>
      <c r="AA206" s="233">
        <f t="shared" ref="AA206:AH206" si="111">+SUM(AA94:AA136)</f>
        <v>4275.321887041624</v>
      </c>
      <c r="AB206" s="233">
        <f t="shared" si="111"/>
        <v>4118.071031040904</v>
      </c>
      <c r="AC206" s="233">
        <f t="shared" si="111"/>
        <v>4108.3576299779343</v>
      </c>
      <c r="AD206" s="233">
        <f t="shared" si="111"/>
        <v>3611.1435265710334</v>
      </c>
      <c r="AE206" s="233">
        <f t="shared" si="111"/>
        <v>3661.7594828590736</v>
      </c>
      <c r="AF206" s="233">
        <f t="shared" si="111"/>
        <v>3702.3996955664934</v>
      </c>
      <c r="AG206" s="233">
        <f t="shared" si="111"/>
        <v>3737.1429636209996</v>
      </c>
      <c r="AH206" s="233">
        <f t="shared" si="111"/>
        <v>3776.2394239761288</v>
      </c>
      <c r="AI206" s="233">
        <f>+SUM(AI94:AI136)</f>
        <v>3816.8246351316184</v>
      </c>
      <c r="AJ206" s="233">
        <f>+SUM(AJ94:AJ136)</f>
        <v>3814.8536924004393</v>
      </c>
      <c r="AK206" s="233">
        <f>+SUM(AK94:AK136)</f>
        <v>3801.3197059955364</v>
      </c>
      <c r="AL206" s="390">
        <f>+SUM(AL93:AL136,AM137:AM139,AL140,AM147:AM152)</f>
        <v>4869.8323607073298</v>
      </c>
      <c r="AN206" s="390">
        <f>+SUM(AN93:AN136,AN137:AN139,AN140:AN146,AN153:AN154,AN184:AN192,AN156)</f>
        <v>99690.286258877255</v>
      </c>
    </row>
    <row r="207" spans="1:41">
      <c r="B207" s="230"/>
      <c r="C207" s="235"/>
      <c r="D207" s="230"/>
      <c r="E207" s="250"/>
      <c r="F207" s="231"/>
      <c r="G207" s="231"/>
      <c r="H207" s="231"/>
      <c r="I207" s="231"/>
      <c r="J207" s="236"/>
      <c r="K207" s="236"/>
      <c r="L207" s="231"/>
      <c r="M207" s="231"/>
      <c r="N207" s="231"/>
      <c r="O207" s="231"/>
      <c r="P207" s="231"/>
      <c r="Q207" s="231"/>
      <c r="R207" s="231"/>
      <c r="S207" s="231"/>
      <c r="T207" s="231"/>
      <c r="U207" s="231"/>
      <c r="V207" s="231"/>
      <c r="W207" s="240"/>
      <c r="X207" s="388"/>
      <c r="Y207" s="241"/>
      <c r="Z207" s="233"/>
      <c r="AA207" s="233"/>
      <c r="AB207" s="233"/>
      <c r="AC207" s="232"/>
      <c r="AD207" s="232"/>
      <c r="AE207" s="232"/>
      <c r="AF207" s="232"/>
      <c r="AG207" s="232"/>
      <c r="AH207" s="232"/>
      <c r="AI207" s="232"/>
      <c r="AJ207" s="232"/>
      <c r="AK207" s="232"/>
      <c r="AL207" s="220">
        <f>SUM(AM137:AM139,AL121:AL136,AL140)</f>
        <v>2088.8834061839343</v>
      </c>
      <c r="AM207" s="218" t="s">
        <v>57</v>
      </c>
      <c r="AN207" s="220">
        <f>SUM(AO137:AO139,AN121:AN136,AN140)</f>
        <v>12455.039480431031</v>
      </c>
    </row>
    <row r="208" spans="1:41">
      <c r="B208" s="239" t="s">
        <v>142</v>
      </c>
      <c r="C208" s="235"/>
      <c r="D208" s="230"/>
      <c r="E208" s="250"/>
      <c r="F208" s="231"/>
      <c r="G208" s="231"/>
      <c r="H208" s="231"/>
      <c r="I208" s="231"/>
      <c r="J208" s="236"/>
      <c r="K208" s="236"/>
      <c r="L208" s="231"/>
      <c r="M208" s="231"/>
      <c r="N208" s="231"/>
      <c r="O208" s="231"/>
      <c r="P208" s="231"/>
      <c r="Q208" s="231"/>
      <c r="R208" s="231"/>
      <c r="S208" s="231"/>
      <c r="T208" s="231"/>
      <c r="U208" s="231"/>
      <c r="V208" s="231"/>
      <c r="W208" s="240"/>
      <c r="X208" s="388"/>
      <c r="Y208" s="241"/>
      <c r="Z208" s="233"/>
      <c r="AA208" s="233"/>
      <c r="AB208" s="233"/>
      <c r="AC208" s="232"/>
      <c r="AD208" s="232"/>
      <c r="AE208" s="232"/>
      <c r="AF208" s="232"/>
      <c r="AG208" s="232"/>
      <c r="AH208" s="232"/>
      <c r="AI208" s="232"/>
      <c r="AJ208" s="232"/>
      <c r="AK208" s="232"/>
      <c r="AL208" s="220">
        <f>SUM(AL93:AL120,AM147:AM152)</f>
        <v>2780.9489545233955</v>
      </c>
      <c r="AM208" s="218" t="s">
        <v>711</v>
      </c>
      <c r="AN208" s="220">
        <f>SUM(AN93:AN120,AN147:AN152)</f>
        <v>61763.77881746753</v>
      </c>
    </row>
    <row r="209" spans="1:41">
      <c r="A209" s="218" t="str">
        <f>$A$1&amp;"Commercial Recycle"&amp;B209</f>
        <v>PIERCE UTCCommercial RecycleMFNBINS</v>
      </c>
      <c r="B209" s="230" t="s">
        <v>498</v>
      </c>
      <c r="C209" s="230" t="s">
        <v>499</v>
      </c>
      <c r="D209" s="230" t="s">
        <v>397</v>
      </c>
      <c r="E209" s="380">
        <v>33000</v>
      </c>
      <c r="F209" s="231">
        <v>2.4500000000000002</v>
      </c>
      <c r="G209" s="231">
        <v>2.4500000000000002</v>
      </c>
      <c r="H209" s="231">
        <v>3.2</v>
      </c>
      <c r="I209" s="231">
        <v>3.21</v>
      </c>
      <c r="J209" s="231"/>
      <c r="K209" s="231">
        <v>2613.17</v>
      </c>
      <c r="L209" s="231">
        <v>2638.65</v>
      </c>
      <c r="M209" s="231">
        <v>2640.49</v>
      </c>
      <c r="N209" s="231">
        <v>1463.94</v>
      </c>
      <c r="O209" s="231">
        <v>1384.25</v>
      </c>
      <c r="P209" s="231">
        <v>1923.2</v>
      </c>
      <c r="Q209" s="231">
        <v>1910.4</v>
      </c>
      <c r="R209" s="231">
        <v>1908.48</v>
      </c>
      <c r="S209" s="231">
        <v>1916.37</v>
      </c>
      <c r="T209" s="231">
        <v>1924.09</v>
      </c>
      <c r="U209" s="231">
        <v>2223.44</v>
      </c>
      <c r="V209" s="231">
        <v>3166.65</v>
      </c>
      <c r="W209" s="240"/>
      <c r="X209" s="388">
        <f>SUM(K209:V209)</f>
        <v>25713.13</v>
      </c>
      <c r="Y209" s="389"/>
      <c r="Z209" s="233">
        <f t="shared" ref="Z209:AB210" si="112">IFERROR(K209/$F209,0)</f>
        <v>1066.5999999999999</v>
      </c>
      <c r="AA209" s="233">
        <f t="shared" si="112"/>
        <v>1077</v>
      </c>
      <c r="AB209" s="233">
        <f t="shared" si="112"/>
        <v>1077.7510204081632</v>
      </c>
      <c r="AC209" s="233">
        <f>IFERROR(N209/$G209,0)</f>
        <v>597.52653061224487</v>
      </c>
      <c r="AD209" s="233">
        <f>IFERROR(O209/$G209,0)</f>
        <v>565</v>
      </c>
      <c r="AE209" s="232">
        <f t="shared" ref="AE209:AG210" si="113">IFERROR(P209/$H209,0)</f>
        <v>601</v>
      </c>
      <c r="AF209" s="232">
        <f t="shared" si="113"/>
        <v>597</v>
      </c>
      <c r="AG209" s="232">
        <f t="shared" si="113"/>
        <v>596.4</v>
      </c>
      <c r="AH209" s="233">
        <f t="shared" ref="AH209:AK210" si="114">IFERROR(S209/$I209,0)</f>
        <v>597</v>
      </c>
      <c r="AI209" s="233">
        <f t="shared" si="114"/>
        <v>599.40498442367596</v>
      </c>
      <c r="AJ209" s="233">
        <f t="shared" si="114"/>
        <v>692.66043613707166</v>
      </c>
      <c r="AK209" s="233">
        <f t="shared" si="114"/>
        <v>986.4953271028038</v>
      </c>
      <c r="AL209" s="234">
        <f>AVERAGE(Z209:AK209)</f>
        <v>754.48652489032986</v>
      </c>
      <c r="AN209" s="234">
        <f>+SUM(AF209:AK209)*2</f>
        <v>8137.921495327103</v>
      </c>
    </row>
    <row r="210" spans="1:41">
      <c r="A210" s="218" t="str">
        <f>$A$1&amp;"Commercial Recycle"&amp;B210</f>
        <v>PIERCE UTCCommercial RecycleMFWBINS</v>
      </c>
      <c r="B210" s="230" t="s">
        <v>500</v>
      </c>
      <c r="C210" s="230" t="s">
        <v>501</v>
      </c>
      <c r="D210" s="230" t="s">
        <v>502</v>
      </c>
      <c r="E210" s="250">
        <v>33020</v>
      </c>
      <c r="F210" s="231">
        <v>1.7</v>
      </c>
      <c r="G210" s="231">
        <v>1.7</v>
      </c>
      <c r="H210" s="231">
        <v>2.2200000000000002</v>
      </c>
      <c r="I210" s="231">
        <v>2.23</v>
      </c>
      <c r="J210" s="231"/>
      <c r="K210" s="231">
        <v>17056.940000000002</v>
      </c>
      <c r="L210" s="231">
        <v>17079.080000000002</v>
      </c>
      <c r="M210" s="231">
        <v>17136.87</v>
      </c>
      <c r="N210" s="231">
        <v>17969.77</v>
      </c>
      <c r="O210" s="231">
        <v>17939.25</v>
      </c>
      <c r="P210" s="231">
        <v>23434.38</v>
      </c>
      <c r="Q210" s="231">
        <v>23469.899999999998</v>
      </c>
      <c r="R210" s="231">
        <v>23634.400000000001</v>
      </c>
      <c r="S210" s="231">
        <v>23724.97</v>
      </c>
      <c r="T210" s="231">
        <v>23695.74</v>
      </c>
      <c r="U210" s="231">
        <v>23525.39</v>
      </c>
      <c r="V210" s="231">
        <v>22860.63</v>
      </c>
      <c r="W210" s="240"/>
      <c r="X210" s="388">
        <f>SUM(K210:V210)</f>
        <v>251527.32</v>
      </c>
      <c r="Y210" s="389"/>
      <c r="Z210" s="233">
        <f t="shared" si="112"/>
        <v>10033.49411764706</v>
      </c>
      <c r="AA210" s="233">
        <f t="shared" si="112"/>
        <v>10046.517647058825</v>
      </c>
      <c r="AB210" s="233">
        <f t="shared" si="112"/>
        <v>10080.511764705881</v>
      </c>
      <c r="AC210" s="233">
        <f>IFERROR(N210/$G210,0)</f>
        <v>10570.452941176471</v>
      </c>
      <c r="AD210" s="233">
        <f>IFERROR(O210/$G210,0)</f>
        <v>10552.5</v>
      </c>
      <c r="AE210" s="232">
        <f t="shared" si="113"/>
        <v>10556.027027027027</v>
      </c>
      <c r="AF210" s="232">
        <f t="shared" si="113"/>
        <v>10572.027027027025</v>
      </c>
      <c r="AG210" s="232">
        <f t="shared" si="113"/>
        <v>10646.126126126126</v>
      </c>
      <c r="AH210" s="233">
        <f t="shared" si="114"/>
        <v>10639</v>
      </c>
      <c r="AI210" s="233">
        <f t="shared" si="114"/>
        <v>10625.892376681615</v>
      </c>
      <c r="AJ210" s="233">
        <f t="shared" si="114"/>
        <v>10549.502242152466</v>
      </c>
      <c r="AK210" s="233">
        <f t="shared" si="114"/>
        <v>10251.403587443947</v>
      </c>
      <c r="AL210" s="234">
        <f>AVERAGE(Z210:AK210)</f>
        <v>10426.954571420536</v>
      </c>
      <c r="AN210" s="234">
        <f>+SUM(AF210:AK210)*2</f>
        <v>126567.90271886234</v>
      </c>
    </row>
    <row r="211" spans="1:41">
      <c r="B211" s="230"/>
      <c r="C211" s="235"/>
      <c r="D211" s="230"/>
      <c r="E211" s="250"/>
      <c r="F211" s="231"/>
      <c r="G211" s="231"/>
      <c r="H211" s="231"/>
      <c r="I211" s="231"/>
      <c r="J211" s="236"/>
      <c r="K211" s="236"/>
      <c r="L211" s="231"/>
      <c r="M211" s="231"/>
      <c r="N211" s="231"/>
      <c r="O211" s="231"/>
      <c r="P211" s="231"/>
      <c r="Q211" s="231"/>
      <c r="R211" s="231"/>
      <c r="S211" s="231"/>
      <c r="T211" s="231"/>
      <c r="U211" s="231"/>
      <c r="V211" s="231"/>
      <c r="W211" s="240"/>
      <c r="X211" s="388"/>
      <c r="Y211" s="241"/>
      <c r="Z211" s="233"/>
      <c r="AA211" s="233"/>
      <c r="AB211" s="233"/>
      <c r="AC211" s="232"/>
      <c r="AD211" s="232"/>
      <c r="AE211" s="232"/>
      <c r="AF211" s="232"/>
      <c r="AG211" s="232"/>
      <c r="AH211" s="232"/>
      <c r="AI211" s="232"/>
      <c r="AJ211" s="232"/>
      <c r="AK211" s="232"/>
      <c r="AO211" s="218">
        <v>3775.500953075883</v>
      </c>
    </row>
    <row r="212" spans="1:41">
      <c r="B212" s="230"/>
      <c r="C212" s="235" t="s">
        <v>143</v>
      </c>
      <c r="D212" s="230"/>
      <c r="E212" s="250"/>
      <c r="F212" s="231"/>
      <c r="G212" s="231"/>
      <c r="H212" s="231"/>
      <c r="I212" s="231"/>
      <c r="J212" s="236"/>
      <c r="K212" s="237">
        <f t="shared" ref="K212:U212" si="115">SUM(K209:K211)</f>
        <v>19670.11</v>
      </c>
      <c r="L212" s="237">
        <f t="shared" si="115"/>
        <v>19717.730000000003</v>
      </c>
      <c r="M212" s="237">
        <f t="shared" si="115"/>
        <v>19777.36</v>
      </c>
      <c r="N212" s="237">
        <f t="shared" si="115"/>
        <v>19433.71</v>
      </c>
      <c r="O212" s="237">
        <f t="shared" si="115"/>
        <v>19323.5</v>
      </c>
      <c r="P212" s="237">
        <f t="shared" si="115"/>
        <v>25357.58</v>
      </c>
      <c r="Q212" s="237">
        <f>SUM(Q209:Q211)</f>
        <v>25380.3</v>
      </c>
      <c r="R212" s="237">
        <f>SUM(R209:R211)</f>
        <v>25542.880000000001</v>
      </c>
      <c r="S212" s="237">
        <f t="shared" si="115"/>
        <v>25641.34</v>
      </c>
      <c r="T212" s="237">
        <f t="shared" si="115"/>
        <v>25619.83</v>
      </c>
      <c r="U212" s="237">
        <f t="shared" si="115"/>
        <v>25748.829999999998</v>
      </c>
      <c r="V212" s="237">
        <f>SUM(V209:V211)</f>
        <v>26027.280000000002</v>
      </c>
      <c r="W212" s="240"/>
      <c r="X212" s="237">
        <f>SUM(X209:X211)</f>
        <v>277240.45</v>
      </c>
      <c r="Y212" s="241"/>
      <c r="Z212" s="237">
        <f>SUM(Z209:Z211)</f>
        <v>11100.094117647061</v>
      </c>
      <c r="AA212" s="237">
        <f t="shared" ref="AA212:AK212" si="116">SUM(AA209:AA211)</f>
        <v>11123.517647058825</v>
      </c>
      <c r="AB212" s="237">
        <f t="shared" si="116"/>
        <v>11158.262785114044</v>
      </c>
      <c r="AC212" s="237">
        <f t="shared" si="116"/>
        <v>11167.979471788716</v>
      </c>
      <c r="AD212" s="237">
        <f t="shared" si="116"/>
        <v>11117.5</v>
      </c>
      <c r="AE212" s="237">
        <f t="shared" si="116"/>
        <v>11157.027027027027</v>
      </c>
      <c r="AF212" s="237">
        <f t="shared" si="116"/>
        <v>11169.027027027025</v>
      </c>
      <c r="AG212" s="237">
        <f t="shared" si="116"/>
        <v>11242.526126126126</v>
      </c>
      <c r="AH212" s="237">
        <f t="shared" si="116"/>
        <v>11236</v>
      </c>
      <c r="AI212" s="237">
        <f t="shared" si="116"/>
        <v>11225.297361105291</v>
      </c>
      <c r="AJ212" s="237">
        <f t="shared" si="116"/>
        <v>11242.162678289538</v>
      </c>
      <c r="AK212" s="237">
        <f t="shared" si="116"/>
        <v>11237.898914546751</v>
      </c>
      <c r="AL212" s="390">
        <f>SUM(AL209:AL211)</f>
        <v>11181.441096310866</v>
      </c>
      <c r="AN212" s="390">
        <f>SUM(AN209:AN211)</f>
        <v>134705.82421418946</v>
      </c>
    </row>
    <row r="213" spans="1:41">
      <c r="B213" s="230"/>
      <c r="C213" s="235"/>
      <c r="D213" s="230"/>
      <c r="E213" s="250"/>
      <c r="F213" s="231"/>
      <c r="G213" s="231"/>
      <c r="H213" s="231"/>
      <c r="I213" s="231"/>
      <c r="J213" s="236"/>
      <c r="K213" s="236"/>
      <c r="L213" s="231"/>
      <c r="M213" s="231"/>
      <c r="N213" s="231"/>
      <c r="O213" s="231"/>
      <c r="P213" s="231"/>
      <c r="Q213" s="231"/>
      <c r="R213" s="231"/>
      <c r="S213" s="231"/>
      <c r="T213" s="231"/>
      <c r="U213" s="231"/>
      <c r="V213" s="231"/>
      <c r="W213" s="231"/>
      <c r="X213" s="388"/>
      <c r="Y213" s="241"/>
      <c r="Z213" s="233"/>
      <c r="AA213" s="233"/>
      <c r="AB213" s="233"/>
      <c r="AC213" s="232"/>
      <c r="AD213" s="232"/>
      <c r="AE213" s="232"/>
      <c r="AF213" s="232"/>
      <c r="AG213" s="232"/>
      <c r="AH213" s="232"/>
      <c r="AI213" s="232"/>
      <c r="AJ213" s="232"/>
      <c r="AK213" s="232"/>
    </row>
    <row r="214" spans="1:41">
      <c r="B214" s="230"/>
      <c r="C214" s="230"/>
      <c r="D214" s="230"/>
      <c r="F214" s="231"/>
      <c r="G214" s="231"/>
      <c r="H214" s="231"/>
      <c r="I214" s="231"/>
      <c r="J214" s="231"/>
      <c r="K214" s="231"/>
      <c r="L214" s="231"/>
      <c r="M214" s="231"/>
      <c r="N214" s="231"/>
      <c r="O214" s="231"/>
      <c r="P214" s="231"/>
      <c r="Q214" s="231"/>
      <c r="R214" s="231"/>
      <c r="S214" s="231"/>
      <c r="T214" s="231"/>
      <c r="U214" s="231"/>
      <c r="V214" s="231"/>
      <c r="W214" s="231"/>
      <c r="X214" s="388"/>
      <c r="Y214" s="389"/>
      <c r="Z214" s="233">
        <f>IFERROR(K214/$F214,0)</f>
        <v>0</v>
      </c>
      <c r="AA214" s="233">
        <f>IFERROR(L214/$F214,0)</f>
        <v>0</v>
      </c>
      <c r="AB214" s="233">
        <f>IFERROR(M214/$F214,0)</f>
        <v>0</v>
      </c>
      <c r="AC214" s="232">
        <f t="shared" ref="AC214:AK214" si="117">IFERROR(N214/$H214,0)</f>
        <v>0</v>
      </c>
      <c r="AD214" s="232">
        <f t="shared" si="117"/>
        <v>0</v>
      </c>
      <c r="AE214" s="232">
        <f t="shared" si="117"/>
        <v>0</v>
      </c>
      <c r="AF214" s="232">
        <f t="shared" si="117"/>
        <v>0</v>
      </c>
      <c r="AG214" s="232">
        <f t="shared" si="117"/>
        <v>0</v>
      </c>
      <c r="AH214" s="232">
        <f t="shared" si="117"/>
        <v>0</v>
      </c>
      <c r="AI214" s="232">
        <f t="shared" si="117"/>
        <v>0</v>
      </c>
      <c r="AJ214" s="232">
        <f t="shared" si="117"/>
        <v>0</v>
      </c>
      <c r="AK214" s="232">
        <f t="shared" si="117"/>
        <v>0</v>
      </c>
    </row>
    <row r="215" spans="1:41">
      <c r="F215" s="231"/>
      <c r="G215" s="231"/>
      <c r="H215" s="231"/>
      <c r="I215" s="231"/>
      <c r="L215" s="231"/>
      <c r="M215" s="231"/>
      <c r="N215" s="231"/>
      <c r="O215" s="231"/>
      <c r="P215" s="231"/>
      <c r="Q215" s="231"/>
      <c r="R215" s="231"/>
      <c r="S215" s="231"/>
      <c r="T215" s="231"/>
      <c r="U215" s="231"/>
      <c r="V215" s="231"/>
      <c r="W215" s="231"/>
      <c r="X215" s="388"/>
      <c r="Y215" s="382"/>
      <c r="Z215" s="233"/>
      <c r="AA215" s="233"/>
      <c r="AB215" s="233"/>
      <c r="AC215" s="232"/>
      <c r="AD215" s="232"/>
      <c r="AE215" s="232"/>
      <c r="AF215" s="232"/>
      <c r="AG215" s="232"/>
      <c r="AH215" s="232"/>
      <c r="AI215" s="232"/>
      <c r="AJ215" s="232"/>
      <c r="AK215" s="232"/>
    </row>
    <row r="216" spans="1:41">
      <c r="F216" s="231"/>
      <c r="G216" s="231"/>
      <c r="H216" s="231"/>
      <c r="I216" s="231"/>
      <c r="L216" s="231"/>
      <c r="M216" s="231"/>
      <c r="N216" s="231"/>
      <c r="O216" s="231"/>
      <c r="P216" s="231"/>
      <c r="Q216" s="231"/>
      <c r="R216" s="231"/>
      <c r="S216" s="231"/>
      <c r="T216" s="231"/>
      <c r="U216" s="231"/>
      <c r="V216" s="231"/>
      <c r="W216" s="231"/>
      <c r="X216" s="388"/>
      <c r="Y216" s="230"/>
      <c r="Z216" s="233"/>
      <c r="AA216" s="233"/>
      <c r="AB216" s="233"/>
      <c r="AC216" s="232"/>
      <c r="AD216" s="232"/>
      <c r="AE216" s="232"/>
      <c r="AF216" s="232"/>
      <c r="AG216" s="232"/>
      <c r="AH216" s="232"/>
      <c r="AI216" s="232"/>
      <c r="AJ216" s="232"/>
      <c r="AK216" s="232"/>
    </row>
    <row r="217" spans="1:41" s="242" customFormat="1" ht="13.5" thickBot="1">
      <c r="A217" s="415"/>
      <c r="B217" s="400" t="s">
        <v>507</v>
      </c>
      <c r="C217" s="400"/>
      <c r="D217" s="400"/>
      <c r="E217" s="401"/>
      <c r="F217" s="402"/>
      <c r="G217" s="402"/>
      <c r="H217" s="402"/>
      <c r="I217" s="402"/>
      <c r="J217" s="400"/>
      <c r="K217" s="403">
        <f t="shared" ref="K217:V217" si="118">+K206+K212</f>
        <v>688953.22000000032</v>
      </c>
      <c r="L217" s="403">
        <f t="shared" si="118"/>
        <v>685990.14000000013</v>
      </c>
      <c r="M217" s="403">
        <f t="shared" si="118"/>
        <v>684549.84000000008</v>
      </c>
      <c r="N217" s="403">
        <f t="shared" si="118"/>
        <v>689826.58</v>
      </c>
      <c r="O217" s="403">
        <f t="shared" si="118"/>
        <v>640470.58000000019</v>
      </c>
      <c r="P217" s="403">
        <f t="shared" si="118"/>
        <v>649902.45999999973</v>
      </c>
      <c r="Q217" s="403">
        <f t="shared" si="118"/>
        <v>667409.48999999987</v>
      </c>
      <c r="R217" s="403">
        <f t="shared" si="118"/>
        <v>676205.98999999964</v>
      </c>
      <c r="S217" s="403">
        <f t="shared" si="118"/>
        <v>684472.52999999991</v>
      </c>
      <c r="T217" s="403">
        <f t="shared" si="118"/>
        <v>692880.59</v>
      </c>
      <c r="U217" s="403">
        <f t="shared" si="118"/>
        <v>695658.26000000013</v>
      </c>
      <c r="V217" s="403">
        <f t="shared" si="118"/>
        <v>690120.24</v>
      </c>
      <c r="W217" s="403"/>
      <c r="X217" s="405">
        <f>X212+X206</f>
        <v>8149818.4900000002</v>
      </c>
      <c r="Y217" s="416"/>
      <c r="Z217" s="233"/>
      <c r="AA217" s="233"/>
      <c r="AB217" s="233"/>
      <c r="AC217" s="232"/>
      <c r="AD217" s="232"/>
      <c r="AE217" s="232"/>
      <c r="AF217" s="232"/>
      <c r="AG217" s="232"/>
      <c r="AH217" s="232"/>
      <c r="AI217" s="232"/>
      <c r="AJ217" s="232"/>
      <c r="AK217" s="232"/>
    </row>
    <row r="218" spans="1:41" s="242" customFormat="1">
      <c r="B218" s="216"/>
      <c r="C218" s="216"/>
      <c r="D218" s="216"/>
      <c r="E218" s="223"/>
      <c r="F218" s="231"/>
      <c r="G218" s="231"/>
      <c r="H218" s="231"/>
      <c r="I218" s="231"/>
      <c r="J218" s="245"/>
      <c r="K218" s="245"/>
      <c r="L218" s="231"/>
      <c r="M218" s="231"/>
      <c r="N218" s="231"/>
      <c r="O218" s="231"/>
      <c r="P218" s="231"/>
      <c r="Q218" s="231"/>
      <c r="R218" s="231"/>
      <c r="S218" s="231"/>
      <c r="T218" s="231"/>
      <c r="U218" s="231"/>
      <c r="V218" s="231"/>
      <c r="W218" s="231"/>
      <c r="X218" s="388"/>
      <c r="Y218" s="417"/>
      <c r="Z218" s="233"/>
      <c r="AA218" s="233"/>
      <c r="AB218" s="233"/>
      <c r="AC218" s="232"/>
      <c r="AD218" s="232"/>
      <c r="AE218" s="232"/>
      <c r="AF218" s="232"/>
      <c r="AG218" s="232"/>
      <c r="AH218" s="232"/>
      <c r="AI218" s="232"/>
      <c r="AJ218" s="232"/>
      <c r="AK218" s="232"/>
    </row>
    <row r="219" spans="1:41">
      <c r="F219" s="231"/>
      <c r="G219" s="231"/>
      <c r="H219" s="231"/>
      <c r="I219" s="231"/>
      <c r="L219" s="231"/>
      <c r="M219" s="231"/>
      <c r="N219" s="231"/>
      <c r="O219" s="231"/>
      <c r="P219" s="231"/>
      <c r="Q219" s="231"/>
      <c r="R219" s="231"/>
      <c r="S219" s="231"/>
      <c r="T219" s="231"/>
      <c r="U219" s="231"/>
      <c r="V219" s="231"/>
      <c r="W219" s="231"/>
      <c r="X219" s="388"/>
      <c r="Z219" s="233"/>
      <c r="AA219" s="233"/>
      <c r="AB219" s="233"/>
      <c r="AC219" s="232"/>
      <c r="AD219" s="232"/>
      <c r="AE219" s="232"/>
      <c r="AF219" s="232"/>
      <c r="AG219" s="232"/>
      <c r="AH219" s="232"/>
      <c r="AI219" s="232"/>
      <c r="AJ219" s="232"/>
      <c r="AK219" s="232"/>
    </row>
    <row r="220" spans="1:41">
      <c r="B220" s="226" t="s">
        <v>144</v>
      </c>
      <c r="C220" s="226"/>
      <c r="D220" s="226"/>
      <c r="F220" s="231"/>
      <c r="G220" s="231"/>
      <c r="H220" s="231"/>
      <c r="I220" s="231"/>
      <c r="J220" s="227"/>
      <c r="K220" s="227"/>
      <c r="L220" s="231"/>
      <c r="M220" s="231"/>
      <c r="N220" s="231"/>
      <c r="O220" s="231"/>
      <c r="P220" s="231"/>
      <c r="Q220" s="231"/>
      <c r="R220" s="231"/>
      <c r="S220" s="231"/>
      <c r="T220" s="231"/>
      <c r="U220" s="231"/>
      <c r="V220" s="231"/>
      <c r="W220" s="231"/>
      <c r="X220" s="388"/>
      <c r="Y220" s="414"/>
      <c r="Z220" s="233"/>
      <c r="AA220" s="233"/>
      <c r="AB220" s="233"/>
      <c r="AC220" s="232"/>
      <c r="AD220" s="232"/>
      <c r="AE220" s="232"/>
      <c r="AF220" s="232"/>
      <c r="AG220" s="232"/>
      <c r="AH220" s="232"/>
      <c r="AI220" s="232"/>
      <c r="AJ220" s="232"/>
      <c r="AK220" s="232"/>
    </row>
    <row r="221" spans="1:41">
      <c r="B221" s="226"/>
      <c r="C221" s="226"/>
      <c r="D221" s="226"/>
      <c r="F221" s="231"/>
      <c r="G221" s="231"/>
      <c r="H221" s="231"/>
      <c r="I221" s="231"/>
      <c r="J221" s="227"/>
      <c r="K221" s="227"/>
      <c r="L221" s="231"/>
      <c r="M221" s="231"/>
      <c r="N221" s="231"/>
      <c r="O221" s="231"/>
      <c r="P221" s="231"/>
      <c r="Q221" s="231"/>
      <c r="R221" s="231"/>
      <c r="S221" s="231"/>
      <c r="T221" s="231"/>
      <c r="U221" s="231"/>
      <c r="V221" s="231"/>
      <c r="W221" s="231"/>
      <c r="X221" s="388"/>
      <c r="Y221" s="414"/>
      <c r="Z221" s="233"/>
      <c r="AA221" s="233"/>
      <c r="AB221" s="233"/>
      <c r="AC221" s="232"/>
      <c r="AD221" s="232"/>
      <c r="AE221" s="232"/>
      <c r="AF221" s="232"/>
      <c r="AG221" s="232"/>
      <c r="AH221" s="232"/>
      <c r="AI221" s="232"/>
      <c r="AJ221" s="232"/>
      <c r="AK221" s="232"/>
    </row>
    <row r="222" spans="1:41">
      <c r="B222" s="239" t="s">
        <v>145</v>
      </c>
      <c r="C222" s="230"/>
      <c r="D222" s="230"/>
      <c r="F222" s="231"/>
      <c r="G222" s="231"/>
      <c r="H222" s="231"/>
      <c r="I222" s="231"/>
      <c r="J222" s="252"/>
      <c r="K222" s="252"/>
      <c r="L222" s="231"/>
      <c r="M222" s="231"/>
      <c r="N222" s="231"/>
      <c r="O222" s="231"/>
      <c r="P222" s="231"/>
      <c r="Q222" s="231"/>
      <c r="R222" s="231"/>
      <c r="S222" s="231"/>
      <c r="T222" s="231"/>
      <c r="U222" s="231"/>
      <c r="V222" s="231"/>
      <c r="W222" s="231"/>
      <c r="X222" s="388"/>
      <c r="Y222" s="418"/>
      <c r="Z222" s="233"/>
      <c r="AA222" s="233"/>
      <c r="AB222" s="233"/>
      <c r="AC222" s="232"/>
      <c r="AD222" s="232"/>
      <c r="AE222" s="232"/>
      <c r="AF222" s="232"/>
      <c r="AG222" s="232"/>
      <c r="AH222" s="232"/>
      <c r="AI222" s="232"/>
      <c r="AJ222" s="232"/>
      <c r="AK222" s="232"/>
    </row>
    <row r="223" spans="1:41">
      <c r="A223" s="218" t="str">
        <f>$A$1&amp;"Rolloff"&amp;B223</f>
        <v>PIERCE UTCRolloffHAUL10-RO</v>
      </c>
      <c r="B223" s="230" t="s">
        <v>712</v>
      </c>
      <c r="C223" s="230" t="s">
        <v>776</v>
      </c>
      <c r="D223" s="230" t="s">
        <v>508</v>
      </c>
      <c r="E223" s="380">
        <v>31000</v>
      </c>
      <c r="F223" s="231">
        <v>150</v>
      </c>
      <c r="G223" s="231">
        <v>150</v>
      </c>
      <c r="H223" s="231">
        <v>150</v>
      </c>
      <c r="I223" s="231">
        <v>150</v>
      </c>
      <c r="J223" s="231"/>
      <c r="K223" s="231">
        <v>0</v>
      </c>
      <c r="L223" s="231">
        <v>150</v>
      </c>
      <c r="M223" s="231">
        <v>0</v>
      </c>
      <c r="N223" s="231">
        <v>0</v>
      </c>
      <c r="O223" s="231">
        <v>0</v>
      </c>
      <c r="P223" s="231">
        <v>0</v>
      </c>
      <c r="Q223" s="231">
        <v>0</v>
      </c>
      <c r="R223" s="231">
        <v>0</v>
      </c>
      <c r="S223" s="231">
        <v>0</v>
      </c>
      <c r="T223" s="231">
        <v>0</v>
      </c>
      <c r="U223" s="231">
        <v>0</v>
      </c>
      <c r="V223" s="231">
        <v>150</v>
      </c>
      <c r="W223" s="231"/>
      <c r="X223" s="388">
        <f t="shared" ref="X223:X267" si="119">SUM(K223:V223)</f>
        <v>300</v>
      </c>
      <c r="Y223" s="389"/>
      <c r="Z223" s="233">
        <f t="shared" ref="Z223:Z267" si="120">IFERROR(K223/$F223,0)</f>
        <v>0</v>
      </c>
      <c r="AA223" s="233">
        <f t="shared" ref="AA223:AA267" si="121">IFERROR(L223/$F223,0)</f>
        <v>1</v>
      </c>
      <c r="AB223" s="233">
        <f t="shared" ref="AB223:AB267" si="122">IFERROR(M223/$F223,0)</f>
        <v>0</v>
      </c>
      <c r="AC223" s="233">
        <f t="shared" ref="AC223:AC267" si="123">IFERROR(N223/$G223,0)</f>
        <v>0</v>
      </c>
      <c r="AD223" s="233">
        <f t="shared" ref="AD223:AD267" si="124">IFERROR(O223/$G223,0)</f>
        <v>0</v>
      </c>
      <c r="AE223" s="232">
        <f t="shared" ref="AE223:AE267" si="125">IFERROR(P223/$H223,0)</f>
        <v>0</v>
      </c>
      <c r="AF223" s="232">
        <f t="shared" ref="AF223:AF267" si="126">IFERROR(Q223/$H223,0)</f>
        <v>0</v>
      </c>
      <c r="AG223" s="232">
        <f t="shared" ref="AG223:AG267" si="127">IFERROR(R223/$H223,0)</f>
        <v>0</v>
      </c>
      <c r="AH223" s="233">
        <f t="shared" ref="AH223:AH267" si="128">IFERROR(S223/$I223,0)</f>
        <v>0</v>
      </c>
      <c r="AI223" s="233">
        <f t="shared" ref="AI223:AI267" si="129">IFERROR(T223/$I223,0)</f>
        <v>0</v>
      </c>
      <c r="AJ223" s="233">
        <f t="shared" ref="AJ223:AJ267" si="130">IFERROR(U223/$I223,0)</f>
        <v>0</v>
      </c>
      <c r="AK223" s="233">
        <f t="shared" ref="AK223:AK267" si="131">IFERROR(V223/$I223,0)</f>
        <v>1</v>
      </c>
      <c r="AL223" s="234">
        <f t="shared" ref="AL223:AL267" si="132">AVERAGE(Z223:AK223)</f>
        <v>0.16666666666666666</v>
      </c>
      <c r="AN223" s="234">
        <f t="shared" ref="AN223:AN267" si="133">+SUM(AF223:AK223)*2</f>
        <v>2</v>
      </c>
    </row>
    <row r="224" spans="1:41">
      <c r="A224" s="218" t="str">
        <f>$A$1&amp;"Rolloff"&amp;B224</f>
        <v>PIERCE UTCRolloffHAUL20-RO</v>
      </c>
      <c r="B224" s="230" t="s">
        <v>509</v>
      </c>
      <c r="C224" s="230" t="s">
        <v>510</v>
      </c>
      <c r="D224" s="230" t="s">
        <v>508</v>
      </c>
      <c r="E224" s="380">
        <v>31000</v>
      </c>
      <c r="F224" s="231">
        <v>152</v>
      </c>
      <c r="G224" s="231">
        <v>152</v>
      </c>
      <c r="H224" s="231">
        <v>150.56</v>
      </c>
      <c r="I224" s="231">
        <v>150.97999999999999</v>
      </c>
      <c r="J224" s="231"/>
      <c r="K224" s="231">
        <v>8664</v>
      </c>
      <c r="L224" s="231">
        <v>9880</v>
      </c>
      <c r="M224" s="231">
        <v>9272</v>
      </c>
      <c r="N224" s="231">
        <v>10792</v>
      </c>
      <c r="O224" s="231">
        <v>4864</v>
      </c>
      <c r="P224" s="231">
        <v>6776.64</v>
      </c>
      <c r="Q224" s="231">
        <v>9786.4</v>
      </c>
      <c r="R224" s="231">
        <v>10087.519999999999</v>
      </c>
      <c r="S224" s="231">
        <v>9661.0399999999991</v>
      </c>
      <c r="T224" s="231">
        <v>9360.76</v>
      </c>
      <c r="U224" s="231">
        <v>8756.84</v>
      </c>
      <c r="V224" s="231">
        <v>10266.64</v>
      </c>
      <c r="W224" s="231"/>
      <c r="X224" s="388">
        <f t="shared" si="119"/>
        <v>108167.83999999998</v>
      </c>
      <c r="Y224" s="389"/>
      <c r="Z224" s="233">
        <f t="shared" si="120"/>
        <v>57</v>
      </c>
      <c r="AA224" s="233">
        <f t="shared" si="121"/>
        <v>65</v>
      </c>
      <c r="AB224" s="233">
        <f t="shared" si="122"/>
        <v>61</v>
      </c>
      <c r="AC224" s="233">
        <f t="shared" si="123"/>
        <v>71</v>
      </c>
      <c r="AD224" s="233">
        <f t="shared" si="124"/>
        <v>32</v>
      </c>
      <c r="AE224" s="232">
        <f t="shared" si="125"/>
        <v>45.009564293304997</v>
      </c>
      <c r="AF224" s="232">
        <f t="shared" si="126"/>
        <v>65</v>
      </c>
      <c r="AG224" s="232">
        <f t="shared" si="127"/>
        <v>66.999999999999986</v>
      </c>
      <c r="AH224" s="233">
        <f t="shared" si="128"/>
        <v>63.988872698370642</v>
      </c>
      <c r="AI224" s="233">
        <f t="shared" si="129"/>
        <v>62.000000000000007</v>
      </c>
      <c r="AJ224" s="233">
        <f t="shared" si="130"/>
        <v>58.000000000000007</v>
      </c>
      <c r="AK224" s="233">
        <f t="shared" si="131"/>
        <v>68</v>
      </c>
      <c r="AL224" s="234">
        <f t="shared" si="132"/>
        <v>59.583203082639635</v>
      </c>
      <c r="AN224" s="234">
        <f t="shared" si="133"/>
        <v>767.97774539674128</v>
      </c>
    </row>
    <row r="225" spans="1:40">
      <c r="A225" s="218" t="str">
        <f>$A$1&amp;"Rolloff"&amp;B225</f>
        <v>PIERCE UTCRolloffHAUL30-RO</v>
      </c>
      <c r="B225" s="230" t="s">
        <v>511</v>
      </c>
      <c r="C225" s="230" t="s">
        <v>512</v>
      </c>
      <c r="D225" s="230" t="s">
        <v>508</v>
      </c>
      <c r="E225" s="380">
        <v>31000</v>
      </c>
      <c r="F225" s="231">
        <v>159</v>
      </c>
      <c r="G225" s="231">
        <v>159</v>
      </c>
      <c r="H225" s="231">
        <v>157.5</v>
      </c>
      <c r="I225" s="231">
        <v>157.94</v>
      </c>
      <c r="J225" s="231"/>
      <c r="K225" s="231">
        <v>10971</v>
      </c>
      <c r="L225" s="231">
        <v>10971</v>
      </c>
      <c r="M225" s="231">
        <v>10335</v>
      </c>
      <c r="N225" s="231">
        <v>11130</v>
      </c>
      <c r="O225" s="231">
        <v>9858</v>
      </c>
      <c r="P225" s="231">
        <v>9766.5</v>
      </c>
      <c r="Q225" s="231">
        <v>10552.5</v>
      </c>
      <c r="R225" s="231">
        <v>10867.5</v>
      </c>
      <c r="S225" s="231">
        <v>10580.66</v>
      </c>
      <c r="T225" s="231">
        <v>11055.8</v>
      </c>
      <c r="U225" s="231">
        <v>10266.1</v>
      </c>
      <c r="V225" s="231">
        <v>10266.1</v>
      </c>
      <c r="W225" s="231"/>
      <c r="X225" s="388">
        <f t="shared" si="119"/>
        <v>126620.16000000002</v>
      </c>
      <c r="Y225" s="389"/>
      <c r="Z225" s="233">
        <f t="shared" si="120"/>
        <v>69</v>
      </c>
      <c r="AA225" s="233">
        <f t="shared" si="121"/>
        <v>69</v>
      </c>
      <c r="AB225" s="233">
        <f t="shared" si="122"/>
        <v>65</v>
      </c>
      <c r="AC225" s="233">
        <f t="shared" si="123"/>
        <v>70</v>
      </c>
      <c r="AD225" s="233">
        <f t="shared" si="124"/>
        <v>62</v>
      </c>
      <c r="AE225" s="232">
        <f t="shared" si="125"/>
        <v>62.009523809523813</v>
      </c>
      <c r="AF225" s="232">
        <f t="shared" si="126"/>
        <v>67</v>
      </c>
      <c r="AG225" s="232">
        <f t="shared" si="127"/>
        <v>69</v>
      </c>
      <c r="AH225" s="233">
        <f t="shared" si="128"/>
        <v>66.991642395846526</v>
      </c>
      <c r="AI225" s="233">
        <f t="shared" si="129"/>
        <v>70</v>
      </c>
      <c r="AJ225" s="233">
        <f t="shared" si="130"/>
        <v>65</v>
      </c>
      <c r="AK225" s="233">
        <f t="shared" si="131"/>
        <v>65</v>
      </c>
      <c r="AL225" s="234">
        <f t="shared" si="132"/>
        <v>66.666763850447524</v>
      </c>
      <c r="AN225" s="234">
        <f t="shared" si="133"/>
        <v>805.98328479169299</v>
      </c>
    </row>
    <row r="226" spans="1:40">
      <c r="A226" s="218" t="str">
        <f>$A$1&amp;"Rolloff"&amp;B226</f>
        <v>PIERCE UTCRolloffHAUL40-RO</v>
      </c>
      <c r="B226" s="230" t="s">
        <v>513</v>
      </c>
      <c r="C226" s="230" t="s">
        <v>514</v>
      </c>
      <c r="D226" s="230" t="s">
        <v>508</v>
      </c>
      <c r="E226" s="380">
        <v>31000</v>
      </c>
      <c r="F226" s="231">
        <v>165</v>
      </c>
      <c r="G226" s="231">
        <v>165</v>
      </c>
      <c r="H226" s="231">
        <v>163.44</v>
      </c>
      <c r="I226" s="231">
        <v>163.89</v>
      </c>
      <c r="J226" s="231"/>
      <c r="K226" s="231">
        <v>21285</v>
      </c>
      <c r="L226" s="231">
        <v>21780</v>
      </c>
      <c r="M226" s="231">
        <v>21780</v>
      </c>
      <c r="N226" s="231">
        <v>25575</v>
      </c>
      <c r="O226" s="231">
        <v>19635</v>
      </c>
      <c r="P226" s="231">
        <v>19454.039999999997</v>
      </c>
      <c r="Q226" s="231">
        <v>26477.279999999999</v>
      </c>
      <c r="R226" s="231">
        <v>25528.27</v>
      </c>
      <c r="S226" s="231">
        <v>25397.55</v>
      </c>
      <c r="T226" s="231">
        <v>23927.94</v>
      </c>
      <c r="U226" s="231">
        <v>25239.06</v>
      </c>
      <c r="V226" s="231">
        <v>23436.27</v>
      </c>
      <c r="W226" s="231"/>
      <c r="X226" s="388">
        <f t="shared" si="119"/>
        <v>279515.40999999997</v>
      </c>
      <c r="Y226" s="389"/>
      <c r="Z226" s="233">
        <f t="shared" si="120"/>
        <v>129</v>
      </c>
      <c r="AA226" s="233">
        <f t="shared" si="121"/>
        <v>132</v>
      </c>
      <c r="AB226" s="233">
        <f t="shared" si="122"/>
        <v>132</v>
      </c>
      <c r="AC226" s="233">
        <f t="shared" si="123"/>
        <v>155</v>
      </c>
      <c r="AD226" s="233">
        <f t="shared" si="124"/>
        <v>119</v>
      </c>
      <c r="AE226" s="232">
        <f t="shared" si="125"/>
        <v>119.02863436123347</v>
      </c>
      <c r="AF226" s="232">
        <f t="shared" si="126"/>
        <v>162</v>
      </c>
      <c r="AG226" s="232">
        <f t="shared" si="127"/>
        <v>156.1935266764562</v>
      </c>
      <c r="AH226" s="233">
        <f t="shared" si="128"/>
        <v>154.9670510708402</v>
      </c>
      <c r="AI226" s="233">
        <f t="shared" si="129"/>
        <v>146</v>
      </c>
      <c r="AJ226" s="233">
        <f t="shared" si="130"/>
        <v>154.00000000000003</v>
      </c>
      <c r="AK226" s="233">
        <f t="shared" si="131"/>
        <v>143.00000000000003</v>
      </c>
      <c r="AL226" s="234">
        <f t="shared" si="132"/>
        <v>141.84910100904415</v>
      </c>
      <c r="AN226" s="234">
        <f t="shared" si="133"/>
        <v>1832.3211554945929</v>
      </c>
    </row>
    <row r="227" spans="1:40">
      <c r="A227" s="218" t="str">
        <f>$A$1&amp;"Rolloff"&amp;B227</f>
        <v>PIERCE UTCRolloffHAUL20CUST-RO</v>
      </c>
      <c r="B227" s="230" t="s">
        <v>515</v>
      </c>
      <c r="C227" s="230" t="s">
        <v>777</v>
      </c>
      <c r="D227" s="230"/>
      <c r="F227" s="231">
        <v>152</v>
      </c>
      <c r="G227" s="231">
        <v>152</v>
      </c>
      <c r="H227" s="231">
        <v>150.56</v>
      </c>
      <c r="I227" s="231">
        <v>150.97999999999999</v>
      </c>
      <c r="J227" s="231"/>
      <c r="K227" s="231">
        <v>304</v>
      </c>
      <c r="L227" s="231">
        <v>456</v>
      </c>
      <c r="M227" s="231">
        <v>304</v>
      </c>
      <c r="N227" s="231">
        <v>760</v>
      </c>
      <c r="O227" s="231">
        <v>152</v>
      </c>
      <c r="P227" s="231">
        <v>302.56</v>
      </c>
      <c r="Q227" s="231">
        <v>752.8</v>
      </c>
      <c r="R227" s="231">
        <v>451.68</v>
      </c>
      <c r="S227" s="231">
        <v>603.91999999999996</v>
      </c>
      <c r="T227" s="231">
        <v>452.94</v>
      </c>
      <c r="U227" s="231">
        <v>452.94</v>
      </c>
      <c r="V227" s="231">
        <v>603.91999999999996</v>
      </c>
      <c r="W227" s="231"/>
      <c r="X227" s="388">
        <f t="shared" si="119"/>
        <v>5596.7599999999993</v>
      </c>
      <c r="Y227" s="389"/>
      <c r="Z227" s="233">
        <f t="shared" si="120"/>
        <v>2</v>
      </c>
      <c r="AA227" s="233">
        <f t="shared" si="121"/>
        <v>3</v>
      </c>
      <c r="AB227" s="233">
        <f t="shared" si="122"/>
        <v>2</v>
      </c>
      <c r="AC227" s="233">
        <f t="shared" si="123"/>
        <v>5</v>
      </c>
      <c r="AD227" s="233">
        <f t="shared" si="124"/>
        <v>1</v>
      </c>
      <c r="AE227" s="232">
        <f t="shared" si="125"/>
        <v>2.0095642933049946</v>
      </c>
      <c r="AF227" s="232">
        <f t="shared" si="126"/>
        <v>5</v>
      </c>
      <c r="AG227" s="232">
        <f t="shared" si="127"/>
        <v>3</v>
      </c>
      <c r="AH227" s="233">
        <f t="shared" si="128"/>
        <v>4</v>
      </c>
      <c r="AI227" s="233">
        <f t="shared" si="129"/>
        <v>3</v>
      </c>
      <c r="AJ227" s="233">
        <f t="shared" si="130"/>
        <v>3</v>
      </c>
      <c r="AK227" s="233">
        <f t="shared" si="131"/>
        <v>4</v>
      </c>
      <c r="AL227" s="234">
        <f t="shared" si="132"/>
        <v>3.084130357775416</v>
      </c>
      <c r="AN227" s="234">
        <f t="shared" si="133"/>
        <v>44</v>
      </c>
    </row>
    <row r="228" spans="1:40">
      <c r="A228" s="218" t="str">
        <f>$A$1&amp;"Rolloff"&amp;B228</f>
        <v>PIERCE UTCRolloffFINAL20-RO</v>
      </c>
      <c r="B228" s="230" t="s">
        <v>516</v>
      </c>
      <c r="C228" s="230" t="s">
        <v>517</v>
      </c>
      <c r="D228" s="230" t="s">
        <v>508</v>
      </c>
      <c r="E228" s="380">
        <v>31000</v>
      </c>
      <c r="F228" s="231">
        <v>152</v>
      </c>
      <c r="G228" s="231">
        <v>152</v>
      </c>
      <c r="H228" s="231">
        <v>150.56</v>
      </c>
      <c r="I228" s="231">
        <v>150.97999999999999</v>
      </c>
      <c r="J228" s="231"/>
      <c r="K228" s="231">
        <v>152</v>
      </c>
      <c r="L228" s="231">
        <v>304</v>
      </c>
      <c r="M228" s="231">
        <v>0</v>
      </c>
      <c r="N228" s="231">
        <v>304</v>
      </c>
      <c r="O228" s="231">
        <v>152</v>
      </c>
      <c r="P228" s="231">
        <v>150.56</v>
      </c>
      <c r="Q228" s="231">
        <v>150.56</v>
      </c>
      <c r="R228" s="231">
        <v>0</v>
      </c>
      <c r="S228" s="231">
        <v>452.94</v>
      </c>
      <c r="T228" s="231">
        <v>452.94</v>
      </c>
      <c r="U228" s="231">
        <v>452.94</v>
      </c>
      <c r="V228" s="231">
        <v>452.94</v>
      </c>
      <c r="W228" s="231"/>
      <c r="X228" s="388">
        <f t="shared" si="119"/>
        <v>3024.88</v>
      </c>
      <c r="Y228" s="389"/>
      <c r="Z228" s="233">
        <f t="shared" si="120"/>
        <v>1</v>
      </c>
      <c r="AA228" s="233">
        <f t="shared" si="121"/>
        <v>2</v>
      </c>
      <c r="AB228" s="233">
        <f t="shared" si="122"/>
        <v>0</v>
      </c>
      <c r="AC228" s="233">
        <f t="shared" si="123"/>
        <v>2</v>
      </c>
      <c r="AD228" s="233">
        <f t="shared" si="124"/>
        <v>1</v>
      </c>
      <c r="AE228" s="232">
        <f t="shared" si="125"/>
        <v>1</v>
      </c>
      <c r="AF228" s="232">
        <f t="shared" si="126"/>
        <v>1</v>
      </c>
      <c r="AG228" s="232">
        <f t="shared" si="127"/>
        <v>0</v>
      </c>
      <c r="AH228" s="233">
        <f t="shared" si="128"/>
        <v>3</v>
      </c>
      <c r="AI228" s="233">
        <f t="shared" si="129"/>
        <v>3</v>
      </c>
      <c r="AJ228" s="233">
        <f t="shared" si="130"/>
        <v>3</v>
      </c>
      <c r="AK228" s="233">
        <f t="shared" si="131"/>
        <v>3</v>
      </c>
      <c r="AL228" s="234">
        <f t="shared" si="132"/>
        <v>1.6666666666666667</v>
      </c>
      <c r="AN228" s="234">
        <f t="shared" si="133"/>
        <v>26</v>
      </c>
    </row>
    <row r="229" spans="1:40">
      <c r="A229" s="218" t="str">
        <f>$A$1&amp;"Rolloff"&amp;B229</f>
        <v>PIERCE UTCRolloffFINAL30-RO</v>
      </c>
      <c r="B229" s="230" t="s">
        <v>518</v>
      </c>
      <c r="C229" s="230" t="s">
        <v>519</v>
      </c>
      <c r="D229" s="230" t="s">
        <v>508</v>
      </c>
      <c r="E229" s="380">
        <v>31000</v>
      </c>
      <c r="F229" s="231">
        <v>159</v>
      </c>
      <c r="G229" s="231">
        <v>159</v>
      </c>
      <c r="H229" s="231">
        <v>157.5</v>
      </c>
      <c r="I229" s="231">
        <v>157.94</v>
      </c>
      <c r="J229" s="231"/>
      <c r="K229" s="231">
        <v>318</v>
      </c>
      <c r="L229" s="231">
        <v>159</v>
      </c>
      <c r="M229" s="231">
        <v>0</v>
      </c>
      <c r="N229" s="231">
        <v>0</v>
      </c>
      <c r="O229" s="231">
        <v>318</v>
      </c>
      <c r="P229" s="231">
        <v>157.5</v>
      </c>
      <c r="Q229" s="231">
        <v>0</v>
      </c>
      <c r="R229" s="231">
        <v>472.5</v>
      </c>
      <c r="S229" s="231">
        <v>315.88</v>
      </c>
      <c r="T229" s="231">
        <v>631.76</v>
      </c>
      <c r="U229" s="231">
        <v>315.88</v>
      </c>
      <c r="V229" s="231">
        <v>0</v>
      </c>
      <c r="W229" s="231"/>
      <c r="X229" s="388">
        <f t="shared" si="119"/>
        <v>2688.5200000000004</v>
      </c>
      <c r="Y229" s="389"/>
      <c r="Z229" s="233">
        <f t="shared" si="120"/>
        <v>2</v>
      </c>
      <c r="AA229" s="233">
        <f t="shared" si="121"/>
        <v>1</v>
      </c>
      <c r="AB229" s="233">
        <f t="shared" si="122"/>
        <v>0</v>
      </c>
      <c r="AC229" s="233">
        <f t="shared" si="123"/>
        <v>0</v>
      </c>
      <c r="AD229" s="233">
        <f t="shared" si="124"/>
        <v>2</v>
      </c>
      <c r="AE229" s="232">
        <f t="shared" si="125"/>
        <v>1</v>
      </c>
      <c r="AF229" s="232">
        <f t="shared" si="126"/>
        <v>0</v>
      </c>
      <c r="AG229" s="232">
        <f t="shared" si="127"/>
        <v>3</v>
      </c>
      <c r="AH229" s="233">
        <f t="shared" si="128"/>
        <v>2</v>
      </c>
      <c r="AI229" s="233">
        <f t="shared" si="129"/>
        <v>4</v>
      </c>
      <c r="AJ229" s="233">
        <f t="shared" si="130"/>
        <v>2</v>
      </c>
      <c r="AK229" s="233">
        <f t="shared" si="131"/>
        <v>0</v>
      </c>
      <c r="AL229" s="234">
        <f t="shared" si="132"/>
        <v>1.4166666666666667</v>
      </c>
      <c r="AN229" s="234">
        <f t="shared" si="133"/>
        <v>22</v>
      </c>
    </row>
    <row r="230" spans="1:40">
      <c r="A230" s="218" t="str">
        <f>$A$1&amp;"Rolloff"&amp;B230</f>
        <v>PIERCE UTCRolloffFINAL40-RO</v>
      </c>
      <c r="B230" s="230" t="s">
        <v>520</v>
      </c>
      <c r="C230" s="230" t="s">
        <v>521</v>
      </c>
      <c r="D230" s="230" t="s">
        <v>508</v>
      </c>
      <c r="E230" s="380">
        <v>31000</v>
      </c>
      <c r="F230" s="231">
        <v>165</v>
      </c>
      <c r="G230" s="231">
        <v>165</v>
      </c>
      <c r="H230" s="231">
        <v>163.44</v>
      </c>
      <c r="I230" s="231">
        <v>163.89</v>
      </c>
      <c r="J230" s="231"/>
      <c r="K230" s="231">
        <v>0</v>
      </c>
      <c r="L230" s="231">
        <v>0</v>
      </c>
      <c r="M230" s="231">
        <v>0</v>
      </c>
      <c r="N230" s="231">
        <v>0</v>
      </c>
      <c r="O230" s="231">
        <v>330</v>
      </c>
      <c r="P230" s="231">
        <v>163.44</v>
      </c>
      <c r="Q230" s="231">
        <v>326.88</v>
      </c>
      <c r="R230" s="231">
        <v>163.44</v>
      </c>
      <c r="S230" s="231">
        <v>0</v>
      </c>
      <c r="T230" s="231">
        <v>163.89</v>
      </c>
      <c r="U230" s="231">
        <v>0</v>
      </c>
      <c r="V230" s="231">
        <v>163.89</v>
      </c>
      <c r="W230" s="231"/>
      <c r="X230" s="388">
        <f t="shared" si="119"/>
        <v>1311.54</v>
      </c>
      <c r="Y230" s="389"/>
      <c r="Z230" s="233">
        <f t="shared" si="120"/>
        <v>0</v>
      </c>
      <c r="AA230" s="233">
        <f t="shared" si="121"/>
        <v>0</v>
      </c>
      <c r="AB230" s="233">
        <f t="shared" si="122"/>
        <v>0</v>
      </c>
      <c r="AC230" s="233">
        <f t="shared" si="123"/>
        <v>0</v>
      </c>
      <c r="AD230" s="233">
        <f t="shared" si="124"/>
        <v>2</v>
      </c>
      <c r="AE230" s="232">
        <f t="shared" si="125"/>
        <v>1</v>
      </c>
      <c r="AF230" s="232">
        <f t="shared" si="126"/>
        <v>2</v>
      </c>
      <c r="AG230" s="232">
        <f t="shared" si="127"/>
        <v>1</v>
      </c>
      <c r="AH230" s="233">
        <f t="shared" si="128"/>
        <v>0</v>
      </c>
      <c r="AI230" s="233">
        <f t="shared" si="129"/>
        <v>1</v>
      </c>
      <c r="AJ230" s="233">
        <f t="shared" si="130"/>
        <v>0</v>
      </c>
      <c r="AK230" s="233">
        <f t="shared" si="131"/>
        <v>1</v>
      </c>
      <c r="AL230" s="234">
        <f t="shared" si="132"/>
        <v>0.66666666666666663</v>
      </c>
      <c r="AN230" s="234">
        <f t="shared" si="133"/>
        <v>10</v>
      </c>
    </row>
    <row r="231" spans="1:40">
      <c r="A231" s="218" t="str">
        <f>$A$1&amp;"Rolloff"&amp;B231</f>
        <v>PIERCE UTCRolloffHAUL10-CP</v>
      </c>
      <c r="B231" s="230" t="s">
        <v>522</v>
      </c>
      <c r="C231" s="230" t="s">
        <v>523</v>
      </c>
      <c r="D231" s="230"/>
      <c r="F231" s="231">
        <v>159</v>
      </c>
      <c r="G231" s="231">
        <v>159</v>
      </c>
      <c r="H231" s="231">
        <v>157.5</v>
      </c>
      <c r="I231" s="231">
        <v>157.94</v>
      </c>
      <c r="J231" s="231"/>
      <c r="K231" s="231">
        <v>318</v>
      </c>
      <c r="L231" s="231">
        <v>318</v>
      </c>
      <c r="M231" s="231">
        <v>159</v>
      </c>
      <c r="N231" s="231">
        <v>477</v>
      </c>
      <c r="O231" s="231">
        <v>159</v>
      </c>
      <c r="P231" s="231">
        <v>157.5</v>
      </c>
      <c r="Q231" s="231">
        <v>315</v>
      </c>
      <c r="R231" s="231">
        <v>315</v>
      </c>
      <c r="S231" s="231">
        <v>157.94</v>
      </c>
      <c r="T231" s="231">
        <v>157.94</v>
      </c>
      <c r="U231" s="231">
        <v>315.88</v>
      </c>
      <c r="V231" s="231">
        <v>157.94</v>
      </c>
      <c r="W231" s="231"/>
      <c r="X231" s="388">
        <f t="shared" si="119"/>
        <v>3008.2000000000003</v>
      </c>
      <c r="Y231" s="389"/>
      <c r="Z231" s="233">
        <f t="shared" si="120"/>
        <v>2</v>
      </c>
      <c r="AA231" s="233">
        <f t="shared" si="121"/>
        <v>2</v>
      </c>
      <c r="AB231" s="233">
        <f t="shared" si="122"/>
        <v>1</v>
      </c>
      <c r="AC231" s="233">
        <f t="shared" si="123"/>
        <v>3</v>
      </c>
      <c r="AD231" s="233">
        <f t="shared" si="124"/>
        <v>1</v>
      </c>
      <c r="AE231" s="232">
        <f t="shared" si="125"/>
        <v>1</v>
      </c>
      <c r="AF231" s="232">
        <f t="shared" si="126"/>
        <v>2</v>
      </c>
      <c r="AG231" s="232">
        <f t="shared" si="127"/>
        <v>2</v>
      </c>
      <c r="AH231" s="233">
        <f t="shared" si="128"/>
        <v>1</v>
      </c>
      <c r="AI231" s="233">
        <f t="shared" si="129"/>
        <v>1</v>
      </c>
      <c r="AJ231" s="233">
        <f t="shared" si="130"/>
        <v>2</v>
      </c>
      <c r="AK231" s="233">
        <f t="shared" si="131"/>
        <v>1</v>
      </c>
      <c r="AL231" s="234">
        <f t="shared" si="132"/>
        <v>1.5833333333333333</v>
      </c>
      <c r="AN231" s="234">
        <f t="shared" si="133"/>
        <v>18</v>
      </c>
    </row>
    <row r="232" spans="1:40">
      <c r="A232" s="218" t="str">
        <f>$A$1&amp;"Rolloff"&amp;B232</f>
        <v>PIERCE UTCRolloffHAUL20-CP</v>
      </c>
      <c r="B232" s="230" t="s">
        <v>524</v>
      </c>
      <c r="C232" s="230" t="s">
        <v>525</v>
      </c>
      <c r="D232" s="230" t="s">
        <v>508</v>
      </c>
      <c r="E232" s="380">
        <v>31000</v>
      </c>
      <c r="F232" s="231">
        <v>179</v>
      </c>
      <c r="G232" s="231">
        <v>179</v>
      </c>
      <c r="H232" s="231">
        <v>177.31</v>
      </c>
      <c r="I232" s="231">
        <v>177.8</v>
      </c>
      <c r="J232" s="231"/>
      <c r="K232" s="231">
        <v>5907</v>
      </c>
      <c r="L232" s="231">
        <v>6086</v>
      </c>
      <c r="M232" s="231">
        <v>5907</v>
      </c>
      <c r="N232" s="231">
        <v>5012</v>
      </c>
      <c r="O232" s="231">
        <v>6265</v>
      </c>
      <c r="P232" s="231">
        <v>5677.3</v>
      </c>
      <c r="Q232" s="231">
        <v>6028.54</v>
      </c>
      <c r="R232" s="231">
        <v>5673.92</v>
      </c>
      <c r="S232" s="231">
        <v>5334</v>
      </c>
      <c r="T232" s="231">
        <v>5511.8</v>
      </c>
      <c r="U232" s="231">
        <v>5511.8</v>
      </c>
      <c r="V232" s="231">
        <v>5689.6</v>
      </c>
      <c r="W232" s="231"/>
      <c r="X232" s="388">
        <f t="shared" si="119"/>
        <v>68603.960000000006</v>
      </c>
      <c r="Y232" s="389"/>
      <c r="Z232" s="233">
        <f t="shared" si="120"/>
        <v>33</v>
      </c>
      <c r="AA232" s="233">
        <f t="shared" si="121"/>
        <v>34</v>
      </c>
      <c r="AB232" s="233">
        <f t="shared" si="122"/>
        <v>33</v>
      </c>
      <c r="AC232" s="233">
        <f t="shared" si="123"/>
        <v>28</v>
      </c>
      <c r="AD232" s="233">
        <f t="shared" si="124"/>
        <v>35</v>
      </c>
      <c r="AE232" s="232">
        <f t="shared" si="125"/>
        <v>32.019062658620498</v>
      </c>
      <c r="AF232" s="232">
        <f t="shared" si="126"/>
        <v>34</v>
      </c>
      <c r="AG232" s="232">
        <f t="shared" si="127"/>
        <v>32</v>
      </c>
      <c r="AH232" s="233">
        <f t="shared" si="128"/>
        <v>29.999999999999996</v>
      </c>
      <c r="AI232" s="233">
        <f t="shared" si="129"/>
        <v>31</v>
      </c>
      <c r="AJ232" s="233">
        <f t="shared" si="130"/>
        <v>31</v>
      </c>
      <c r="AK232" s="233">
        <f t="shared" si="131"/>
        <v>32</v>
      </c>
      <c r="AL232" s="234">
        <f t="shared" si="132"/>
        <v>32.084921888218375</v>
      </c>
      <c r="AN232" s="234">
        <f t="shared" si="133"/>
        <v>380</v>
      </c>
    </row>
    <row r="233" spans="1:40">
      <c r="A233" s="218" t="str">
        <f>$A$1&amp;"Rolloff"&amp;B233</f>
        <v>PIERCE UTCRolloffHAUL25-CP</v>
      </c>
      <c r="B233" s="230" t="s">
        <v>526</v>
      </c>
      <c r="C233" s="230" t="s">
        <v>527</v>
      </c>
      <c r="D233" s="230" t="s">
        <v>508</v>
      </c>
      <c r="E233" s="380">
        <v>31000</v>
      </c>
      <c r="F233" s="231">
        <v>198.5</v>
      </c>
      <c r="G233" s="231">
        <v>198.5</v>
      </c>
      <c r="H233" s="231">
        <v>196.63</v>
      </c>
      <c r="I233" s="231">
        <v>197.18</v>
      </c>
      <c r="J233" s="231"/>
      <c r="K233" s="231">
        <v>10520.5</v>
      </c>
      <c r="L233" s="231">
        <v>11116</v>
      </c>
      <c r="M233" s="231">
        <v>10322</v>
      </c>
      <c r="N233" s="231">
        <v>11116</v>
      </c>
      <c r="O233" s="231">
        <v>10719</v>
      </c>
      <c r="P233" s="231">
        <v>10427</v>
      </c>
      <c r="Q233" s="231">
        <v>11207.91</v>
      </c>
      <c r="R233" s="231">
        <v>11404.54</v>
      </c>
      <c r="S233" s="231">
        <v>8872</v>
      </c>
      <c r="T233" s="231">
        <v>10844.9</v>
      </c>
      <c r="U233" s="231">
        <v>10450.540000000001</v>
      </c>
      <c r="V233" s="231">
        <v>9464.64</v>
      </c>
      <c r="W233" s="231"/>
      <c r="X233" s="388">
        <f t="shared" si="119"/>
        <v>126465.03000000001</v>
      </c>
      <c r="Y233" s="389"/>
      <c r="Z233" s="233">
        <f t="shared" si="120"/>
        <v>53</v>
      </c>
      <c r="AA233" s="233">
        <f t="shared" si="121"/>
        <v>56</v>
      </c>
      <c r="AB233" s="233">
        <f t="shared" si="122"/>
        <v>52</v>
      </c>
      <c r="AC233" s="233">
        <f t="shared" si="123"/>
        <v>56</v>
      </c>
      <c r="AD233" s="233">
        <f t="shared" si="124"/>
        <v>54</v>
      </c>
      <c r="AE233" s="232">
        <f t="shared" si="125"/>
        <v>53.028530743019886</v>
      </c>
      <c r="AF233" s="232">
        <f t="shared" si="126"/>
        <v>57</v>
      </c>
      <c r="AG233" s="232">
        <f t="shared" si="127"/>
        <v>58.000000000000007</v>
      </c>
      <c r="AH233" s="233">
        <f t="shared" si="128"/>
        <v>44.994421340906783</v>
      </c>
      <c r="AI233" s="233">
        <f t="shared" si="129"/>
        <v>54.999999999999993</v>
      </c>
      <c r="AJ233" s="233">
        <f t="shared" si="130"/>
        <v>53</v>
      </c>
      <c r="AK233" s="233">
        <f t="shared" si="131"/>
        <v>47.999999999999993</v>
      </c>
      <c r="AL233" s="234">
        <f t="shared" si="132"/>
        <v>53.335246006993884</v>
      </c>
      <c r="AN233" s="234">
        <f t="shared" si="133"/>
        <v>631.98884268181359</v>
      </c>
    </row>
    <row r="234" spans="1:40">
      <c r="A234" s="218" t="str">
        <f>$A$1&amp;"Rolloff"&amp;B234</f>
        <v>PIERCE UTCRolloffHAUL30-CP</v>
      </c>
      <c r="B234" s="230" t="s">
        <v>528</v>
      </c>
      <c r="C234" s="230" t="s">
        <v>529</v>
      </c>
      <c r="D234" s="230" t="s">
        <v>508</v>
      </c>
      <c r="E234" s="380">
        <v>31000</v>
      </c>
      <c r="F234" s="231">
        <v>218.5</v>
      </c>
      <c r="G234" s="231">
        <v>218.5</v>
      </c>
      <c r="H234" s="231">
        <v>216.44</v>
      </c>
      <c r="I234" s="231">
        <v>217.04</v>
      </c>
      <c r="J234" s="231"/>
      <c r="K234" s="231">
        <v>13984</v>
      </c>
      <c r="L234" s="231">
        <v>13547</v>
      </c>
      <c r="M234" s="231">
        <v>11799</v>
      </c>
      <c r="N234" s="231">
        <v>15076.5</v>
      </c>
      <c r="O234" s="231">
        <v>10269.5</v>
      </c>
      <c r="P234" s="231">
        <v>9092.5400000000009</v>
      </c>
      <c r="Q234" s="231">
        <v>11471.32</v>
      </c>
      <c r="R234" s="231">
        <v>13852.16</v>
      </c>
      <c r="S234" s="231">
        <v>12152.44</v>
      </c>
      <c r="T234" s="231">
        <v>11720.16</v>
      </c>
      <c r="U234" s="231">
        <v>14324.64</v>
      </c>
      <c r="V234" s="231">
        <v>13456.48</v>
      </c>
      <c r="W234" s="231"/>
      <c r="X234" s="388">
        <f t="shared" si="119"/>
        <v>150745.74000000002</v>
      </c>
      <c r="Y234" s="389"/>
      <c r="Z234" s="233">
        <f t="shared" si="120"/>
        <v>64</v>
      </c>
      <c r="AA234" s="233">
        <f t="shared" si="121"/>
        <v>62</v>
      </c>
      <c r="AB234" s="233">
        <f t="shared" si="122"/>
        <v>54</v>
      </c>
      <c r="AC234" s="233">
        <f t="shared" si="123"/>
        <v>69</v>
      </c>
      <c r="AD234" s="233">
        <f t="shared" si="124"/>
        <v>47</v>
      </c>
      <c r="AE234" s="232">
        <f t="shared" si="125"/>
        <v>42.009517649233047</v>
      </c>
      <c r="AF234" s="232">
        <f t="shared" si="126"/>
        <v>53</v>
      </c>
      <c r="AG234" s="232">
        <f t="shared" si="127"/>
        <v>64</v>
      </c>
      <c r="AH234" s="233">
        <f t="shared" si="128"/>
        <v>55.991706597862148</v>
      </c>
      <c r="AI234" s="233">
        <f t="shared" si="129"/>
        <v>54</v>
      </c>
      <c r="AJ234" s="233">
        <f t="shared" si="130"/>
        <v>66</v>
      </c>
      <c r="AK234" s="233">
        <f t="shared" si="131"/>
        <v>62</v>
      </c>
      <c r="AL234" s="234">
        <f t="shared" si="132"/>
        <v>57.750102020591271</v>
      </c>
      <c r="AN234" s="234">
        <f t="shared" si="133"/>
        <v>709.98341319572432</v>
      </c>
    </row>
    <row r="235" spans="1:40">
      <c r="A235" s="218" t="str">
        <f>$A$1&amp;"Rolloff"&amp;B235</f>
        <v>PIERCE UTCRolloffHAUL40-CP</v>
      </c>
      <c r="B235" s="230" t="s">
        <v>530</v>
      </c>
      <c r="C235" s="230" t="s">
        <v>531</v>
      </c>
      <c r="D235" s="230" t="s">
        <v>508</v>
      </c>
      <c r="E235" s="380">
        <v>31000</v>
      </c>
      <c r="F235" s="231">
        <v>238</v>
      </c>
      <c r="G235" s="231">
        <v>238</v>
      </c>
      <c r="H235" s="231">
        <v>235.75</v>
      </c>
      <c r="I235" s="231">
        <v>236.4</v>
      </c>
      <c r="J235" s="231"/>
      <c r="K235" s="231">
        <v>4284</v>
      </c>
      <c r="L235" s="231">
        <v>5236</v>
      </c>
      <c r="M235" s="231">
        <v>4284</v>
      </c>
      <c r="N235" s="231">
        <v>4522</v>
      </c>
      <c r="O235" s="231">
        <v>2142</v>
      </c>
      <c r="P235" s="231">
        <v>2831.25</v>
      </c>
      <c r="Q235" s="231">
        <v>3772</v>
      </c>
      <c r="R235" s="231">
        <v>2829</v>
      </c>
      <c r="S235" s="231">
        <v>2364</v>
      </c>
      <c r="T235" s="231">
        <v>2836.8</v>
      </c>
      <c r="U235" s="231">
        <v>3546</v>
      </c>
      <c r="V235" s="231">
        <v>3309.6</v>
      </c>
      <c r="W235" s="231"/>
      <c r="X235" s="388">
        <f t="shared" si="119"/>
        <v>41956.65</v>
      </c>
      <c r="Y235" s="389"/>
      <c r="Z235" s="233">
        <f t="shared" si="120"/>
        <v>18</v>
      </c>
      <c r="AA235" s="233">
        <f t="shared" si="121"/>
        <v>22</v>
      </c>
      <c r="AB235" s="233">
        <f t="shared" si="122"/>
        <v>18</v>
      </c>
      <c r="AC235" s="233">
        <f t="shared" si="123"/>
        <v>19</v>
      </c>
      <c r="AD235" s="233">
        <f t="shared" si="124"/>
        <v>9</v>
      </c>
      <c r="AE235" s="232">
        <f t="shared" si="125"/>
        <v>12.009544008483562</v>
      </c>
      <c r="AF235" s="232">
        <f t="shared" si="126"/>
        <v>16</v>
      </c>
      <c r="AG235" s="232">
        <f t="shared" si="127"/>
        <v>12</v>
      </c>
      <c r="AH235" s="233">
        <f t="shared" si="128"/>
        <v>10</v>
      </c>
      <c r="AI235" s="233">
        <f t="shared" si="129"/>
        <v>12</v>
      </c>
      <c r="AJ235" s="233">
        <f t="shared" si="130"/>
        <v>15</v>
      </c>
      <c r="AK235" s="233">
        <f t="shared" si="131"/>
        <v>14</v>
      </c>
      <c r="AL235" s="234">
        <f t="shared" si="132"/>
        <v>14.750795334040296</v>
      </c>
      <c r="AN235" s="234">
        <f t="shared" si="133"/>
        <v>158</v>
      </c>
    </row>
    <row r="236" spans="1:40">
      <c r="A236" s="218" t="str">
        <f>$A$1&amp;"Rolloff"&amp;B236</f>
        <v>PIERCE UTCRolloffDEL20TEMP-RO</v>
      </c>
      <c r="B236" s="230" t="s">
        <v>532</v>
      </c>
      <c r="C236" s="230" t="s">
        <v>533</v>
      </c>
      <c r="D236" s="230" t="s">
        <v>534</v>
      </c>
      <c r="E236" s="380">
        <v>31001</v>
      </c>
      <c r="F236" s="231">
        <v>106</v>
      </c>
      <c r="G236" s="231">
        <v>106</v>
      </c>
      <c r="H236" s="231">
        <v>105</v>
      </c>
      <c r="I236" s="231">
        <v>105.29</v>
      </c>
      <c r="J236" s="231"/>
      <c r="K236" s="231">
        <v>1311.32</v>
      </c>
      <c r="L236" s="231">
        <v>1272</v>
      </c>
      <c r="M236" s="231">
        <v>2120</v>
      </c>
      <c r="N236" s="231">
        <v>2544</v>
      </c>
      <c r="O236" s="231">
        <v>2756</v>
      </c>
      <c r="P236" s="231">
        <v>3571</v>
      </c>
      <c r="Q236" s="231">
        <v>3990</v>
      </c>
      <c r="R236" s="231">
        <v>5145</v>
      </c>
      <c r="S236" s="231">
        <v>5474.5</v>
      </c>
      <c r="T236" s="231">
        <v>4001.0199999999995</v>
      </c>
      <c r="U236" s="231">
        <v>2842.83</v>
      </c>
      <c r="V236" s="231">
        <v>2737.54</v>
      </c>
      <c r="W236" s="231"/>
      <c r="X236" s="388">
        <f t="shared" si="119"/>
        <v>37765.21</v>
      </c>
      <c r="Y236" s="389"/>
      <c r="Z236" s="233">
        <f t="shared" si="120"/>
        <v>12.370943396226414</v>
      </c>
      <c r="AA236" s="233">
        <f t="shared" si="121"/>
        <v>12</v>
      </c>
      <c r="AB236" s="233">
        <f t="shared" si="122"/>
        <v>20</v>
      </c>
      <c r="AC236" s="233">
        <f t="shared" si="123"/>
        <v>24</v>
      </c>
      <c r="AD236" s="233">
        <f t="shared" si="124"/>
        <v>26</v>
      </c>
      <c r="AE236" s="232">
        <f t="shared" si="125"/>
        <v>34.009523809523813</v>
      </c>
      <c r="AF236" s="232">
        <f t="shared" si="126"/>
        <v>38</v>
      </c>
      <c r="AG236" s="232">
        <f t="shared" si="127"/>
        <v>49</v>
      </c>
      <c r="AH236" s="233">
        <f t="shared" si="128"/>
        <v>51.9944914046918</v>
      </c>
      <c r="AI236" s="233">
        <f t="shared" si="129"/>
        <v>37.999999999999993</v>
      </c>
      <c r="AJ236" s="233">
        <f t="shared" si="130"/>
        <v>26.999999999999996</v>
      </c>
      <c r="AK236" s="233">
        <f t="shared" si="131"/>
        <v>25.999999999999996</v>
      </c>
      <c r="AL236" s="234">
        <f t="shared" si="132"/>
        <v>29.864579884203504</v>
      </c>
      <c r="AN236" s="234">
        <f t="shared" si="133"/>
        <v>459.98898280938363</v>
      </c>
    </row>
    <row r="237" spans="1:40">
      <c r="A237" s="218" t="str">
        <f>$A$1&amp;"Rolloff"&amp;B237</f>
        <v>PIERCE UTCRolloffDEL30TEMP-RO</v>
      </c>
      <c r="B237" s="230" t="s">
        <v>535</v>
      </c>
      <c r="C237" s="230" t="s">
        <v>536</v>
      </c>
      <c r="D237" s="230" t="s">
        <v>534</v>
      </c>
      <c r="E237" s="380">
        <v>31001</v>
      </c>
      <c r="F237" s="231">
        <v>106</v>
      </c>
      <c r="G237" s="231">
        <v>106</v>
      </c>
      <c r="H237" s="231">
        <v>105</v>
      </c>
      <c r="I237" s="231">
        <v>105.29</v>
      </c>
      <c r="J237" s="231"/>
      <c r="K237" s="231">
        <v>954</v>
      </c>
      <c r="L237" s="231">
        <v>1166</v>
      </c>
      <c r="M237" s="231">
        <v>1272</v>
      </c>
      <c r="N237" s="231">
        <v>1378</v>
      </c>
      <c r="O237" s="231">
        <v>1590</v>
      </c>
      <c r="P237" s="231">
        <v>3154</v>
      </c>
      <c r="Q237" s="231">
        <v>1696.68</v>
      </c>
      <c r="R237" s="231">
        <v>1575</v>
      </c>
      <c r="S237" s="231">
        <v>2105.2199999999998</v>
      </c>
      <c r="T237" s="231">
        <v>1474.06</v>
      </c>
      <c r="U237" s="231">
        <v>2526.96</v>
      </c>
      <c r="V237" s="231">
        <v>1263.48</v>
      </c>
      <c r="W237" s="231"/>
      <c r="X237" s="388">
        <f t="shared" si="119"/>
        <v>20155.399999999998</v>
      </c>
      <c r="Y237" s="389"/>
      <c r="Z237" s="233">
        <f t="shared" si="120"/>
        <v>9</v>
      </c>
      <c r="AA237" s="233">
        <f t="shared" si="121"/>
        <v>11</v>
      </c>
      <c r="AB237" s="233">
        <f t="shared" si="122"/>
        <v>12</v>
      </c>
      <c r="AC237" s="233">
        <f t="shared" si="123"/>
        <v>13</v>
      </c>
      <c r="AD237" s="233">
        <f t="shared" si="124"/>
        <v>15</v>
      </c>
      <c r="AE237" s="232">
        <f t="shared" si="125"/>
        <v>30.038095238095238</v>
      </c>
      <c r="AF237" s="232">
        <f t="shared" si="126"/>
        <v>16.158857142857144</v>
      </c>
      <c r="AG237" s="232">
        <f t="shared" si="127"/>
        <v>15</v>
      </c>
      <c r="AH237" s="233">
        <f t="shared" si="128"/>
        <v>19.9944914046918</v>
      </c>
      <c r="AI237" s="233">
        <f t="shared" si="129"/>
        <v>13.999999999999998</v>
      </c>
      <c r="AJ237" s="233">
        <f t="shared" si="130"/>
        <v>24</v>
      </c>
      <c r="AK237" s="233">
        <f t="shared" si="131"/>
        <v>12</v>
      </c>
      <c r="AL237" s="234">
        <f t="shared" si="132"/>
        <v>15.93262031547035</v>
      </c>
      <c r="AN237" s="234">
        <f t="shared" si="133"/>
        <v>202.30669709509789</v>
      </c>
    </row>
    <row r="238" spans="1:40">
      <c r="A238" s="218" t="str">
        <f>$A$1&amp;"Rolloff"&amp;B238</f>
        <v>PIERCE UTCRolloffDEL40TEMP-RO</v>
      </c>
      <c r="B238" s="230" t="s">
        <v>537</v>
      </c>
      <c r="C238" s="230" t="s">
        <v>538</v>
      </c>
      <c r="D238" s="230" t="s">
        <v>534</v>
      </c>
      <c r="E238" s="380">
        <v>31001</v>
      </c>
      <c r="F238" s="231">
        <v>106</v>
      </c>
      <c r="G238" s="231">
        <v>106</v>
      </c>
      <c r="H238" s="231">
        <v>105</v>
      </c>
      <c r="I238" s="231">
        <v>105.29</v>
      </c>
      <c r="J238" s="231"/>
      <c r="K238" s="231">
        <v>1841.32</v>
      </c>
      <c r="L238" s="231">
        <v>1484</v>
      </c>
      <c r="M238" s="231">
        <v>1484</v>
      </c>
      <c r="N238" s="231">
        <v>1272</v>
      </c>
      <c r="O238" s="231">
        <v>1060</v>
      </c>
      <c r="P238" s="231">
        <v>1260</v>
      </c>
      <c r="Q238" s="231">
        <v>2205</v>
      </c>
      <c r="R238" s="231">
        <v>2205</v>
      </c>
      <c r="S238" s="231">
        <v>1474.06</v>
      </c>
      <c r="T238" s="231">
        <v>2632.25</v>
      </c>
      <c r="U238" s="231">
        <v>1368.77</v>
      </c>
      <c r="V238" s="231">
        <v>421.16</v>
      </c>
      <c r="W238" s="231"/>
      <c r="X238" s="388">
        <f t="shared" si="119"/>
        <v>18707.559999999998</v>
      </c>
      <c r="Y238" s="389"/>
      <c r="Z238" s="233">
        <f t="shared" si="120"/>
        <v>17.370943396226416</v>
      </c>
      <c r="AA238" s="233">
        <f t="shared" si="121"/>
        <v>14</v>
      </c>
      <c r="AB238" s="233">
        <f t="shared" si="122"/>
        <v>14</v>
      </c>
      <c r="AC238" s="233">
        <f t="shared" si="123"/>
        <v>12</v>
      </c>
      <c r="AD238" s="233">
        <f t="shared" si="124"/>
        <v>10</v>
      </c>
      <c r="AE238" s="232">
        <f t="shared" si="125"/>
        <v>12</v>
      </c>
      <c r="AF238" s="232">
        <f t="shared" si="126"/>
        <v>21</v>
      </c>
      <c r="AG238" s="232">
        <f t="shared" si="127"/>
        <v>21</v>
      </c>
      <c r="AH238" s="233">
        <f t="shared" si="128"/>
        <v>13.999999999999998</v>
      </c>
      <c r="AI238" s="233">
        <f t="shared" si="129"/>
        <v>25</v>
      </c>
      <c r="AJ238" s="233">
        <f t="shared" si="130"/>
        <v>12.999999999999998</v>
      </c>
      <c r="AK238" s="233">
        <f t="shared" si="131"/>
        <v>4</v>
      </c>
      <c r="AL238" s="234">
        <f t="shared" si="132"/>
        <v>14.780911949685533</v>
      </c>
      <c r="AN238" s="234">
        <f t="shared" si="133"/>
        <v>196</v>
      </c>
    </row>
    <row r="239" spans="1:40">
      <c r="A239" s="218" t="str">
        <f>$A$1&amp;"Rolloff"&amp;B239</f>
        <v>PIERCE UTCRolloffFINAL20TEMP-RO</v>
      </c>
      <c r="B239" s="230" t="s">
        <v>539</v>
      </c>
      <c r="C239" s="230" t="s">
        <v>540</v>
      </c>
      <c r="D239" s="230" t="s">
        <v>534</v>
      </c>
      <c r="E239" s="380">
        <v>31001</v>
      </c>
      <c r="F239" s="231">
        <v>165.5</v>
      </c>
      <c r="G239" s="231">
        <v>165.5</v>
      </c>
      <c r="H239" s="231">
        <v>163.94</v>
      </c>
      <c r="I239" s="231">
        <v>164.39</v>
      </c>
      <c r="J239" s="231"/>
      <c r="K239" s="231">
        <v>1489.5</v>
      </c>
      <c r="L239" s="231">
        <v>2317</v>
      </c>
      <c r="M239" s="231">
        <v>2813.5</v>
      </c>
      <c r="N239" s="231">
        <v>4634</v>
      </c>
      <c r="O239" s="231">
        <v>4634</v>
      </c>
      <c r="P239" s="231">
        <v>5739.46</v>
      </c>
      <c r="Q239" s="231">
        <v>5082.1399999999994</v>
      </c>
      <c r="R239" s="231">
        <v>7213.3599999999988</v>
      </c>
      <c r="S239" s="231">
        <v>6904.38</v>
      </c>
      <c r="T239" s="231">
        <v>7890.72</v>
      </c>
      <c r="U239" s="231">
        <v>4274.1399999999994</v>
      </c>
      <c r="V239" s="231">
        <v>4109.75</v>
      </c>
      <c r="W239" s="231"/>
      <c r="X239" s="388">
        <f t="shared" si="119"/>
        <v>57101.95</v>
      </c>
      <c r="Y239" s="389"/>
      <c r="Z239" s="233">
        <f t="shared" si="120"/>
        <v>9</v>
      </c>
      <c r="AA239" s="233">
        <f t="shared" si="121"/>
        <v>14</v>
      </c>
      <c r="AB239" s="233">
        <f t="shared" si="122"/>
        <v>17</v>
      </c>
      <c r="AC239" s="233">
        <f t="shared" si="123"/>
        <v>28</v>
      </c>
      <c r="AD239" s="233">
        <f t="shared" si="124"/>
        <v>28</v>
      </c>
      <c r="AE239" s="232">
        <f t="shared" si="125"/>
        <v>35.009515676467004</v>
      </c>
      <c r="AF239" s="232">
        <f t="shared" si="126"/>
        <v>30.999999999999996</v>
      </c>
      <c r="AG239" s="232">
        <f t="shared" si="127"/>
        <v>43.999999999999993</v>
      </c>
      <c r="AH239" s="233">
        <f t="shared" si="128"/>
        <v>42.000000000000007</v>
      </c>
      <c r="AI239" s="233">
        <f t="shared" si="129"/>
        <v>48.000000000000007</v>
      </c>
      <c r="AJ239" s="233">
        <f t="shared" si="130"/>
        <v>26</v>
      </c>
      <c r="AK239" s="233">
        <f t="shared" si="131"/>
        <v>25.000000000000004</v>
      </c>
      <c r="AL239" s="234">
        <f t="shared" si="132"/>
        <v>28.917459639705584</v>
      </c>
      <c r="AN239" s="234">
        <f t="shared" si="133"/>
        <v>432</v>
      </c>
    </row>
    <row r="240" spans="1:40">
      <c r="A240" s="218" t="str">
        <f>$A$1&amp;"Rolloff"&amp;B240</f>
        <v>PIERCE UTCRolloffFINAL30TEMP-RO</v>
      </c>
      <c r="B240" s="230" t="s">
        <v>541</v>
      </c>
      <c r="C240" s="230" t="s">
        <v>542</v>
      </c>
      <c r="D240" s="230" t="s">
        <v>534</v>
      </c>
      <c r="E240" s="380">
        <v>31001</v>
      </c>
      <c r="F240" s="231">
        <v>172</v>
      </c>
      <c r="G240" s="231">
        <v>172</v>
      </c>
      <c r="H240" s="231">
        <v>170.38</v>
      </c>
      <c r="I240" s="231">
        <v>170.85</v>
      </c>
      <c r="J240" s="231"/>
      <c r="K240" s="231">
        <v>2064</v>
      </c>
      <c r="L240" s="231">
        <v>1376</v>
      </c>
      <c r="M240" s="231">
        <v>344</v>
      </c>
      <c r="N240" s="231">
        <v>2924</v>
      </c>
      <c r="O240" s="231">
        <v>1548</v>
      </c>
      <c r="P240" s="231">
        <v>3579.6</v>
      </c>
      <c r="Q240" s="231">
        <v>4259.5</v>
      </c>
      <c r="R240" s="231">
        <v>2214.94</v>
      </c>
      <c r="S240" s="231">
        <v>2733.6</v>
      </c>
      <c r="T240" s="231">
        <v>2733.6</v>
      </c>
      <c r="U240" s="231">
        <v>3758.7000000000003</v>
      </c>
      <c r="V240" s="231">
        <v>2050.1999999999998</v>
      </c>
      <c r="W240" s="231"/>
      <c r="X240" s="388">
        <f t="shared" si="119"/>
        <v>29586.14</v>
      </c>
      <c r="Y240" s="389"/>
      <c r="Z240" s="233">
        <f t="shared" si="120"/>
        <v>12</v>
      </c>
      <c r="AA240" s="233">
        <f t="shared" si="121"/>
        <v>8</v>
      </c>
      <c r="AB240" s="233">
        <f t="shared" si="122"/>
        <v>2</v>
      </c>
      <c r="AC240" s="233">
        <f t="shared" si="123"/>
        <v>17</v>
      </c>
      <c r="AD240" s="233">
        <f t="shared" si="124"/>
        <v>9</v>
      </c>
      <c r="AE240" s="232">
        <f t="shared" si="125"/>
        <v>21.009508158234535</v>
      </c>
      <c r="AF240" s="232">
        <f t="shared" si="126"/>
        <v>25</v>
      </c>
      <c r="AG240" s="232">
        <f t="shared" si="127"/>
        <v>13</v>
      </c>
      <c r="AH240" s="233">
        <f t="shared" si="128"/>
        <v>16</v>
      </c>
      <c r="AI240" s="233">
        <f t="shared" si="129"/>
        <v>16</v>
      </c>
      <c r="AJ240" s="233">
        <f t="shared" si="130"/>
        <v>22.000000000000004</v>
      </c>
      <c r="AK240" s="233">
        <f t="shared" si="131"/>
        <v>12</v>
      </c>
      <c r="AL240" s="234">
        <f t="shared" si="132"/>
        <v>14.417459013186212</v>
      </c>
      <c r="AN240" s="234">
        <f t="shared" si="133"/>
        <v>208</v>
      </c>
    </row>
    <row r="241" spans="1:41">
      <c r="A241" s="218" t="str">
        <f>$A$1&amp;"Rolloff"&amp;B241</f>
        <v>PIERCE UTCRolloffFINAL40TEMP-RO</v>
      </c>
      <c r="B241" s="230" t="s">
        <v>543</v>
      </c>
      <c r="C241" s="230" t="s">
        <v>544</v>
      </c>
      <c r="D241" s="230" t="s">
        <v>534</v>
      </c>
      <c r="E241" s="380">
        <v>31001</v>
      </c>
      <c r="F241" s="231">
        <v>178.5</v>
      </c>
      <c r="G241" s="231">
        <v>178.5</v>
      </c>
      <c r="H241" s="231">
        <v>176.81</v>
      </c>
      <c r="I241" s="231">
        <v>177.3</v>
      </c>
      <c r="J241" s="231"/>
      <c r="K241" s="231">
        <v>1785</v>
      </c>
      <c r="L241" s="231">
        <v>1785</v>
      </c>
      <c r="M241" s="231">
        <v>1606.5</v>
      </c>
      <c r="N241" s="231">
        <v>1071</v>
      </c>
      <c r="O241" s="231">
        <v>1963.5</v>
      </c>
      <c r="P241" s="231">
        <v>1944.91</v>
      </c>
      <c r="Q241" s="231">
        <v>1768.1</v>
      </c>
      <c r="R241" s="231">
        <v>4597.0600000000004</v>
      </c>
      <c r="S241" s="231">
        <v>1950.3</v>
      </c>
      <c r="T241" s="231">
        <v>2482.2000000000003</v>
      </c>
      <c r="U241" s="231">
        <v>3723.3</v>
      </c>
      <c r="V241" s="231">
        <v>886.5</v>
      </c>
      <c r="W241" s="231"/>
      <c r="X241" s="388">
        <f t="shared" si="119"/>
        <v>25563.37</v>
      </c>
      <c r="Y241" s="389"/>
      <c r="Z241" s="233">
        <f t="shared" si="120"/>
        <v>10</v>
      </c>
      <c r="AA241" s="233">
        <f t="shared" si="121"/>
        <v>10</v>
      </c>
      <c r="AB241" s="233">
        <f t="shared" si="122"/>
        <v>9</v>
      </c>
      <c r="AC241" s="233">
        <f t="shared" si="123"/>
        <v>6</v>
      </c>
      <c r="AD241" s="233">
        <f t="shared" si="124"/>
        <v>11</v>
      </c>
      <c r="AE241" s="232">
        <f t="shared" si="125"/>
        <v>11</v>
      </c>
      <c r="AF241" s="232">
        <f t="shared" si="126"/>
        <v>10</v>
      </c>
      <c r="AG241" s="232">
        <f t="shared" si="127"/>
        <v>26.000000000000004</v>
      </c>
      <c r="AH241" s="233">
        <f t="shared" si="128"/>
        <v>10.999999999999998</v>
      </c>
      <c r="AI241" s="233">
        <f t="shared" si="129"/>
        <v>14</v>
      </c>
      <c r="AJ241" s="233">
        <f t="shared" si="130"/>
        <v>21</v>
      </c>
      <c r="AK241" s="233">
        <f t="shared" si="131"/>
        <v>5</v>
      </c>
      <c r="AL241" s="234">
        <f t="shared" si="132"/>
        <v>12</v>
      </c>
      <c r="AN241" s="234">
        <f t="shared" si="133"/>
        <v>174</v>
      </c>
    </row>
    <row r="242" spans="1:41">
      <c r="A242" s="218" t="str">
        <f>$A$1&amp;"Rolloff"&amp;B242</f>
        <v>PIERCE UTCRolloffHAUL20TEMP-RO</v>
      </c>
      <c r="B242" s="230" t="s">
        <v>545</v>
      </c>
      <c r="C242" s="230" t="s">
        <v>546</v>
      </c>
      <c r="D242" s="230" t="s">
        <v>534</v>
      </c>
      <c r="E242" s="380">
        <v>31001</v>
      </c>
      <c r="F242" s="231">
        <v>165.5</v>
      </c>
      <c r="G242" s="231">
        <v>165.5</v>
      </c>
      <c r="H242" s="231">
        <v>163.94</v>
      </c>
      <c r="I242" s="231">
        <v>164.39</v>
      </c>
      <c r="J242" s="231"/>
      <c r="K242" s="231">
        <v>331</v>
      </c>
      <c r="L242" s="231">
        <v>1324</v>
      </c>
      <c r="M242" s="231">
        <v>1605</v>
      </c>
      <c r="N242" s="231">
        <v>1986</v>
      </c>
      <c r="O242" s="231">
        <v>662</v>
      </c>
      <c r="P242" s="231">
        <v>1311.52</v>
      </c>
      <c r="Q242" s="231">
        <v>1311.52</v>
      </c>
      <c r="R242" s="231">
        <v>1967.28</v>
      </c>
      <c r="S242" s="231">
        <v>2958.57</v>
      </c>
      <c r="T242" s="231">
        <v>4109.75</v>
      </c>
      <c r="U242" s="231">
        <v>1150.73</v>
      </c>
      <c r="V242" s="231">
        <v>986.34</v>
      </c>
      <c r="W242" s="231"/>
      <c r="X242" s="388">
        <f t="shared" si="119"/>
        <v>19703.71</v>
      </c>
      <c r="Y242" s="389"/>
      <c r="Z242" s="233">
        <f t="shared" si="120"/>
        <v>2</v>
      </c>
      <c r="AA242" s="233">
        <f t="shared" si="121"/>
        <v>8</v>
      </c>
      <c r="AB242" s="233">
        <f t="shared" si="122"/>
        <v>9.6978851963746227</v>
      </c>
      <c r="AC242" s="233">
        <f t="shared" si="123"/>
        <v>12</v>
      </c>
      <c r="AD242" s="233">
        <f t="shared" si="124"/>
        <v>4</v>
      </c>
      <c r="AE242" s="232">
        <f t="shared" si="125"/>
        <v>8</v>
      </c>
      <c r="AF242" s="232">
        <f t="shared" si="126"/>
        <v>8</v>
      </c>
      <c r="AG242" s="232">
        <f t="shared" si="127"/>
        <v>12</v>
      </c>
      <c r="AH242" s="233">
        <f t="shared" si="128"/>
        <v>17.997262607214552</v>
      </c>
      <c r="AI242" s="233">
        <f t="shared" si="129"/>
        <v>25.000000000000004</v>
      </c>
      <c r="AJ242" s="233">
        <f t="shared" si="130"/>
        <v>7.0000000000000009</v>
      </c>
      <c r="AK242" s="233">
        <f t="shared" si="131"/>
        <v>6.0000000000000009</v>
      </c>
      <c r="AL242" s="234">
        <f t="shared" si="132"/>
        <v>9.9745956502990989</v>
      </c>
      <c r="AN242" s="234">
        <f t="shared" si="133"/>
        <v>151.9945252144291</v>
      </c>
    </row>
    <row r="243" spans="1:41">
      <c r="A243" s="218" t="str">
        <f>$A$1&amp;"Rolloff"&amp;B243</f>
        <v>PIERCE UTCRolloffHAUL30TEMP-RO</v>
      </c>
      <c r="B243" s="230" t="s">
        <v>547</v>
      </c>
      <c r="C243" s="230" t="s">
        <v>548</v>
      </c>
      <c r="D243" s="230" t="s">
        <v>534</v>
      </c>
      <c r="E243" s="380">
        <v>31001</v>
      </c>
      <c r="F243" s="231">
        <v>172</v>
      </c>
      <c r="G243" s="231">
        <v>172</v>
      </c>
      <c r="H243" s="231">
        <v>170.38</v>
      </c>
      <c r="I243" s="231">
        <v>170.85</v>
      </c>
      <c r="J243" s="231"/>
      <c r="K243" s="231">
        <v>1032</v>
      </c>
      <c r="L243" s="231">
        <v>1376</v>
      </c>
      <c r="M243" s="231">
        <v>1548</v>
      </c>
      <c r="N243" s="231">
        <v>860</v>
      </c>
      <c r="O243" s="231">
        <v>688</v>
      </c>
      <c r="P243" s="231">
        <v>2044.56</v>
      </c>
      <c r="Q243" s="231">
        <v>1192.6600000000001</v>
      </c>
      <c r="R243" s="231">
        <v>2214.94</v>
      </c>
      <c r="S243" s="231">
        <v>2732.66</v>
      </c>
      <c r="T243" s="231">
        <v>1879.35</v>
      </c>
      <c r="U243" s="231">
        <v>1025.0999999999999</v>
      </c>
      <c r="V243" s="231">
        <v>1366.8</v>
      </c>
      <c r="W243" s="231"/>
      <c r="X243" s="388">
        <f t="shared" si="119"/>
        <v>17960.07</v>
      </c>
      <c r="Y243" s="389"/>
      <c r="Z243" s="233">
        <f t="shared" si="120"/>
        <v>6</v>
      </c>
      <c r="AA243" s="233">
        <f t="shared" si="121"/>
        <v>8</v>
      </c>
      <c r="AB243" s="233">
        <f t="shared" si="122"/>
        <v>9</v>
      </c>
      <c r="AC243" s="233">
        <f t="shared" si="123"/>
        <v>5</v>
      </c>
      <c r="AD243" s="233">
        <f t="shared" si="124"/>
        <v>4</v>
      </c>
      <c r="AE243" s="232">
        <f t="shared" si="125"/>
        <v>12</v>
      </c>
      <c r="AF243" s="232">
        <f t="shared" si="126"/>
        <v>7.0000000000000009</v>
      </c>
      <c r="AG243" s="232">
        <f t="shared" si="127"/>
        <v>13</v>
      </c>
      <c r="AH243" s="233">
        <f t="shared" si="128"/>
        <v>15.994498097746561</v>
      </c>
      <c r="AI243" s="233">
        <f t="shared" si="129"/>
        <v>11</v>
      </c>
      <c r="AJ243" s="233">
        <f t="shared" si="130"/>
        <v>6</v>
      </c>
      <c r="AK243" s="233">
        <f t="shared" si="131"/>
        <v>8</v>
      </c>
      <c r="AL243" s="234">
        <f t="shared" si="132"/>
        <v>8.7495415081455459</v>
      </c>
      <c r="AN243" s="234">
        <f t="shared" si="133"/>
        <v>121.98899619549312</v>
      </c>
    </row>
    <row r="244" spans="1:41">
      <c r="A244" s="218" t="str">
        <f>$A$1&amp;"Rolloff"&amp;B244</f>
        <v>PIERCE UTCRolloffHAUL40TEMP-RO</v>
      </c>
      <c r="B244" s="230" t="s">
        <v>549</v>
      </c>
      <c r="C244" s="230" t="s">
        <v>550</v>
      </c>
      <c r="D244" s="230" t="s">
        <v>534</v>
      </c>
      <c r="E244" s="380">
        <v>31001</v>
      </c>
      <c r="F244" s="231">
        <v>178.5</v>
      </c>
      <c r="G244" s="231">
        <v>178.5</v>
      </c>
      <c r="H244" s="231">
        <v>176.81</v>
      </c>
      <c r="I244" s="231">
        <v>177.3</v>
      </c>
      <c r="J244" s="231"/>
      <c r="K244" s="231">
        <v>3927</v>
      </c>
      <c r="L244" s="231">
        <v>892.5</v>
      </c>
      <c r="M244" s="231">
        <v>892.5</v>
      </c>
      <c r="N244" s="231">
        <v>892.5</v>
      </c>
      <c r="O244" s="231">
        <v>535.5</v>
      </c>
      <c r="P244" s="231">
        <v>1591.29</v>
      </c>
      <c r="Q244" s="231">
        <v>2652.15</v>
      </c>
      <c r="R244" s="231">
        <v>1591.29</v>
      </c>
      <c r="S244" s="231">
        <v>1063.8</v>
      </c>
      <c r="T244" s="231">
        <v>3900.6000000000004</v>
      </c>
      <c r="U244" s="231">
        <v>1595.7</v>
      </c>
      <c r="V244" s="231">
        <v>177.3</v>
      </c>
      <c r="W244" s="231"/>
      <c r="X244" s="388">
        <f t="shared" si="119"/>
        <v>19712.129999999997</v>
      </c>
      <c r="Y244" s="389"/>
      <c r="Z244" s="233">
        <f t="shared" si="120"/>
        <v>22</v>
      </c>
      <c r="AA244" s="233">
        <f t="shared" si="121"/>
        <v>5</v>
      </c>
      <c r="AB244" s="233">
        <f t="shared" si="122"/>
        <v>5</v>
      </c>
      <c r="AC244" s="233">
        <f t="shared" si="123"/>
        <v>5</v>
      </c>
      <c r="AD244" s="233">
        <f t="shared" si="124"/>
        <v>3</v>
      </c>
      <c r="AE244" s="232">
        <f t="shared" si="125"/>
        <v>9</v>
      </c>
      <c r="AF244" s="232">
        <f t="shared" si="126"/>
        <v>15</v>
      </c>
      <c r="AG244" s="232">
        <f t="shared" si="127"/>
        <v>9</v>
      </c>
      <c r="AH244" s="233">
        <f t="shared" si="128"/>
        <v>5.9999999999999991</v>
      </c>
      <c r="AI244" s="233">
        <f t="shared" si="129"/>
        <v>22</v>
      </c>
      <c r="AJ244" s="233">
        <f t="shared" si="130"/>
        <v>9</v>
      </c>
      <c r="AK244" s="233">
        <f t="shared" si="131"/>
        <v>1</v>
      </c>
      <c r="AL244" s="234">
        <f t="shared" si="132"/>
        <v>9.25</v>
      </c>
      <c r="AN244" s="234">
        <f t="shared" si="133"/>
        <v>124</v>
      </c>
    </row>
    <row r="245" spans="1:41">
      <c r="A245" s="218" t="str">
        <f>$A$1&amp;"Rolloff"&amp;B245</f>
        <v>PIERCE UTCRolloffRENT10MO-RO</v>
      </c>
      <c r="B245" s="230" t="s">
        <v>713</v>
      </c>
      <c r="C245" s="230" t="s">
        <v>553</v>
      </c>
      <c r="D245" s="230" t="s">
        <v>551</v>
      </c>
      <c r="E245" s="380">
        <v>31002</v>
      </c>
      <c r="F245" s="231">
        <v>50</v>
      </c>
      <c r="G245" s="231">
        <v>50</v>
      </c>
      <c r="H245" s="231">
        <v>50</v>
      </c>
      <c r="I245" s="231">
        <v>50</v>
      </c>
      <c r="J245" s="231"/>
      <c r="K245" s="231">
        <v>50</v>
      </c>
      <c r="L245" s="231">
        <v>50</v>
      </c>
      <c r="M245" s="231">
        <v>50</v>
      </c>
      <c r="N245" s="231">
        <v>50</v>
      </c>
      <c r="O245" s="231">
        <v>50</v>
      </c>
      <c r="P245" s="231">
        <v>50</v>
      </c>
      <c r="Q245" s="231">
        <v>50</v>
      </c>
      <c r="R245" s="231">
        <v>50</v>
      </c>
      <c r="S245" s="231">
        <v>50</v>
      </c>
      <c r="T245" s="231">
        <v>50</v>
      </c>
      <c r="U245" s="231">
        <v>50</v>
      </c>
      <c r="V245" s="231">
        <v>50</v>
      </c>
      <c r="W245" s="231"/>
      <c r="X245" s="388">
        <f t="shared" si="119"/>
        <v>600</v>
      </c>
      <c r="Y245" s="389"/>
      <c r="Z245" s="233">
        <f t="shared" si="120"/>
        <v>1</v>
      </c>
      <c r="AA245" s="233">
        <f t="shared" si="121"/>
        <v>1</v>
      </c>
      <c r="AB245" s="233">
        <f t="shared" si="122"/>
        <v>1</v>
      </c>
      <c r="AC245" s="233">
        <f t="shared" si="123"/>
        <v>1</v>
      </c>
      <c r="AD245" s="233">
        <f t="shared" si="124"/>
        <v>1</v>
      </c>
      <c r="AE245" s="232">
        <f t="shared" si="125"/>
        <v>1</v>
      </c>
      <c r="AF245" s="232">
        <f t="shared" si="126"/>
        <v>1</v>
      </c>
      <c r="AG245" s="232">
        <f t="shared" si="127"/>
        <v>1</v>
      </c>
      <c r="AH245" s="233">
        <f t="shared" si="128"/>
        <v>1</v>
      </c>
      <c r="AI245" s="233">
        <f t="shared" si="129"/>
        <v>1</v>
      </c>
      <c r="AJ245" s="233">
        <f t="shared" si="130"/>
        <v>1</v>
      </c>
      <c r="AK245" s="233">
        <f t="shared" si="131"/>
        <v>1</v>
      </c>
      <c r="AL245" s="234">
        <f t="shared" si="132"/>
        <v>1</v>
      </c>
      <c r="AN245" s="234">
        <f t="shared" si="133"/>
        <v>12</v>
      </c>
    </row>
    <row r="246" spans="1:41">
      <c r="A246" s="218" t="str">
        <f>$A$1&amp;"Rolloff"&amp;B246</f>
        <v>PIERCE UTCRolloffRENT20MO-RO</v>
      </c>
      <c r="B246" s="230" t="s">
        <v>552</v>
      </c>
      <c r="C246" s="230" t="s">
        <v>553</v>
      </c>
      <c r="D246" s="230" t="s">
        <v>551</v>
      </c>
      <c r="E246" s="380">
        <v>31002</v>
      </c>
      <c r="F246" s="231">
        <v>59.5</v>
      </c>
      <c r="G246" s="231">
        <v>59.5</v>
      </c>
      <c r="H246" s="231">
        <v>58.94</v>
      </c>
      <c r="I246" s="231">
        <v>58.94</v>
      </c>
      <c r="J246" s="231"/>
      <c r="K246" s="231">
        <v>3095.92</v>
      </c>
      <c r="L246" s="231">
        <v>3040.26</v>
      </c>
      <c r="M246" s="231">
        <v>1128.4499999999998</v>
      </c>
      <c r="N246" s="231">
        <v>2804.18</v>
      </c>
      <c r="O246" s="231">
        <v>2814.35</v>
      </c>
      <c r="P246" s="231">
        <v>2810.1</v>
      </c>
      <c r="Q246" s="231">
        <v>863.91999999999985</v>
      </c>
      <c r="R246" s="231">
        <v>2920.38</v>
      </c>
      <c r="S246" s="231">
        <v>3028.76</v>
      </c>
      <c r="T246" s="231">
        <v>3237.78</v>
      </c>
      <c r="U246" s="231">
        <v>3253.12</v>
      </c>
      <c r="V246" s="231">
        <v>3477.47</v>
      </c>
      <c r="W246" s="231"/>
      <c r="X246" s="388">
        <f t="shared" si="119"/>
        <v>32474.69</v>
      </c>
      <c r="Y246" s="389"/>
      <c r="Z246" s="233">
        <f t="shared" si="120"/>
        <v>52.032268907563029</v>
      </c>
      <c r="AA246" s="233">
        <f t="shared" si="121"/>
        <v>51.096806722689081</v>
      </c>
      <c r="AB246" s="233">
        <f t="shared" si="122"/>
        <v>18.965546218487393</v>
      </c>
      <c r="AC246" s="233">
        <f t="shared" si="123"/>
        <v>47.129075630252096</v>
      </c>
      <c r="AD246" s="233">
        <f t="shared" si="124"/>
        <v>47.3</v>
      </c>
      <c r="AE246" s="232">
        <f t="shared" si="125"/>
        <v>47.677298948082793</v>
      </c>
      <c r="AF246" s="232">
        <f t="shared" si="126"/>
        <v>14.657617916525277</v>
      </c>
      <c r="AG246" s="232">
        <f t="shared" si="127"/>
        <v>49.54835425856804</v>
      </c>
      <c r="AH246" s="233">
        <f t="shared" si="128"/>
        <v>51.387173396674591</v>
      </c>
      <c r="AI246" s="233">
        <f t="shared" si="129"/>
        <v>54.933491686460812</v>
      </c>
      <c r="AJ246" s="233">
        <f t="shared" si="130"/>
        <v>55.193756362402446</v>
      </c>
      <c r="AK246" s="233">
        <f t="shared" si="131"/>
        <v>59.000169664065147</v>
      </c>
      <c r="AL246" s="234">
        <f t="shared" si="132"/>
        <v>45.74346330931423</v>
      </c>
      <c r="AN246" s="234">
        <f t="shared" si="133"/>
        <v>569.44112656939262</v>
      </c>
    </row>
    <row r="247" spans="1:41">
      <c r="A247" s="218" t="str">
        <f>$A$1&amp;"Rolloff"&amp;B247</f>
        <v>PIERCE UTCRolloffRENT30MO-RO</v>
      </c>
      <c r="B247" s="230" t="s">
        <v>554</v>
      </c>
      <c r="C247" s="230" t="s">
        <v>555</v>
      </c>
      <c r="D247" s="230" t="s">
        <v>551</v>
      </c>
      <c r="E247" s="380">
        <v>31002</v>
      </c>
      <c r="F247" s="231">
        <v>59.5</v>
      </c>
      <c r="G247" s="231">
        <v>59.5</v>
      </c>
      <c r="H247" s="231">
        <v>58.94</v>
      </c>
      <c r="I247" s="231">
        <v>58.94</v>
      </c>
      <c r="J247" s="231"/>
      <c r="K247" s="231">
        <v>2357.8000000000002</v>
      </c>
      <c r="L247" s="231">
        <v>2299.39</v>
      </c>
      <c r="M247" s="231">
        <v>2142</v>
      </c>
      <c r="N247" s="231">
        <v>2226.4499999999998</v>
      </c>
      <c r="O247" s="231">
        <v>2292.73</v>
      </c>
      <c r="P247" s="231">
        <v>2205.5</v>
      </c>
      <c r="Q247" s="231">
        <v>2196.5</v>
      </c>
      <c r="R247" s="231">
        <v>2272.04</v>
      </c>
      <c r="S247" s="231">
        <v>2264.44</v>
      </c>
      <c r="T247" s="231">
        <v>2318.31</v>
      </c>
      <c r="U247" s="231">
        <v>2361.41</v>
      </c>
      <c r="V247" s="231">
        <v>2416.54</v>
      </c>
      <c r="W247" s="231"/>
      <c r="X247" s="388">
        <f t="shared" si="119"/>
        <v>27353.11</v>
      </c>
      <c r="Y247" s="389"/>
      <c r="Z247" s="233">
        <f t="shared" si="120"/>
        <v>39.626890756302522</v>
      </c>
      <c r="AA247" s="233">
        <f t="shared" si="121"/>
        <v>38.645210084033614</v>
      </c>
      <c r="AB247" s="233">
        <f t="shared" si="122"/>
        <v>36</v>
      </c>
      <c r="AC247" s="233">
        <f t="shared" si="123"/>
        <v>37.419327731092437</v>
      </c>
      <c r="AD247" s="233">
        <f t="shared" si="124"/>
        <v>38.533277310924369</v>
      </c>
      <c r="AE247" s="232">
        <f t="shared" si="125"/>
        <v>37.419409569053279</v>
      </c>
      <c r="AF247" s="232">
        <f t="shared" si="126"/>
        <v>37.266711910417378</v>
      </c>
      <c r="AG247" s="232">
        <f t="shared" si="127"/>
        <v>38.54835425856804</v>
      </c>
      <c r="AH247" s="233">
        <f t="shared" si="128"/>
        <v>38.419409569053279</v>
      </c>
      <c r="AI247" s="233">
        <f t="shared" si="129"/>
        <v>39.333389888021721</v>
      </c>
      <c r="AJ247" s="233">
        <f t="shared" si="130"/>
        <v>40.064642008822531</v>
      </c>
      <c r="AK247" s="233">
        <f t="shared" si="131"/>
        <v>41</v>
      </c>
      <c r="AL247" s="234">
        <f t="shared" si="132"/>
        <v>38.52305192385743</v>
      </c>
      <c r="AN247" s="234">
        <f t="shared" si="133"/>
        <v>469.26501526976585</v>
      </c>
    </row>
    <row r="248" spans="1:41">
      <c r="A248" s="218" t="str">
        <f>$A$1&amp;"Rolloff"&amp;B248</f>
        <v>PIERCE UTCRolloffRENT40MO-RO</v>
      </c>
      <c r="B248" s="230" t="s">
        <v>556</v>
      </c>
      <c r="C248" s="230" t="s">
        <v>557</v>
      </c>
      <c r="D248" s="230" t="s">
        <v>551</v>
      </c>
      <c r="E248" s="380">
        <v>31002</v>
      </c>
      <c r="F248" s="231">
        <v>59.5</v>
      </c>
      <c r="G248" s="231">
        <v>59.5</v>
      </c>
      <c r="H248" s="231">
        <v>58.94</v>
      </c>
      <c r="I248" s="231">
        <v>58.94</v>
      </c>
      <c r="J248" s="231"/>
      <c r="K248" s="231">
        <v>1961.58</v>
      </c>
      <c r="L248" s="231">
        <v>2009.57</v>
      </c>
      <c r="M248" s="231">
        <v>2098.92</v>
      </c>
      <c r="N248" s="231">
        <v>2201.5</v>
      </c>
      <c r="O248" s="231">
        <v>2067.14</v>
      </c>
      <c r="P248" s="231">
        <v>2146.56</v>
      </c>
      <c r="Q248" s="231">
        <v>2078.62</v>
      </c>
      <c r="R248" s="231">
        <v>1996.36</v>
      </c>
      <c r="S248" s="231">
        <v>2102.83</v>
      </c>
      <c r="T248" s="231">
        <v>2062.9</v>
      </c>
      <c r="U248" s="231">
        <v>2118.0500000000002</v>
      </c>
      <c r="V248" s="231">
        <v>2235.79</v>
      </c>
      <c r="W248" s="231"/>
      <c r="X248" s="388">
        <f t="shared" si="119"/>
        <v>25079.820000000003</v>
      </c>
      <c r="Y248" s="389"/>
      <c r="Z248" s="233">
        <f t="shared" si="120"/>
        <v>32.967731092436971</v>
      </c>
      <c r="AA248" s="233">
        <f t="shared" si="121"/>
        <v>33.77428571428571</v>
      </c>
      <c r="AB248" s="233">
        <f t="shared" si="122"/>
        <v>35.275966386554622</v>
      </c>
      <c r="AC248" s="233">
        <f t="shared" si="123"/>
        <v>37</v>
      </c>
      <c r="AD248" s="233">
        <f t="shared" si="124"/>
        <v>34.741848739495794</v>
      </c>
      <c r="AE248" s="232">
        <f t="shared" si="125"/>
        <v>36.419409569053272</v>
      </c>
      <c r="AF248" s="232">
        <f t="shared" si="126"/>
        <v>35.266711910417371</v>
      </c>
      <c r="AG248" s="232">
        <f t="shared" si="127"/>
        <v>33.871055310485239</v>
      </c>
      <c r="AH248" s="233">
        <f t="shared" si="128"/>
        <v>35.677468612147948</v>
      </c>
      <c r="AI248" s="233">
        <f t="shared" si="129"/>
        <v>35</v>
      </c>
      <c r="AJ248" s="233">
        <f t="shared" si="130"/>
        <v>35.935697319307778</v>
      </c>
      <c r="AK248" s="233">
        <f t="shared" si="131"/>
        <v>37.933322022395657</v>
      </c>
      <c r="AL248" s="234">
        <f t="shared" si="132"/>
        <v>35.321958056381696</v>
      </c>
      <c r="AN248" s="234">
        <f t="shared" si="133"/>
        <v>427.36851034950803</v>
      </c>
    </row>
    <row r="249" spans="1:41">
      <c r="A249" s="218" t="str">
        <f>$A$1&amp;"Rolloff"&amp;B249</f>
        <v>PIERCE UTCRolloffRENT20TEMP-RO</v>
      </c>
      <c r="B249" s="230" t="s">
        <v>558</v>
      </c>
      <c r="C249" s="230" t="s">
        <v>559</v>
      </c>
      <c r="D249" s="230" t="s">
        <v>551</v>
      </c>
      <c r="E249" s="380">
        <v>31002</v>
      </c>
      <c r="F249" s="231">
        <v>5.15</v>
      </c>
      <c r="G249" s="231">
        <v>5.15</v>
      </c>
      <c r="H249" s="231">
        <v>5.0999999999999996</v>
      </c>
      <c r="I249" s="231">
        <v>5.0999999999999996</v>
      </c>
      <c r="J249" s="231"/>
      <c r="K249" s="231">
        <v>1533.2</v>
      </c>
      <c r="L249" s="231">
        <v>1382.36</v>
      </c>
      <c r="M249" s="231">
        <v>1720.1000000000001</v>
      </c>
      <c r="N249" s="231">
        <v>2255.6999999999998</v>
      </c>
      <c r="O249" s="231">
        <v>1895.2</v>
      </c>
      <c r="P249" s="231">
        <v>2141.25</v>
      </c>
      <c r="Q249" s="231">
        <v>2397</v>
      </c>
      <c r="R249" s="231">
        <v>2932.5</v>
      </c>
      <c r="S249" s="231">
        <v>4692.0000000000009</v>
      </c>
      <c r="T249" s="231">
        <v>4477.7999999999993</v>
      </c>
      <c r="U249" s="231">
        <v>2845.8</v>
      </c>
      <c r="V249" s="231">
        <v>2626.5</v>
      </c>
      <c r="W249" s="231"/>
      <c r="X249" s="388">
        <f t="shared" si="119"/>
        <v>30899.41</v>
      </c>
      <c r="Y249" s="389"/>
      <c r="Z249" s="233">
        <f t="shared" si="120"/>
        <v>297.70873786407765</v>
      </c>
      <c r="AA249" s="233">
        <f t="shared" si="121"/>
        <v>268.4194174757281</v>
      </c>
      <c r="AB249" s="233">
        <f t="shared" si="122"/>
        <v>334</v>
      </c>
      <c r="AC249" s="233">
        <f t="shared" si="123"/>
        <v>437.99999999999994</v>
      </c>
      <c r="AD249" s="233">
        <f t="shared" si="124"/>
        <v>368</v>
      </c>
      <c r="AE249" s="232">
        <f t="shared" si="125"/>
        <v>419.85294117647061</v>
      </c>
      <c r="AF249" s="232">
        <f t="shared" si="126"/>
        <v>470.00000000000006</v>
      </c>
      <c r="AG249" s="232">
        <f t="shared" si="127"/>
        <v>575</v>
      </c>
      <c r="AH249" s="233">
        <f t="shared" si="128"/>
        <v>920.00000000000023</v>
      </c>
      <c r="AI249" s="233">
        <f t="shared" si="129"/>
        <v>877.99999999999989</v>
      </c>
      <c r="AJ249" s="233">
        <f t="shared" si="130"/>
        <v>558.00000000000011</v>
      </c>
      <c r="AK249" s="233">
        <f t="shared" si="131"/>
        <v>515</v>
      </c>
      <c r="AL249" s="234">
        <f t="shared" si="132"/>
        <v>503.49842470968974</v>
      </c>
      <c r="AM249" s="243">
        <f>AL249/30</f>
        <v>16.783280823656323</v>
      </c>
      <c r="AN249" s="234">
        <f t="shared" si="133"/>
        <v>7832</v>
      </c>
      <c r="AO249" s="243"/>
    </row>
    <row r="250" spans="1:41">
      <c r="A250" s="218" t="str">
        <f>$A$1&amp;"Rolloff"&amp;B250</f>
        <v>PIERCE UTCRolloffRENT30TEMP-RO</v>
      </c>
      <c r="B250" s="230" t="s">
        <v>560</v>
      </c>
      <c r="C250" s="230" t="s">
        <v>561</v>
      </c>
      <c r="D250" s="230" t="s">
        <v>551</v>
      </c>
      <c r="E250" s="380">
        <v>31002</v>
      </c>
      <c r="F250" s="231">
        <v>6.1</v>
      </c>
      <c r="G250" s="231">
        <v>6.1</v>
      </c>
      <c r="H250" s="231">
        <v>6.04</v>
      </c>
      <c r="I250" s="231">
        <v>6.04</v>
      </c>
      <c r="J250" s="231"/>
      <c r="K250" s="231">
        <v>1152.9000000000001</v>
      </c>
      <c r="L250" s="231">
        <v>1171.1999999999998</v>
      </c>
      <c r="M250" s="231">
        <v>2128.9</v>
      </c>
      <c r="N250" s="231">
        <v>1525</v>
      </c>
      <c r="O250" s="231">
        <v>1799.5</v>
      </c>
      <c r="P250" s="231">
        <v>3571.2599999999998</v>
      </c>
      <c r="Q250" s="231">
        <v>3315.96</v>
      </c>
      <c r="R250" s="231">
        <v>2277.08</v>
      </c>
      <c r="S250" s="231">
        <v>1576.44</v>
      </c>
      <c r="T250" s="231">
        <v>1558.32</v>
      </c>
      <c r="U250" s="231">
        <v>2114</v>
      </c>
      <c r="V250" s="231">
        <v>1697.24</v>
      </c>
      <c r="W250" s="231"/>
      <c r="X250" s="388">
        <f t="shared" si="119"/>
        <v>23887.800000000003</v>
      </c>
      <c r="Y250" s="389"/>
      <c r="Z250" s="233">
        <f t="shared" si="120"/>
        <v>189.00000000000003</v>
      </c>
      <c r="AA250" s="233">
        <f t="shared" si="121"/>
        <v>191.99999999999997</v>
      </c>
      <c r="AB250" s="233">
        <f t="shared" si="122"/>
        <v>349.00000000000006</v>
      </c>
      <c r="AC250" s="233">
        <f t="shared" si="123"/>
        <v>250.00000000000003</v>
      </c>
      <c r="AD250" s="233">
        <f t="shared" si="124"/>
        <v>295</v>
      </c>
      <c r="AE250" s="232">
        <f t="shared" si="125"/>
        <v>591.26821192052978</v>
      </c>
      <c r="AF250" s="232">
        <f t="shared" si="126"/>
        <v>549</v>
      </c>
      <c r="AG250" s="232">
        <f t="shared" si="127"/>
        <v>377</v>
      </c>
      <c r="AH250" s="233">
        <f t="shared" si="128"/>
        <v>261</v>
      </c>
      <c r="AI250" s="233">
        <f t="shared" si="129"/>
        <v>258</v>
      </c>
      <c r="AJ250" s="233">
        <f t="shared" si="130"/>
        <v>350</v>
      </c>
      <c r="AK250" s="233">
        <f t="shared" si="131"/>
        <v>281</v>
      </c>
      <c r="AL250" s="234">
        <f t="shared" si="132"/>
        <v>328.52235099337747</v>
      </c>
      <c r="AM250" s="243">
        <f>AL250/30</f>
        <v>10.950745033112582</v>
      </c>
      <c r="AN250" s="234">
        <f t="shared" si="133"/>
        <v>4152</v>
      </c>
      <c r="AO250" s="243"/>
    </row>
    <row r="251" spans="1:41">
      <c r="A251" s="218" t="str">
        <f>$A$1&amp;"Rolloff"&amp;B251</f>
        <v>PIERCE UTCRolloffRENT40TEMP-RO</v>
      </c>
      <c r="B251" s="230" t="s">
        <v>562</v>
      </c>
      <c r="C251" s="230" t="s">
        <v>563</v>
      </c>
      <c r="D251" s="230" t="s">
        <v>551</v>
      </c>
      <c r="E251" s="380">
        <v>31002</v>
      </c>
      <c r="F251" s="231">
        <v>7.15</v>
      </c>
      <c r="G251" s="231">
        <v>7.15</v>
      </c>
      <c r="H251" s="231">
        <v>7.08</v>
      </c>
      <c r="I251" s="231">
        <v>7.08</v>
      </c>
      <c r="J251" s="231"/>
      <c r="K251" s="231">
        <v>1801.8</v>
      </c>
      <c r="L251" s="231">
        <v>1766.05</v>
      </c>
      <c r="M251" s="231">
        <v>1408.55</v>
      </c>
      <c r="N251" s="231">
        <v>1015.3000000000001</v>
      </c>
      <c r="O251" s="231">
        <v>1208.3499999999999</v>
      </c>
      <c r="P251" s="231">
        <v>1515.12</v>
      </c>
      <c r="Q251" s="231">
        <v>2478</v>
      </c>
      <c r="R251" s="231">
        <v>2322.2399999999998</v>
      </c>
      <c r="S251" s="231">
        <v>2315.16</v>
      </c>
      <c r="T251" s="231">
        <v>3009</v>
      </c>
      <c r="U251" s="231">
        <v>2378.8799999999997</v>
      </c>
      <c r="V251" s="231">
        <v>1239</v>
      </c>
      <c r="W251" s="231"/>
      <c r="X251" s="388">
        <f t="shared" si="119"/>
        <v>22457.45</v>
      </c>
      <c r="Y251" s="389"/>
      <c r="Z251" s="233">
        <f t="shared" si="120"/>
        <v>251.99999999999997</v>
      </c>
      <c r="AA251" s="233">
        <f t="shared" si="121"/>
        <v>246.99999999999997</v>
      </c>
      <c r="AB251" s="233">
        <f t="shared" si="122"/>
        <v>196.99999999999997</v>
      </c>
      <c r="AC251" s="233">
        <f t="shared" si="123"/>
        <v>142</v>
      </c>
      <c r="AD251" s="233">
        <f t="shared" si="124"/>
        <v>168.99999999999997</v>
      </c>
      <c r="AE251" s="232">
        <f t="shared" si="125"/>
        <v>213.99999999999997</v>
      </c>
      <c r="AF251" s="232">
        <f t="shared" si="126"/>
        <v>350</v>
      </c>
      <c r="AG251" s="232">
        <f t="shared" si="127"/>
        <v>327.99999999999994</v>
      </c>
      <c r="AH251" s="233">
        <f t="shared" si="128"/>
        <v>327</v>
      </c>
      <c r="AI251" s="233">
        <f t="shared" si="129"/>
        <v>425</v>
      </c>
      <c r="AJ251" s="233">
        <f t="shared" si="130"/>
        <v>335.99999999999994</v>
      </c>
      <c r="AK251" s="233">
        <f t="shared" si="131"/>
        <v>175</v>
      </c>
      <c r="AL251" s="234">
        <f t="shared" si="132"/>
        <v>263.5</v>
      </c>
      <c r="AM251" s="243">
        <f>AL251/30</f>
        <v>8.7833333333333332</v>
      </c>
      <c r="AN251" s="234">
        <f t="shared" si="133"/>
        <v>3882</v>
      </c>
      <c r="AO251" s="243"/>
    </row>
    <row r="252" spans="1:41">
      <c r="A252" s="218" t="str">
        <f>$A$1&amp;"Rolloff"&amp;B252</f>
        <v>PIERCE UTCRolloffDISCO-CP</v>
      </c>
      <c r="B252" s="230" t="s">
        <v>570</v>
      </c>
      <c r="C252" s="230" t="s">
        <v>563</v>
      </c>
      <c r="D252" s="230" t="s">
        <v>551</v>
      </c>
      <c r="E252" s="380">
        <v>31002</v>
      </c>
      <c r="F252" s="231">
        <v>10.5</v>
      </c>
      <c r="G252" s="231">
        <v>10.5</v>
      </c>
      <c r="H252" s="231">
        <v>10.4</v>
      </c>
      <c r="I252" s="231">
        <v>10.43</v>
      </c>
      <c r="J252" s="231"/>
      <c r="K252" s="231">
        <v>1785</v>
      </c>
      <c r="L252" s="231">
        <v>1848</v>
      </c>
      <c r="M252" s="231">
        <v>1648.5</v>
      </c>
      <c r="N252" s="231">
        <v>1837.5</v>
      </c>
      <c r="O252" s="231">
        <v>1533</v>
      </c>
      <c r="P252" s="231">
        <v>1446.2</v>
      </c>
      <c r="Q252" s="231">
        <v>1684.8</v>
      </c>
      <c r="R252" s="231">
        <v>1747.2</v>
      </c>
      <c r="S252" s="231">
        <v>1480.91</v>
      </c>
      <c r="T252" s="231">
        <v>1585.36</v>
      </c>
      <c r="U252" s="231">
        <v>1720.95</v>
      </c>
      <c r="V252" s="231">
        <v>1627.08</v>
      </c>
      <c r="W252" s="231"/>
      <c r="X252" s="388">
        <f t="shared" si="119"/>
        <v>19944.5</v>
      </c>
      <c r="Y252" s="389"/>
      <c r="Z252" s="233">
        <f t="shared" si="120"/>
        <v>170</v>
      </c>
      <c r="AA252" s="233">
        <f t="shared" si="121"/>
        <v>176</v>
      </c>
      <c r="AB252" s="233">
        <f t="shared" si="122"/>
        <v>157</v>
      </c>
      <c r="AC252" s="233">
        <f t="shared" si="123"/>
        <v>175</v>
      </c>
      <c r="AD252" s="233">
        <f t="shared" si="124"/>
        <v>146</v>
      </c>
      <c r="AE252" s="232">
        <f t="shared" si="125"/>
        <v>139.05769230769232</v>
      </c>
      <c r="AF252" s="232">
        <f t="shared" si="126"/>
        <v>162</v>
      </c>
      <c r="AG252" s="232">
        <f t="shared" si="127"/>
        <v>168</v>
      </c>
      <c r="AH252" s="233">
        <f t="shared" si="128"/>
        <v>141.9856184084372</v>
      </c>
      <c r="AI252" s="233">
        <f t="shared" si="129"/>
        <v>152</v>
      </c>
      <c r="AJ252" s="233">
        <f t="shared" si="130"/>
        <v>165</v>
      </c>
      <c r="AK252" s="233">
        <f t="shared" si="131"/>
        <v>156</v>
      </c>
      <c r="AL252" s="234">
        <f t="shared" si="132"/>
        <v>159.00360922634414</v>
      </c>
      <c r="AM252" s="243">
        <f>AL252/30</f>
        <v>5.3001203075448045</v>
      </c>
      <c r="AN252" s="234">
        <f t="shared" si="133"/>
        <v>1889.9712368168744</v>
      </c>
      <c r="AO252" s="243"/>
    </row>
    <row r="253" spans="1:41">
      <c r="A253" s="218" t="str">
        <f>$A$1&amp;"Rolloff"&amp;B253</f>
        <v>PIERCE UTCRolloffCLEAN20-RO</v>
      </c>
      <c r="B253" s="230" t="s">
        <v>564</v>
      </c>
      <c r="C253" s="230" t="s">
        <v>565</v>
      </c>
      <c r="D253" s="230" t="s">
        <v>508</v>
      </c>
      <c r="E253" s="380">
        <v>31000</v>
      </c>
      <c r="F253" s="231">
        <v>95</v>
      </c>
      <c r="G253" s="231">
        <v>95</v>
      </c>
      <c r="H253" s="231">
        <v>94.2</v>
      </c>
      <c r="I253" s="231">
        <v>94.4</v>
      </c>
      <c r="J253" s="231"/>
      <c r="K253" s="231">
        <v>95</v>
      </c>
      <c r="L253" s="231">
        <v>95</v>
      </c>
      <c r="M253" s="231">
        <v>0</v>
      </c>
      <c r="N253" s="231">
        <v>0</v>
      </c>
      <c r="O253" s="231">
        <v>0</v>
      </c>
      <c r="P253" s="231">
        <v>0</v>
      </c>
      <c r="Q253" s="231">
        <v>0</v>
      </c>
      <c r="R253" s="231">
        <v>94.2</v>
      </c>
      <c r="S253" s="231">
        <v>0</v>
      </c>
      <c r="T253" s="231">
        <v>94.4</v>
      </c>
      <c r="U253" s="231">
        <v>0</v>
      </c>
      <c r="V253" s="231">
        <v>0</v>
      </c>
      <c r="W253" s="231"/>
      <c r="X253" s="388">
        <f t="shared" si="119"/>
        <v>378.6</v>
      </c>
      <c r="Y253" s="389"/>
      <c r="Z253" s="233">
        <f t="shared" si="120"/>
        <v>1</v>
      </c>
      <c r="AA253" s="233">
        <f t="shared" si="121"/>
        <v>1</v>
      </c>
      <c r="AB253" s="233">
        <f t="shared" si="122"/>
        <v>0</v>
      </c>
      <c r="AC253" s="233">
        <f t="shared" si="123"/>
        <v>0</v>
      </c>
      <c r="AD253" s="233">
        <f t="shared" si="124"/>
        <v>0</v>
      </c>
      <c r="AE253" s="232">
        <f t="shared" si="125"/>
        <v>0</v>
      </c>
      <c r="AF253" s="232">
        <f t="shared" si="126"/>
        <v>0</v>
      </c>
      <c r="AG253" s="232">
        <f t="shared" si="127"/>
        <v>1</v>
      </c>
      <c r="AH253" s="233">
        <f t="shared" si="128"/>
        <v>0</v>
      </c>
      <c r="AI253" s="233">
        <f t="shared" si="129"/>
        <v>1</v>
      </c>
      <c r="AJ253" s="233">
        <f t="shared" si="130"/>
        <v>0</v>
      </c>
      <c r="AK253" s="233">
        <f t="shared" si="131"/>
        <v>0</v>
      </c>
      <c r="AL253" s="234">
        <f t="shared" si="132"/>
        <v>0.33333333333333331</v>
      </c>
      <c r="AN253" s="234">
        <f t="shared" si="133"/>
        <v>4</v>
      </c>
    </row>
    <row r="254" spans="1:41">
      <c r="A254" s="218" t="str">
        <f>$A$1&amp;"Rolloff"&amp;B254</f>
        <v>PIERCE UTCRolloffCLEAN25-RO</v>
      </c>
      <c r="B254" s="230" t="s">
        <v>566</v>
      </c>
      <c r="C254" s="230" t="s">
        <v>567</v>
      </c>
      <c r="D254" s="230" t="s">
        <v>508</v>
      </c>
      <c r="E254" s="380">
        <v>31000</v>
      </c>
      <c r="F254" s="231">
        <v>118.75</v>
      </c>
      <c r="G254" s="231">
        <v>118.75</v>
      </c>
      <c r="H254" s="231">
        <v>117.75</v>
      </c>
      <c r="I254" s="231">
        <v>118</v>
      </c>
      <c r="J254" s="231"/>
      <c r="K254" s="231">
        <v>0</v>
      </c>
      <c r="L254" s="231">
        <v>0</v>
      </c>
      <c r="M254" s="231">
        <v>0</v>
      </c>
      <c r="N254" s="231">
        <v>0</v>
      </c>
      <c r="O254" s="231">
        <v>0</v>
      </c>
      <c r="P254" s="231">
        <v>0</v>
      </c>
      <c r="Q254" s="231">
        <v>0</v>
      </c>
      <c r="R254" s="231">
        <v>0</v>
      </c>
      <c r="S254" s="231">
        <v>0</v>
      </c>
      <c r="T254" s="231">
        <v>0</v>
      </c>
      <c r="U254" s="231">
        <v>0</v>
      </c>
      <c r="V254" s="231">
        <v>0</v>
      </c>
      <c r="W254" s="231"/>
      <c r="X254" s="388">
        <f t="shared" si="119"/>
        <v>0</v>
      </c>
      <c r="Y254" s="389"/>
      <c r="Z254" s="233">
        <f t="shared" si="120"/>
        <v>0</v>
      </c>
      <c r="AA254" s="233">
        <f t="shared" si="121"/>
        <v>0</v>
      </c>
      <c r="AB254" s="233">
        <f t="shared" si="122"/>
        <v>0</v>
      </c>
      <c r="AC254" s="233">
        <f t="shared" si="123"/>
        <v>0</v>
      </c>
      <c r="AD254" s="233">
        <f t="shared" si="124"/>
        <v>0</v>
      </c>
      <c r="AE254" s="232">
        <f t="shared" si="125"/>
        <v>0</v>
      </c>
      <c r="AF254" s="232">
        <f t="shared" si="126"/>
        <v>0</v>
      </c>
      <c r="AG254" s="232">
        <f t="shared" si="127"/>
        <v>0</v>
      </c>
      <c r="AH254" s="233">
        <f t="shared" si="128"/>
        <v>0</v>
      </c>
      <c r="AI254" s="233">
        <f t="shared" si="129"/>
        <v>0</v>
      </c>
      <c r="AJ254" s="233">
        <f t="shared" si="130"/>
        <v>0</v>
      </c>
      <c r="AK254" s="233">
        <f t="shared" si="131"/>
        <v>0</v>
      </c>
      <c r="AL254" s="234">
        <f t="shared" si="132"/>
        <v>0</v>
      </c>
      <c r="AN254" s="234">
        <f t="shared" si="133"/>
        <v>0</v>
      </c>
    </row>
    <row r="255" spans="1:41">
      <c r="A255" s="218" t="str">
        <f>$A$1&amp;"Rolloff"&amp;B255</f>
        <v>PIERCE UTCRolloffCLEAN30-RO</v>
      </c>
      <c r="B255" s="230" t="s">
        <v>568</v>
      </c>
      <c r="C255" s="230" t="s">
        <v>569</v>
      </c>
      <c r="D255" s="230" t="s">
        <v>508</v>
      </c>
      <c r="E255" s="380">
        <v>31000</v>
      </c>
      <c r="F255" s="231">
        <v>142.5</v>
      </c>
      <c r="G255" s="231">
        <v>142.5</v>
      </c>
      <c r="H255" s="231">
        <v>141.30000000000001</v>
      </c>
      <c r="I255" s="231">
        <v>141.6</v>
      </c>
      <c r="J255" s="231"/>
      <c r="K255" s="231">
        <v>142.5</v>
      </c>
      <c r="L255" s="231">
        <v>0</v>
      </c>
      <c r="M255" s="231">
        <v>142.5</v>
      </c>
      <c r="N255" s="231">
        <v>0</v>
      </c>
      <c r="O255" s="231">
        <v>0</v>
      </c>
      <c r="P255" s="231">
        <v>0</v>
      </c>
      <c r="Q255" s="231">
        <v>282.60000000000002</v>
      </c>
      <c r="R255" s="231">
        <v>0</v>
      </c>
      <c r="S255" s="231">
        <v>0</v>
      </c>
      <c r="T255" s="231">
        <v>141.6</v>
      </c>
      <c r="U255" s="231">
        <v>0</v>
      </c>
      <c r="V255" s="231">
        <v>141.6</v>
      </c>
      <c r="W255" s="231"/>
      <c r="X255" s="388">
        <f t="shared" si="119"/>
        <v>850.80000000000007</v>
      </c>
      <c r="Y255" s="389"/>
      <c r="Z255" s="233">
        <f t="shared" si="120"/>
        <v>1</v>
      </c>
      <c r="AA255" s="233">
        <f t="shared" si="121"/>
        <v>0</v>
      </c>
      <c r="AB255" s="233">
        <f t="shared" si="122"/>
        <v>1</v>
      </c>
      <c r="AC255" s="233">
        <f t="shared" si="123"/>
        <v>0</v>
      </c>
      <c r="AD255" s="233">
        <f t="shared" si="124"/>
        <v>0</v>
      </c>
      <c r="AE255" s="232">
        <f t="shared" si="125"/>
        <v>0</v>
      </c>
      <c r="AF255" s="232">
        <f t="shared" si="126"/>
        <v>2</v>
      </c>
      <c r="AG255" s="232">
        <f t="shared" si="127"/>
        <v>0</v>
      </c>
      <c r="AH255" s="233">
        <f t="shared" si="128"/>
        <v>0</v>
      </c>
      <c r="AI255" s="233">
        <f t="shared" si="129"/>
        <v>1</v>
      </c>
      <c r="AJ255" s="233">
        <f t="shared" si="130"/>
        <v>0</v>
      </c>
      <c r="AK255" s="233">
        <f t="shared" si="131"/>
        <v>1</v>
      </c>
      <c r="AL255" s="234">
        <f t="shared" si="132"/>
        <v>0.5</v>
      </c>
      <c r="AN255" s="234">
        <f t="shared" si="133"/>
        <v>8</v>
      </c>
    </row>
    <row r="256" spans="1:41">
      <c r="A256" s="218" t="str">
        <f>$A$1&amp;"Rolloff"&amp;B256</f>
        <v>PIERCE UTCRolloffCLEAN40-RO</v>
      </c>
      <c r="B256" s="230" t="s">
        <v>714</v>
      </c>
      <c r="C256" s="230" t="s">
        <v>569</v>
      </c>
      <c r="D256" s="230" t="s">
        <v>508</v>
      </c>
      <c r="E256" s="380">
        <v>31000</v>
      </c>
      <c r="F256" s="231">
        <v>190</v>
      </c>
      <c r="G256" s="231">
        <v>190</v>
      </c>
      <c r="H256" s="231">
        <v>188.4</v>
      </c>
      <c r="I256" s="231">
        <v>188.8</v>
      </c>
      <c r="J256" s="231"/>
      <c r="K256" s="231">
        <v>0</v>
      </c>
      <c r="L256" s="231">
        <v>0</v>
      </c>
      <c r="M256" s="231">
        <v>0</v>
      </c>
      <c r="N256" s="231">
        <v>0</v>
      </c>
      <c r="O256" s="231">
        <v>0</v>
      </c>
      <c r="P256" s="231">
        <v>0</v>
      </c>
      <c r="Q256" s="231">
        <v>0</v>
      </c>
      <c r="R256" s="231">
        <v>0</v>
      </c>
      <c r="S256" s="231">
        <v>0</v>
      </c>
      <c r="T256" s="231">
        <v>0</v>
      </c>
      <c r="U256" s="231">
        <v>0</v>
      </c>
      <c r="V256" s="231">
        <v>0</v>
      </c>
      <c r="W256" s="231"/>
      <c r="X256" s="388">
        <f t="shared" si="119"/>
        <v>0</v>
      </c>
      <c r="Y256" s="389"/>
      <c r="Z256" s="233">
        <f t="shared" si="120"/>
        <v>0</v>
      </c>
      <c r="AA256" s="233">
        <f t="shared" si="121"/>
        <v>0</v>
      </c>
      <c r="AB256" s="233">
        <f t="shared" si="122"/>
        <v>0</v>
      </c>
      <c r="AC256" s="233">
        <f t="shared" si="123"/>
        <v>0</v>
      </c>
      <c r="AD256" s="233">
        <f t="shared" si="124"/>
        <v>0</v>
      </c>
      <c r="AE256" s="232">
        <f t="shared" si="125"/>
        <v>0</v>
      </c>
      <c r="AF256" s="232">
        <f t="shared" si="126"/>
        <v>0</v>
      </c>
      <c r="AG256" s="232">
        <f t="shared" si="127"/>
        <v>0</v>
      </c>
      <c r="AH256" s="233">
        <f t="shared" si="128"/>
        <v>0</v>
      </c>
      <c r="AI256" s="233">
        <f t="shared" si="129"/>
        <v>0</v>
      </c>
      <c r="AJ256" s="233">
        <f t="shared" si="130"/>
        <v>0</v>
      </c>
      <c r="AK256" s="233">
        <f t="shared" si="131"/>
        <v>0</v>
      </c>
      <c r="AL256" s="234">
        <f t="shared" si="132"/>
        <v>0</v>
      </c>
      <c r="AN256" s="234">
        <f t="shared" si="133"/>
        <v>0</v>
      </c>
    </row>
    <row r="257" spans="1:40" ht="13.5" customHeight="1">
      <c r="A257" s="218" t="str">
        <f>$A$1&amp;"Rolloff"&amp;B257</f>
        <v>PIERCE UTCRolloffEXWGHT-RO</v>
      </c>
      <c r="B257" s="230" t="s">
        <v>571</v>
      </c>
      <c r="C257" s="230" t="s">
        <v>572</v>
      </c>
      <c r="D257" s="230" t="s">
        <v>508</v>
      </c>
      <c r="E257" s="380">
        <v>31000</v>
      </c>
      <c r="F257" s="231">
        <v>0.19</v>
      </c>
      <c r="G257" s="231">
        <v>0.19</v>
      </c>
      <c r="H257" s="231">
        <v>0.19</v>
      </c>
      <c r="I257" s="231">
        <v>0.19</v>
      </c>
      <c r="J257" s="253"/>
      <c r="K257" s="231">
        <v>1311</v>
      </c>
      <c r="L257" s="231">
        <v>4263.6000000000004</v>
      </c>
      <c r="M257" s="231">
        <v>0</v>
      </c>
      <c r="N257" s="231">
        <v>0</v>
      </c>
      <c r="O257" s="231">
        <v>0</v>
      </c>
      <c r="P257" s="231">
        <v>0</v>
      </c>
      <c r="Q257" s="231">
        <v>0</v>
      </c>
      <c r="R257" s="231">
        <v>2701.8</v>
      </c>
      <c r="S257" s="231">
        <v>2656.2</v>
      </c>
      <c r="T257" s="231">
        <v>946.2</v>
      </c>
      <c r="U257" s="231">
        <v>0</v>
      </c>
      <c r="V257" s="231">
        <v>0</v>
      </c>
      <c r="W257" s="231"/>
      <c r="X257" s="388">
        <f t="shared" si="119"/>
        <v>11878.800000000003</v>
      </c>
      <c r="Y257" s="389"/>
      <c r="Z257" s="233">
        <f t="shared" si="120"/>
        <v>6900</v>
      </c>
      <c r="AA257" s="233">
        <f t="shared" si="121"/>
        <v>22440</v>
      </c>
      <c r="AB257" s="233">
        <f t="shared" si="122"/>
        <v>0</v>
      </c>
      <c r="AC257" s="233">
        <f t="shared" si="123"/>
        <v>0</v>
      </c>
      <c r="AD257" s="233">
        <f t="shared" si="124"/>
        <v>0</v>
      </c>
      <c r="AE257" s="232">
        <f t="shared" si="125"/>
        <v>0</v>
      </c>
      <c r="AF257" s="232">
        <f t="shared" si="126"/>
        <v>0</v>
      </c>
      <c r="AG257" s="232">
        <f t="shared" si="127"/>
        <v>14220</v>
      </c>
      <c r="AH257" s="233">
        <f t="shared" si="128"/>
        <v>13979.999999999998</v>
      </c>
      <c r="AI257" s="233">
        <f t="shared" si="129"/>
        <v>4980</v>
      </c>
      <c r="AJ257" s="233">
        <f t="shared" si="130"/>
        <v>0</v>
      </c>
      <c r="AK257" s="233">
        <f t="shared" si="131"/>
        <v>0</v>
      </c>
      <c r="AL257" s="234">
        <f t="shared" si="132"/>
        <v>5210</v>
      </c>
      <c r="AN257" s="234">
        <f t="shared" si="133"/>
        <v>66360</v>
      </c>
    </row>
    <row r="258" spans="1:40" ht="13.5" customHeight="1">
      <c r="A258" s="419" t="str">
        <f>$A$1&amp;"Rolloff"&amp;B258</f>
        <v>PIERCE UTCRolloffFERRY-RO</v>
      </c>
      <c r="B258" s="420" t="s">
        <v>573</v>
      </c>
      <c r="C258" s="420" t="s">
        <v>574</v>
      </c>
      <c r="D258" s="420" t="s">
        <v>508</v>
      </c>
      <c r="E258" s="421">
        <v>31000</v>
      </c>
      <c r="F258" s="422">
        <v>0</v>
      </c>
      <c r="G258" s="422">
        <v>0</v>
      </c>
      <c r="H258" s="422">
        <v>0</v>
      </c>
      <c r="I258" s="422">
        <v>0</v>
      </c>
      <c r="J258" s="423"/>
      <c r="K258" s="231">
        <v>683</v>
      </c>
      <c r="L258" s="422">
        <v>784</v>
      </c>
      <c r="M258" s="422">
        <v>594</v>
      </c>
      <c r="N258" s="422">
        <v>594</v>
      </c>
      <c r="O258" s="422">
        <v>772.2</v>
      </c>
      <c r="P258" s="422">
        <v>1158</v>
      </c>
      <c r="Q258" s="422">
        <v>1080.8</v>
      </c>
      <c r="R258" s="422">
        <v>1235.2</v>
      </c>
      <c r="S258" s="422">
        <v>1157.9000000000001</v>
      </c>
      <c r="T258" s="422">
        <v>2084.4</v>
      </c>
      <c r="U258" s="422">
        <v>1888.8</v>
      </c>
      <c r="V258" s="422">
        <v>1663.2</v>
      </c>
      <c r="W258" s="422"/>
      <c r="X258" s="422">
        <f t="shared" si="119"/>
        <v>13695.5</v>
      </c>
      <c r="Y258" s="389"/>
      <c r="Z258" s="233">
        <f t="shared" si="120"/>
        <v>0</v>
      </c>
      <c r="AA258" s="233">
        <f t="shared" si="121"/>
        <v>0</v>
      </c>
      <c r="AB258" s="233">
        <f t="shared" si="122"/>
        <v>0</v>
      </c>
      <c r="AC258" s="233">
        <f t="shared" si="123"/>
        <v>0</v>
      </c>
      <c r="AD258" s="233">
        <f t="shared" si="124"/>
        <v>0</v>
      </c>
      <c r="AE258" s="232">
        <f t="shared" si="125"/>
        <v>0</v>
      </c>
      <c r="AF258" s="232">
        <f t="shared" si="126"/>
        <v>0</v>
      </c>
      <c r="AG258" s="232">
        <f t="shared" si="127"/>
        <v>0</v>
      </c>
      <c r="AH258" s="233">
        <f t="shared" si="128"/>
        <v>0</v>
      </c>
      <c r="AI258" s="233">
        <f t="shared" si="129"/>
        <v>0</v>
      </c>
      <c r="AJ258" s="233">
        <f t="shared" si="130"/>
        <v>0</v>
      </c>
      <c r="AK258" s="233">
        <f t="shared" si="131"/>
        <v>0</v>
      </c>
      <c r="AL258" s="234">
        <f t="shared" si="132"/>
        <v>0</v>
      </c>
      <c r="AN258" s="234">
        <f t="shared" si="133"/>
        <v>0</v>
      </c>
    </row>
    <row r="259" spans="1:40">
      <c r="A259" s="218" t="str">
        <f>$A$1&amp;"Rolloff"&amp;B259</f>
        <v>PIERCE UTCRolloffGATE-RO</v>
      </c>
      <c r="B259" s="230" t="s">
        <v>715</v>
      </c>
      <c r="C259" s="230" t="s">
        <v>576</v>
      </c>
      <c r="D259" s="230" t="s">
        <v>508</v>
      </c>
      <c r="E259" s="380">
        <v>31000</v>
      </c>
      <c r="F259" s="231">
        <v>10.55</v>
      </c>
      <c r="G259" s="231">
        <v>10.55</v>
      </c>
      <c r="H259" s="231">
        <v>10.45</v>
      </c>
      <c r="I259" s="231">
        <v>10.48</v>
      </c>
      <c r="J259" s="231"/>
      <c r="K259" s="231">
        <v>453.65</v>
      </c>
      <c r="L259" s="231">
        <v>485.3</v>
      </c>
      <c r="M259" s="231">
        <v>453.65</v>
      </c>
      <c r="N259" s="231">
        <v>527.5</v>
      </c>
      <c r="O259" s="231">
        <v>527.5</v>
      </c>
      <c r="P259" s="231">
        <v>480.7</v>
      </c>
      <c r="Q259" s="231">
        <v>553.85</v>
      </c>
      <c r="R259" s="231">
        <v>491.15</v>
      </c>
      <c r="S259" s="231">
        <v>513.46</v>
      </c>
      <c r="T259" s="231">
        <v>513.52</v>
      </c>
      <c r="U259" s="231">
        <v>513.52</v>
      </c>
      <c r="V259" s="231">
        <v>513.52</v>
      </c>
      <c r="W259" s="231"/>
      <c r="X259" s="388">
        <f t="shared" si="119"/>
        <v>6027.3200000000015</v>
      </c>
      <c r="Y259" s="389"/>
      <c r="Z259" s="233">
        <f t="shared" si="120"/>
        <v>42.999999999999993</v>
      </c>
      <c r="AA259" s="233">
        <f t="shared" si="121"/>
        <v>46</v>
      </c>
      <c r="AB259" s="233">
        <f t="shared" si="122"/>
        <v>42.999999999999993</v>
      </c>
      <c r="AC259" s="233">
        <f t="shared" si="123"/>
        <v>50</v>
      </c>
      <c r="AD259" s="233">
        <f t="shared" si="124"/>
        <v>50</v>
      </c>
      <c r="AE259" s="232">
        <f t="shared" si="125"/>
        <v>46</v>
      </c>
      <c r="AF259" s="232">
        <f t="shared" si="126"/>
        <v>53.000000000000007</v>
      </c>
      <c r="AG259" s="232">
        <f t="shared" si="127"/>
        <v>47</v>
      </c>
      <c r="AH259" s="233">
        <f t="shared" si="128"/>
        <v>48.994274809160309</v>
      </c>
      <c r="AI259" s="233">
        <f t="shared" si="129"/>
        <v>48.999999999999993</v>
      </c>
      <c r="AJ259" s="233">
        <f t="shared" si="130"/>
        <v>48.999999999999993</v>
      </c>
      <c r="AK259" s="233">
        <f t="shared" si="131"/>
        <v>48.999999999999993</v>
      </c>
      <c r="AL259" s="234">
        <f t="shared" si="132"/>
        <v>47.832856234096688</v>
      </c>
      <c r="AN259" s="234">
        <f t="shared" si="133"/>
        <v>591.98854961832058</v>
      </c>
    </row>
    <row r="260" spans="1:40">
      <c r="A260" s="218" t="str">
        <f>$A$1&amp;"Rolloff"&amp;B260</f>
        <v>PIERCE UTCRolloffLIDRO</v>
      </c>
      <c r="B260" s="230" t="s">
        <v>575</v>
      </c>
      <c r="C260" s="230" t="s">
        <v>576</v>
      </c>
      <c r="D260" s="230" t="s">
        <v>508</v>
      </c>
      <c r="E260" s="380">
        <v>31000</v>
      </c>
      <c r="F260" s="231">
        <v>19.850000000000001</v>
      </c>
      <c r="G260" s="231">
        <v>19.850000000000001</v>
      </c>
      <c r="H260" s="231">
        <v>19.66</v>
      </c>
      <c r="I260" s="231">
        <v>19.71</v>
      </c>
      <c r="J260" s="231"/>
      <c r="K260" s="231">
        <v>1491.26</v>
      </c>
      <c r="L260" s="231">
        <v>1475.95</v>
      </c>
      <c r="M260" s="231">
        <v>1099.96</v>
      </c>
      <c r="N260" s="231">
        <v>1495.79</v>
      </c>
      <c r="O260" s="231">
        <v>1477.5</v>
      </c>
      <c r="P260" s="231">
        <v>1440.5900000000001</v>
      </c>
      <c r="Q260" s="231">
        <v>1531.52</v>
      </c>
      <c r="R260" s="231">
        <v>1411.75</v>
      </c>
      <c r="S260" s="231">
        <v>1442.66</v>
      </c>
      <c r="T260" s="231">
        <v>1437.53</v>
      </c>
      <c r="U260" s="231">
        <v>1431.23</v>
      </c>
      <c r="V260" s="231">
        <v>1544.6</v>
      </c>
      <c r="W260" s="231"/>
      <c r="X260" s="388">
        <f t="shared" si="119"/>
        <v>17280.34</v>
      </c>
      <c r="Y260" s="389"/>
      <c r="Z260" s="233">
        <f t="shared" si="120"/>
        <v>75.126448362720396</v>
      </c>
      <c r="AA260" s="233">
        <f t="shared" si="121"/>
        <v>74.355163727959692</v>
      </c>
      <c r="AB260" s="233">
        <f t="shared" si="122"/>
        <v>55.413602015113348</v>
      </c>
      <c r="AC260" s="233">
        <f t="shared" si="123"/>
        <v>75.35465994962216</v>
      </c>
      <c r="AD260" s="233">
        <f t="shared" si="124"/>
        <v>74.433249370277068</v>
      </c>
      <c r="AE260" s="232">
        <f t="shared" si="125"/>
        <v>73.275178026449652</v>
      </c>
      <c r="AF260" s="232">
        <f t="shared" si="126"/>
        <v>77.900305188199383</v>
      </c>
      <c r="AG260" s="232">
        <f t="shared" si="127"/>
        <v>71.808240081383516</v>
      </c>
      <c r="AH260" s="233">
        <f t="shared" si="128"/>
        <v>73.19431760527651</v>
      </c>
      <c r="AI260" s="233">
        <f t="shared" si="129"/>
        <v>72.934043632673763</v>
      </c>
      <c r="AJ260" s="233">
        <f t="shared" si="130"/>
        <v>72.61440892947742</v>
      </c>
      <c r="AK260" s="233">
        <f t="shared" si="131"/>
        <v>78.366311516996447</v>
      </c>
      <c r="AL260" s="234">
        <f t="shared" si="132"/>
        <v>72.897994033845791</v>
      </c>
      <c r="AN260" s="234">
        <f t="shared" si="133"/>
        <v>893.63525390801408</v>
      </c>
    </row>
    <row r="261" spans="1:40">
      <c r="A261" s="218" t="str">
        <f>$A$1&amp;"Rolloff"&amp;B261</f>
        <v>PIERCE UTCRolloffLOCK-RO</v>
      </c>
      <c r="B261" s="230" t="s">
        <v>577</v>
      </c>
      <c r="C261" s="230" t="s">
        <v>578</v>
      </c>
      <c r="D261" s="230" t="s">
        <v>508</v>
      </c>
      <c r="E261" s="380">
        <v>31000</v>
      </c>
      <c r="F261" s="231">
        <v>10.55</v>
      </c>
      <c r="G261" s="231">
        <v>10.55</v>
      </c>
      <c r="H261" s="231">
        <v>10.45</v>
      </c>
      <c r="I261" s="231">
        <v>10.48</v>
      </c>
      <c r="J261" s="231"/>
      <c r="K261" s="231">
        <v>10.55</v>
      </c>
      <c r="L261" s="231">
        <v>21.1</v>
      </c>
      <c r="M261" s="231">
        <v>10.55</v>
      </c>
      <c r="N261" s="231">
        <v>21.1</v>
      </c>
      <c r="O261" s="231">
        <v>10.55</v>
      </c>
      <c r="P261" s="231">
        <v>10.45</v>
      </c>
      <c r="Q261" s="231">
        <v>20.9</v>
      </c>
      <c r="R261" s="231">
        <v>10.45</v>
      </c>
      <c r="S261" s="231">
        <v>40.96</v>
      </c>
      <c r="T261" s="231">
        <v>20.96</v>
      </c>
      <c r="U261" s="231">
        <v>41.92</v>
      </c>
      <c r="V261" s="231">
        <v>31.44</v>
      </c>
      <c r="W261" s="231"/>
      <c r="X261" s="388">
        <f t="shared" si="119"/>
        <v>250.93</v>
      </c>
      <c r="Y261" s="389"/>
      <c r="Z261" s="233">
        <f t="shared" si="120"/>
        <v>1</v>
      </c>
      <c r="AA261" s="233">
        <f t="shared" si="121"/>
        <v>2</v>
      </c>
      <c r="AB261" s="233">
        <f t="shared" si="122"/>
        <v>1</v>
      </c>
      <c r="AC261" s="233">
        <f t="shared" si="123"/>
        <v>2</v>
      </c>
      <c r="AD261" s="233">
        <f t="shared" si="124"/>
        <v>1</v>
      </c>
      <c r="AE261" s="232">
        <f t="shared" si="125"/>
        <v>1</v>
      </c>
      <c r="AF261" s="232">
        <f t="shared" si="126"/>
        <v>2</v>
      </c>
      <c r="AG261" s="232">
        <f t="shared" si="127"/>
        <v>1</v>
      </c>
      <c r="AH261" s="233">
        <f t="shared" si="128"/>
        <v>3.9083969465648853</v>
      </c>
      <c r="AI261" s="233">
        <f t="shared" si="129"/>
        <v>2</v>
      </c>
      <c r="AJ261" s="233">
        <f t="shared" si="130"/>
        <v>4</v>
      </c>
      <c r="AK261" s="233">
        <f t="shared" si="131"/>
        <v>3</v>
      </c>
      <c r="AL261" s="234">
        <f t="shared" si="132"/>
        <v>1.9923664122137403</v>
      </c>
      <c r="AN261" s="234">
        <f t="shared" si="133"/>
        <v>31.81679389312977</v>
      </c>
    </row>
    <row r="262" spans="1:40">
      <c r="A262" s="218" t="str">
        <f>$A$1&amp;"Rolloff"&amp;B262</f>
        <v>PIERCE UTCRolloffDISPMATT-RO</v>
      </c>
      <c r="B262" s="230" t="s">
        <v>716</v>
      </c>
      <c r="C262" s="230" t="s">
        <v>778</v>
      </c>
      <c r="D262" s="230" t="s">
        <v>508</v>
      </c>
      <c r="E262" s="380">
        <v>31004</v>
      </c>
      <c r="F262" s="231">
        <v>0</v>
      </c>
      <c r="G262" s="231">
        <v>0</v>
      </c>
      <c r="H262" s="231">
        <v>0</v>
      </c>
      <c r="I262" s="231">
        <v>0</v>
      </c>
      <c r="J262" s="231"/>
      <c r="K262" s="231">
        <v>0</v>
      </c>
      <c r="L262" s="231">
        <v>0</v>
      </c>
      <c r="M262" s="231">
        <v>0</v>
      </c>
      <c r="N262" s="231">
        <v>0</v>
      </c>
      <c r="O262" s="231">
        <v>0</v>
      </c>
      <c r="P262" s="231">
        <v>0</v>
      </c>
      <c r="Q262" s="231">
        <v>715</v>
      </c>
      <c r="R262" s="231">
        <v>0</v>
      </c>
      <c r="S262" s="231">
        <v>0</v>
      </c>
      <c r="T262" s="231">
        <v>0</v>
      </c>
      <c r="U262" s="231">
        <v>0</v>
      </c>
      <c r="V262" s="231">
        <v>0</v>
      </c>
      <c r="W262" s="231"/>
      <c r="X262" s="388">
        <f t="shared" si="119"/>
        <v>715</v>
      </c>
      <c r="Y262" s="389"/>
      <c r="Z262" s="233">
        <f t="shared" si="120"/>
        <v>0</v>
      </c>
      <c r="AA262" s="233">
        <f t="shared" si="121"/>
        <v>0</v>
      </c>
      <c r="AB262" s="233">
        <f t="shared" si="122"/>
        <v>0</v>
      </c>
      <c r="AC262" s="233">
        <f t="shared" si="123"/>
        <v>0</v>
      </c>
      <c r="AD262" s="233">
        <f t="shared" si="124"/>
        <v>0</v>
      </c>
      <c r="AE262" s="232">
        <f t="shared" si="125"/>
        <v>0</v>
      </c>
      <c r="AF262" s="232">
        <f t="shared" si="126"/>
        <v>0</v>
      </c>
      <c r="AG262" s="232">
        <f t="shared" si="127"/>
        <v>0</v>
      </c>
      <c r="AH262" s="233">
        <f t="shared" si="128"/>
        <v>0</v>
      </c>
      <c r="AI262" s="233">
        <f t="shared" si="129"/>
        <v>0</v>
      </c>
      <c r="AJ262" s="233">
        <f t="shared" si="130"/>
        <v>0</v>
      </c>
      <c r="AK262" s="233">
        <f t="shared" si="131"/>
        <v>0</v>
      </c>
      <c r="AL262" s="234">
        <f t="shared" si="132"/>
        <v>0</v>
      </c>
      <c r="AN262" s="234">
        <f t="shared" si="133"/>
        <v>0</v>
      </c>
    </row>
    <row r="263" spans="1:40">
      <c r="A263" s="218" t="str">
        <f>$A$1&amp;"Rolloff"&amp;B263</f>
        <v>PIERCE UTCRolloffDISPSPEC-RO</v>
      </c>
      <c r="B263" s="230" t="s">
        <v>717</v>
      </c>
      <c r="C263" s="230" t="s">
        <v>779</v>
      </c>
      <c r="D263" s="230" t="s">
        <v>508</v>
      </c>
      <c r="E263" s="380">
        <v>31004</v>
      </c>
      <c r="F263" s="231">
        <v>0</v>
      </c>
      <c r="G263" s="231">
        <v>0</v>
      </c>
      <c r="H263" s="231">
        <v>0</v>
      </c>
      <c r="I263" s="231">
        <v>0</v>
      </c>
      <c r="J263" s="231"/>
      <c r="K263" s="231">
        <v>0</v>
      </c>
      <c r="L263" s="231">
        <v>172.56</v>
      </c>
      <c r="M263" s="231">
        <v>0</v>
      </c>
      <c r="N263" s="231">
        <v>0</v>
      </c>
      <c r="O263" s="231">
        <v>0</v>
      </c>
      <c r="P263" s="231">
        <v>0</v>
      </c>
      <c r="Q263" s="231">
        <v>0</v>
      </c>
      <c r="R263" s="231">
        <v>0</v>
      </c>
      <c r="S263" s="231">
        <v>0</v>
      </c>
      <c r="T263" s="231">
        <v>0</v>
      </c>
      <c r="U263" s="231">
        <v>0</v>
      </c>
      <c r="V263" s="231">
        <v>0</v>
      </c>
      <c r="W263" s="231"/>
      <c r="X263" s="388">
        <f t="shared" si="119"/>
        <v>172.56</v>
      </c>
      <c r="Y263" s="389"/>
      <c r="Z263" s="233">
        <f t="shared" si="120"/>
        <v>0</v>
      </c>
      <c r="AA263" s="233">
        <f t="shared" si="121"/>
        <v>0</v>
      </c>
      <c r="AB263" s="233">
        <f t="shared" si="122"/>
        <v>0</v>
      </c>
      <c r="AC263" s="233">
        <f t="shared" si="123"/>
        <v>0</v>
      </c>
      <c r="AD263" s="233">
        <f t="shared" si="124"/>
        <v>0</v>
      </c>
      <c r="AE263" s="232">
        <f t="shared" si="125"/>
        <v>0</v>
      </c>
      <c r="AF263" s="232">
        <f t="shared" si="126"/>
        <v>0</v>
      </c>
      <c r="AG263" s="232">
        <f t="shared" si="127"/>
        <v>0</v>
      </c>
      <c r="AH263" s="233">
        <f t="shared" si="128"/>
        <v>0</v>
      </c>
      <c r="AI263" s="233">
        <f t="shared" si="129"/>
        <v>0</v>
      </c>
      <c r="AJ263" s="233">
        <f t="shared" si="130"/>
        <v>0</v>
      </c>
      <c r="AK263" s="233">
        <f t="shared" si="131"/>
        <v>0</v>
      </c>
      <c r="AL263" s="234">
        <f t="shared" si="132"/>
        <v>0</v>
      </c>
      <c r="AN263" s="234">
        <f t="shared" si="133"/>
        <v>0</v>
      </c>
    </row>
    <row r="264" spans="1:40">
      <c r="A264" s="218" t="str">
        <f>$A$1&amp;"Rolloff"&amp;B264</f>
        <v>PIERCE UTCRolloffDISPTIRES-RO</v>
      </c>
      <c r="B264" s="230" t="s">
        <v>718</v>
      </c>
      <c r="C264" s="230" t="s">
        <v>780</v>
      </c>
      <c r="D264" s="230" t="s">
        <v>508</v>
      </c>
      <c r="E264" s="380">
        <v>31004</v>
      </c>
      <c r="F264" s="231">
        <v>0</v>
      </c>
      <c r="G264" s="231">
        <v>0</v>
      </c>
      <c r="H264" s="231">
        <v>0</v>
      </c>
      <c r="I264" s="231">
        <v>0</v>
      </c>
      <c r="J264" s="231"/>
      <c r="K264" s="231">
        <v>0</v>
      </c>
      <c r="L264" s="231">
        <v>0</v>
      </c>
      <c r="M264" s="231">
        <v>0</v>
      </c>
      <c r="N264" s="231">
        <v>0</v>
      </c>
      <c r="O264" s="231">
        <v>0</v>
      </c>
      <c r="P264" s="231">
        <v>0</v>
      </c>
      <c r="Q264" s="231">
        <v>0</v>
      </c>
      <c r="R264" s="231">
        <v>0</v>
      </c>
      <c r="S264" s="231">
        <v>0</v>
      </c>
      <c r="T264" s="231">
        <v>0</v>
      </c>
      <c r="U264" s="231">
        <v>0</v>
      </c>
      <c r="V264" s="231">
        <v>0</v>
      </c>
      <c r="W264" s="231"/>
      <c r="X264" s="388">
        <f t="shared" si="119"/>
        <v>0</v>
      </c>
      <c r="Y264" s="389"/>
      <c r="Z264" s="233">
        <f t="shared" si="120"/>
        <v>0</v>
      </c>
      <c r="AA264" s="233">
        <f t="shared" si="121"/>
        <v>0</v>
      </c>
      <c r="AB264" s="233">
        <f t="shared" si="122"/>
        <v>0</v>
      </c>
      <c r="AC264" s="233">
        <f t="shared" si="123"/>
        <v>0</v>
      </c>
      <c r="AD264" s="233">
        <f t="shared" si="124"/>
        <v>0</v>
      </c>
      <c r="AE264" s="232">
        <f t="shared" si="125"/>
        <v>0</v>
      </c>
      <c r="AF264" s="232">
        <f t="shared" si="126"/>
        <v>0</v>
      </c>
      <c r="AG264" s="232">
        <f t="shared" si="127"/>
        <v>0</v>
      </c>
      <c r="AH264" s="233">
        <f t="shared" si="128"/>
        <v>0</v>
      </c>
      <c r="AI264" s="233">
        <f t="shared" si="129"/>
        <v>0</v>
      </c>
      <c r="AJ264" s="233">
        <f t="shared" si="130"/>
        <v>0</v>
      </c>
      <c r="AK264" s="233">
        <f t="shared" si="131"/>
        <v>0</v>
      </c>
      <c r="AL264" s="234">
        <f t="shared" si="132"/>
        <v>0</v>
      </c>
      <c r="AN264" s="234">
        <f t="shared" si="133"/>
        <v>0</v>
      </c>
    </row>
    <row r="265" spans="1:40">
      <c r="A265" s="218" t="str">
        <f>$A$1&amp;"Rolloff"&amp;B265</f>
        <v>PIERCE UTCRolloffMILE-RO</v>
      </c>
      <c r="B265" s="230" t="s">
        <v>579</v>
      </c>
      <c r="C265" s="230" t="s">
        <v>580</v>
      </c>
      <c r="D265" s="230" t="s">
        <v>508</v>
      </c>
      <c r="E265" s="380">
        <v>31000</v>
      </c>
      <c r="F265" s="231">
        <v>3</v>
      </c>
      <c r="G265" s="231">
        <v>3</v>
      </c>
      <c r="H265" s="231">
        <v>2.97</v>
      </c>
      <c r="I265" s="231">
        <v>2.98</v>
      </c>
      <c r="J265" s="231"/>
      <c r="K265" s="231">
        <v>1977</v>
      </c>
      <c r="L265" s="231">
        <v>1965</v>
      </c>
      <c r="M265" s="231">
        <v>1818</v>
      </c>
      <c r="N265" s="231">
        <v>2562</v>
      </c>
      <c r="O265" s="231">
        <v>2067</v>
      </c>
      <c r="P265" s="231">
        <v>1883.94</v>
      </c>
      <c r="Q265" s="231">
        <v>2239.38</v>
      </c>
      <c r="R265" s="231">
        <v>2370.06</v>
      </c>
      <c r="S265" s="231">
        <v>2142.5700000000002</v>
      </c>
      <c r="T265" s="231">
        <v>2303.54</v>
      </c>
      <c r="U265" s="231">
        <v>2032.36</v>
      </c>
      <c r="V265" s="231">
        <v>1749.2600000000002</v>
      </c>
      <c r="W265" s="231"/>
      <c r="X265" s="388">
        <f t="shared" si="119"/>
        <v>25110.11</v>
      </c>
      <c r="Y265" s="389"/>
      <c r="Z265" s="233">
        <f t="shared" si="120"/>
        <v>659</v>
      </c>
      <c r="AA265" s="233">
        <f t="shared" si="121"/>
        <v>655</v>
      </c>
      <c r="AB265" s="233">
        <f t="shared" si="122"/>
        <v>606</v>
      </c>
      <c r="AC265" s="233">
        <f t="shared" si="123"/>
        <v>854</v>
      </c>
      <c r="AD265" s="233">
        <f t="shared" si="124"/>
        <v>689</v>
      </c>
      <c r="AE265" s="232">
        <f t="shared" si="125"/>
        <v>634.32323232323233</v>
      </c>
      <c r="AF265" s="232">
        <f t="shared" si="126"/>
        <v>754</v>
      </c>
      <c r="AG265" s="232">
        <f t="shared" si="127"/>
        <v>797.99999999999989</v>
      </c>
      <c r="AH265" s="233">
        <f t="shared" si="128"/>
        <v>718.98322147651015</v>
      </c>
      <c r="AI265" s="233">
        <f t="shared" si="129"/>
        <v>773</v>
      </c>
      <c r="AJ265" s="233">
        <f t="shared" si="130"/>
        <v>682</v>
      </c>
      <c r="AK265" s="233">
        <f t="shared" si="131"/>
        <v>587.00000000000011</v>
      </c>
      <c r="AL265" s="234">
        <f t="shared" si="132"/>
        <v>700.85887114997865</v>
      </c>
      <c r="AN265" s="234">
        <f t="shared" si="133"/>
        <v>8625.9664429530203</v>
      </c>
    </row>
    <row r="266" spans="1:40">
      <c r="A266" s="218" t="str">
        <f>$A$1&amp;"Rolloff"&amp;B266</f>
        <v>PIERCE UTCRolloffRTRNTRIP-RO</v>
      </c>
      <c r="B266" s="230" t="s">
        <v>581</v>
      </c>
      <c r="C266" s="230" t="s">
        <v>582</v>
      </c>
      <c r="D266" s="230" t="s">
        <v>508</v>
      </c>
      <c r="E266" s="380">
        <v>31000</v>
      </c>
      <c r="F266" s="231">
        <v>60</v>
      </c>
      <c r="G266" s="231">
        <v>60</v>
      </c>
      <c r="H266" s="231">
        <v>59.43</v>
      </c>
      <c r="I266" s="231">
        <v>59.59</v>
      </c>
      <c r="J266" s="231"/>
      <c r="K266" s="231">
        <v>840</v>
      </c>
      <c r="L266" s="231">
        <v>660</v>
      </c>
      <c r="M266" s="231">
        <v>600</v>
      </c>
      <c r="N266" s="231">
        <v>1200</v>
      </c>
      <c r="O266" s="231">
        <v>1620</v>
      </c>
      <c r="P266" s="231">
        <v>1902.33</v>
      </c>
      <c r="Q266" s="231">
        <v>1069.74</v>
      </c>
      <c r="R266" s="231">
        <v>1069.74</v>
      </c>
      <c r="S266" s="231">
        <v>1072.6199999999999</v>
      </c>
      <c r="T266" s="231">
        <v>1608.93</v>
      </c>
      <c r="U266" s="231">
        <v>1191.8</v>
      </c>
      <c r="V266" s="231">
        <v>1430.16</v>
      </c>
      <c r="W266" s="231"/>
      <c r="X266" s="388">
        <f t="shared" si="119"/>
        <v>14265.32</v>
      </c>
      <c r="Y266" s="389"/>
      <c r="Z266" s="233">
        <f t="shared" si="120"/>
        <v>14</v>
      </c>
      <c r="AA266" s="233">
        <f t="shared" si="121"/>
        <v>11</v>
      </c>
      <c r="AB266" s="233">
        <f t="shared" si="122"/>
        <v>10</v>
      </c>
      <c r="AC266" s="233">
        <f t="shared" si="123"/>
        <v>20</v>
      </c>
      <c r="AD266" s="233">
        <f t="shared" si="124"/>
        <v>27</v>
      </c>
      <c r="AE266" s="232">
        <f t="shared" si="125"/>
        <v>32.009591115598184</v>
      </c>
      <c r="AF266" s="232">
        <f t="shared" si="126"/>
        <v>18</v>
      </c>
      <c r="AG266" s="232">
        <f t="shared" si="127"/>
        <v>18</v>
      </c>
      <c r="AH266" s="233">
        <f t="shared" si="128"/>
        <v>17.999999999999996</v>
      </c>
      <c r="AI266" s="233">
        <f t="shared" si="129"/>
        <v>27</v>
      </c>
      <c r="AJ266" s="233">
        <f t="shared" si="130"/>
        <v>19.999999999999996</v>
      </c>
      <c r="AK266" s="233">
        <f t="shared" si="131"/>
        <v>24</v>
      </c>
      <c r="AL266" s="234">
        <f t="shared" si="132"/>
        <v>19.917465926299851</v>
      </c>
      <c r="AN266" s="234">
        <f t="shared" si="133"/>
        <v>250</v>
      </c>
    </row>
    <row r="267" spans="1:40">
      <c r="A267" s="218" t="str">
        <f>$A$1&amp;"Rolloff"&amp;B267</f>
        <v>PIERCE UTCRolloffTIME-RO</v>
      </c>
      <c r="B267" s="230" t="s">
        <v>583</v>
      </c>
      <c r="C267" s="230" t="s">
        <v>584</v>
      </c>
      <c r="D267" s="230" t="s">
        <v>508</v>
      </c>
      <c r="E267" s="380">
        <v>31000</v>
      </c>
      <c r="F267" s="231">
        <v>112.5</v>
      </c>
      <c r="G267" s="231">
        <v>112.5</v>
      </c>
      <c r="H267" s="231">
        <v>111.44</v>
      </c>
      <c r="I267" s="231">
        <v>111.75</v>
      </c>
      <c r="J267" s="231"/>
      <c r="K267" s="231">
        <v>10068.780000000001</v>
      </c>
      <c r="L267" s="231">
        <v>11475.02</v>
      </c>
      <c r="M267" s="231">
        <v>16706.32</v>
      </c>
      <c r="N267" s="231">
        <v>10518.77</v>
      </c>
      <c r="O267" s="231">
        <v>8662.51</v>
      </c>
      <c r="P267" s="231">
        <v>9984.48</v>
      </c>
      <c r="Q267" s="231">
        <v>9277.3799999999992</v>
      </c>
      <c r="R267" s="231">
        <v>12815.6</v>
      </c>
      <c r="S267" s="231">
        <v>12598.61</v>
      </c>
      <c r="T267" s="231">
        <v>11736.87</v>
      </c>
      <c r="U267" s="231">
        <v>14136.4</v>
      </c>
      <c r="V267" s="231">
        <v>10392.77</v>
      </c>
      <c r="W267" s="231"/>
      <c r="X267" s="388">
        <f t="shared" si="119"/>
        <v>138373.51</v>
      </c>
      <c r="Y267" s="389"/>
      <c r="Z267" s="233">
        <f t="shared" si="120"/>
        <v>89.500266666666676</v>
      </c>
      <c r="AA267" s="233">
        <f t="shared" si="121"/>
        <v>102.00017777777778</v>
      </c>
      <c r="AB267" s="233">
        <f t="shared" si="122"/>
        <v>148.50062222222223</v>
      </c>
      <c r="AC267" s="233">
        <f t="shared" si="123"/>
        <v>93.500177777777779</v>
      </c>
      <c r="AD267" s="233">
        <f t="shared" si="124"/>
        <v>77.000088888888897</v>
      </c>
      <c r="AE267" s="232">
        <f t="shared" si="125"/>
        <v>89.595118449389801</v>
      </c>
      <c r="AF267" s="232">
        <f t="shared" si="126"/>
        <v>83.25</v>
      </c>
      <c r="AG267" s="232">
        <f t="shared" si="127"/>
        <v>115</v>
      </c>
      <c r="AH267" s="233">
        <f t="shared" si="128"/>
        <v>112.73923937360179</v>
      </c>
      <c r="AI267" s="233">
        <f t="shared" si="129"/>
        <v>105.02791946308726</v>
      </c>
      <c r="AJ267" s="233">
        <f t="shared" si="130"/>
        <v>126.50022371364653</v>
      </c>
      <c r="AK267" s="233">
        <f t="shared" si="131"/>
        <v>93.000178970917233</v>
      </c>
      <c r="AL267" s="234">
        <f t="shared" si="132"/>
        <v>102.96783444199799</v>
      </c>
      <c r="AN267" s="234">
        <f t="shared" si="133"/>
        <v>1271.0351230425056</v>
      </c>
    </row>
    <row r="268" spans="1:40">
      <c r="B268" s="230"/>
      <c r="C268" s="230"/>
      <c r="D268" s="230"/>
      <c r="F268" s="231"/>
      <c r="G268" s="231"/>
      <c r="H268" s="231"/>
      <c r="I268" s="231"/>
      <c r="J268" s="231"/>
      <c r="K268" s="231"/>
      <c r="L268" s="231"/>
      <c r="M268" s="231"/>
      <c r="N268" s="231"/>
      <c r="O268" s="231"/>
      <c r="P268" s="231"/>
      <c r="Q268" s="231"/>
      <c r="R268" s="231"/>
      <c r="S268" s="231"/>
      <c r="T268" s="231"/>
      <c r="U268" s="231"/>
      <c r="V268" s="231"/>
      <c r="W268" s="240"/>
      <c r="X268" s="388"/>
      <c r="Y268" s="389"/>
      <c r="Z268" s="233"/>
      <c r="AA268" s="233"/>
      <c r="AB268" s="233"/>
      <c r="AC268" s="232"/>
      <c r="AD268" s="232"/>
      <c r="AE268" s="232"/>
      <c r="AF268" s="232"/>
      <c r="AG268" s="232"/>
      <c r="AH268" s="232"/>
      <c r="AI268" s="232"/>
      <c r="AJ268" s="232"/>
      <c r="AK268" s="232"/>
    </row>
    <row r="269" spans="1:40">
      <c r="B269" s="230"/>
      <c r="C269" s="235" t="s">
        <v>146</v>
      </c>
      <c r="D269" s="230"/>
      <c r="F269" s="231"/>
      <c r="G269" s="231"/>
      <c r="H269" s="231"/>
      <c r="I269" s="231"/>
      <c r="J269" s="231"/>
      <c r="K269" s="237">
        <f t="shared" ref="K269:V269" si="134">SUM(K223:K267)</f>
        <v>122253.58</v>
      </c>
      <c r="L269" s="237">
        <f t="shared" si="134"/>
        <v>127959.86000000002</v>
      </c>
      <c r="M269" s="237">
        <f t="shared" si="134"/>
        <v>121597.9</v>
      </c>
      <c r="N269" s="237">
        <f t="shared" si="134"/>
        <v>133160.78999999998</v>
      </c>
      <c r="O269" s="237">
        <f t="shared" si="134"/>
        <v>109098.03</v>
      </c>
      <c r="P269" s="237">
        <f t="shared" si="134"/>
        <v>121899.64999999998</v>
      </c>
      <c r="Q269" s="237">
        <f t="shared" si="134"/>
        <v>136834.91000000003</v>
      </c>
      <c r="R269" s="237">
        <f t="shared" si="134"/>
        <v>149087.15</v>
      </c>
      <c r="S269" s="237">
        <f t="shared" si="134"/>
        <v>142424.98000000004</v>
      </c>
      <c r="T269" s="237">
        <f t="shared" si="134"/>
        <v>147408.60000000003</v>
      </c>
      <c r="U269" s="237">
        <f t="shared" si="134"/>
        <v>139977.09000000003</v>
      </c>
      <c r="V269" s="237">
        <f t="shared" si="134"/>
        <v>124253.26000000001</v>
      </c>
      <c r="W269" s="240"/>
      <c r="X269" s="237">
        <f>SUM(X223:X267)</f>
        <v>1575955.8000000003</v>
      </c>
      <c r="Y269" s="241"/>
      <c r="Z269" s="424">
        <f>SUM(Z246:Z248)+SUM(Z249:Z251)/30</f>
        <v>149.25051535177178</v>
      </c>
      <c r="AA269" s="424">
        <f t="shared" ref="AA269:AN269" si="135">SUM(AA246:AA248)+SUM(AA249:AA251)/30</f>
        <v>147.09694977019933</v>
      </c>
      <c r="AB269" s="424">
        <f t="shared" si="135"/>
        <v>119.57484593837533</v>
      </c>
      <c r="AC269" s="424">
        <f t="shared" si="135"/>
        <v>149.21507002801118</v>
      </c>
      <c r="AD269" s="424">
        <f t="shared" si="135"/>
        <v>148.30845938375347</v>
      </c>
      <c r="AE269" s="424">
        <f t="shared" si="135"/>
        <v>162.35348985608937</v>
      </c>
      <c r="AF269" s="424">
        <f t="shared" si="135"/>
        <v>132.82437507069335</v>
      </c>
      <c r="AG269" s="424">
        <f t="shared" si="135"/>
        <v>164.63443049428798</v>
      </c>
      <c r="AH269" s="424">
        <f t="shared" si="135"/>
        <v>175.7507182445425</v>
      </c>
      <c r="AI269" s="424">
        <f>SUM(AI246:AI248)+SUM(AI249:AI251)/30</f>
        <v>181.30021490781587</v>
      </c>
      <c r="AJ269" s="424">
        <f>SUM(AJ246:AJ248)+SUM(AJ249:AJ251)/30</f>
        <v>172.66076235719945</v>
      </c>
      <c r="AK269" s="424">
        <f>SUM(AK246:AK248)+SUM(AK249:AK251)/30</f>
        <v>170.30015835312747</v>
      </c>
      <c r="AL269" s="424">
        <f t="shared" si="135"/>
        <v>156.10583247965559</v>
      </c>
      <c r="AN269" s="424">
        <f t="shared" si="135"/>
        <v>1994.9413188553335</v>
      </c>
    </row>
    <row r="270" spans="1:40">
      <c r="B270" s="230"/>
      <c r="C270" s="230"/>
      <c r="D270" s="230"/>
      <c r="F270" s="231"/>
      <c r="G270" s="231"/>
      <c r="H270" s="231"/>
      <c r="I270" s="231"/>
      <c r="J270" s="231"/>
      <c r="K270" s="231"/>
      <c r="L270" s="231"/>
      <c r="M270" s="231"/>
      <c r="N270" s="231"/>
      <c r="O270" s="231"/>
      <c r="P270" s="231"/>
      <c r="Q270" s="231"/>
      <c r="R270" s="231"/>
      <c r="S270" s="231"/>
      <c r="T270" s="231"/>
      <c r="U270" s="231"/>
      <c r="V270" s="231"/>
      <c r="W270" s="240"/>
      <c r="X270" s="388"/>
      <c r="Y270" s="418"/>
      <c r="Z270" s="233"/>
      <c r="AA270" s="233"/>
      <c r="AB270" s="233"/>
      <c r="AC270" s="232"/>
      <c r="AD270" s="232"/>
      <c r="AE270" s="232"/>
      <c r="AF270" s="232"/>
      <c r="AG270" s="232"/>
      <c r="AH270" s="232"/>
      <c r="AI270" s="232"/>
      <c r="AJ270" s="232"/>
      <c r="AK270" s="232"/>
    </row>
    <row r="271" spans="1:40">
      <c r="B271" s="239" t="s">
        <v>147</v>
      </c>
      <c r="C271" s="230"/>
      <c r="D271" s="230"/>
      <c r="F271" s="231"/>
      <c r="G271" s="231"/>
      <c r="H271" s="231"/>
      <c r="I271" s="231"/>
      <c r="J271" s="231"/>
      <c r="K271" s="231"/>
      <c r="L271" s="231"/>
      <c r="M271" s="231"/>
      <c r="N271" s="231"/>
      <c r="O271" s="231"/>
      <c r="P271" s="231"/>
      <c r="Q271" s="231"/>
      <c r="R271" s="231"/>
      <c r="S271" s="231"/>
      <c r="T271" s="231"/>
      <c r="U271" s="231"/>
      <c r="V271" s="231"/>
      <c r="W271" s="240"/>
      <c r="X271" s="388"/>
      <c r="Y271" s="418"/>
      <c r="Z271" s="233"/>
      <c r="AA271" s="233"/>
      <c r="AB271" s="233"/>
      <c r="AC271" s="232"/>
      <c r="AD271" s="232"/>
      <c r="AE271" s="232"/>
      <c r="AF271" s="232"/>
      <c r="AG271" s="232"/>
      <c r="AH271" s="232"/>
      <c r="AI271" s="232"/>
      <c r="AJ271" s="232"/>
      <c r="AK271" s="232"/>
    </row>
    <row r="272" spans="1:40">
      <c r="A272" s="218" t="str">
        <f>$A$1&amp;"Rolloff"&amp;B272</f>
        <v>PIERCE UTCRolloffDISP-RO</v>
      </c>
      <c r="B272" s="230" t="s">
        <v>585</v>
      </c>
      <c r="C272" s="230" t="s">
        <v>586</v>
      </c>
      <c r="D272" s="230" t="s">
        <v>587</v>
      </c>
      <c r="E272" s="380">
        <v>31005</v>
      </c>
      <c r="F272" s="231">
        <v>164.34</v>
      </c>
      <c r="G272" s="231">
        <v>167.38</v>
      </c>
      <c r="H272" s="231">
        <v>167.38</v>
      </c>
      <c r="I272" s="231">
        <v>167.38</v>
      </c>
      <c r="J272" s="231"/>
      <c r="K272" s="231">
        <v>226898</v>
      </c>
      <c r="L272" s="231">
        <v>253514.43</v>
      </c>
      <c r="M272" s="231">
        <v>215170.65</v>
      </c>
      <c r="N272" s="231">
        <v>258719.7</v>
      </c>
      <c r="O272" s="231">
        <v>204346.06</v>
      </c>
      <c r="P272" s="231">
        <v>225109.45</v>
      </c>
      <c r="Q272" s="231">
        <v>264052.25</v>
      </c>
      <c r="R272" s="231">
        <v>262795.33</v>
      </c>
      <c r="S272" s="231">
        <v>247407.98</v>
      </c>
      <c r="T272" s="231">
        <v>271848.81999999995</v>
      </c>
      <c r="U272" s="231">
        <v>265993.88</v>
      </c>
      <c r="V272" s="231">
        <v>250014.36000000002</v>
      </c>
      <c r="W272" s="240"/>
      <c r="X272" s="388">
        <f>SUM(K272:V272)</f>
        <v>2945870.9099999997</v>
      </c>
      <c r="Y272" s="389"/>
      <c r="Z272" s="233">
        <f t="shared" ref="Z272:AB273" si="136">IFERROR(K272/$F272,0)</f>
        <v>1380.6620421078253</v>
      </c>
      <c r="AA272" s="233">
        <f t="shared" si="136"/>
        <v>1542.6215772179628</v>
      </c>
      <c r="AB272" s="233">
        <f t="shared" si="136"/>
        <v>1309.3017524644031</v>
      </c>
      <c r="AC272" s="233">
        <f>IFERROR(N272/$G272,0)</f>
        <v>1545.702592902378</v>
      </c>
      <c r="AD272" s="233">
        <f>IFERROR(O272/$G272,0)</f>
        <v>1220.8511172183057</v>
      </c>
      <c r="AE272" s="232">
        <f t="shared" ref="AE272:AG273" si="137">IFERROR(P272/$H272,0)</f>
        <v>1344.9005257497911</v>
      </c>
      <c r="AF272" s="232">
        <f t="shared" si="137"/>
        <v>1577.5615366232526</v>
      </c>
      <c r="AG272" s="232">
        <f t="shared" si="137"/>
        <v>1570.0521567690287</v>
      </c>
      <c r="AH272" s="233">
        <f t="shared" ref="AH272:AK273" si="138">IFERROR(S272/$I272,0)</f>
        <v>1478.1215198948501</v>
      </c>
      <c r="AI272" s="233">
        <f t="shared" si="138"/>
        <v>1624.1415939777748</v>
      </c>
      <c r="AJ272" s="233">
        <f t="shared" si="138"/>
        <v>1589.1616680607003</v>
      </c>
      <c r="AK272" s="233">
        <f t="shared" si="138"/>
        <v>1493.6931533038596</v>
      </c>
      <c r="AL272" s="234">
        <f>AVERAGE(Z272:AK272)</f>
        <v>1473.0642696908444</v>
      </c>
      <c r="AN272" s="234">
        <f>+SUM(AF272:AK272)*2</f>
        <v>18665.463257258933</v>
      </c>
    </row>
    <row r="273" spans="1:40">
      <c r="A273" s="218" t="str">
        <f>$A$1&amp;"Rolloff"&amp;B273</f>
        <v>PIERCE UTCRolloffDISPFEDMSW-RO</v>
      </c>
      <c r="B273" s="230" t="s">
        <v>588</v>
      </c>
      <c r="C273" s="230" t="s">
        <v>781</v>
      </c>
      <c r="D273" s="230"/>
      <c r="E273" s="380">
        <v>31005</v>
      </c>
      <c r="F273" s="231">
        <v>0</v>
      </c>
      <c r="G273" s="231">
        <v>0</v>
      </c>
      <c r="H273" s="231">
        <v>0</v>
      </c>
      <c r="I273" s="231">
        <v>0</v>
      </c>
      <c r="J273" s="231"/>
      <c r="K273" s="231">
        <v>0</v>
      </c>
      <c r="L273" s="231">
        <v>0</v>
      </c>
      <c r="M273" s="231">
        <v>0</v>
      </c>
      <c r="N273" s="231">
        <v>0</v>
      </c>
      <c r="O273" s="231">
        <v>0</v>
      </c>
      <c r="P273" s="231">
        <v>0</v>
      </c>
      <c r="Q273" s="231">
        <v>0</v>
      </c>
      <c r="R273" s="231">
        <v>0</v>
      </c>
      <c r="S273" s="231">
        <v>0</v>
      </c>
      <c r="T273" s="231">
        <v>0</v>
      </c>
      <c r="U273" s="231">
        <v>0</v>
      </c>
      <c r="V273" s="231">
        <v>0</v>
      </c>
      <c r="W273" s="240"/>
      <c r="X273" s="388">
        <f>SUM(K273:V273)</f>
        <v>0</v>
      </c>
      <c r="Y273" s="389"/>
      <c r="Z273" s="233">
        <f t="shared" si="136"/>
        <v>0</v>
      </c>
      <c r="AA273" s="233">
        <f t="shared" si="136"/>
        <v>0</v>
      </c>
      <c r="AB273" s="233">
        <f t="shared" si="136"/>
        <v>0</v>
      </c>
      <c r="AC273" s="233">
        <f>IFERROR(N273/$G273,0)</f>
        <v>0</v>
      </c>
      <c r="AD273" s="233">
        <f>IFERROR(O273/$G273,0)</f>
        <v>0</v>
      </c>
      <c r="AE273" s="232">
        <f t="shared" si="137"/>
        <v>0</v>
      </c>
      <c r="AF273" s="232">
        <f t="shared" si="137"/>
        <v>0</v>
      </c>
      <c r="AG273" s="232">
        <f t="shared" si="137"/>
        <v>0</v>
      </c>
      <c r="AH273" s="233">
        <f t="shared" si="138"/>
        <v>0</v>
      </c>
      <c r="AI273" s="233">
        <f t="shared" si="138"/>
        <v>0</v>
      </c>
      <c r="AJ273" s="233">
        <f t="shared" si="138"/>
        <v>0</v>
      </c>
      <c r="AK273" s="233">
        <f t="shared" si="138"/>
        <v>0</v>
      </c>
      <c r="AL273" s="234">
        <f>AVERAGE(Z273:AK273)</f>
        <v>0</v>
      </c>
      <c r="AN273" s="234">
        <f>+SUM(AF273:AK273)*2</f>
        <v>0</v>
      </c>
    </row>
    <row r="274" spans="1:40">
      <c r="B274" s="230"/>
      <c r="C274" s="230"/>
      <c r="D274" s="230"/>
      <c r="F274" s="231"/>
      <c r="G274" s="231"/>
      <c r="H274" s="231"/>
      <c r="I274" s="231"/>
      <c r="J274" s="231"/>
      <c r="K274" s="231"/>
      <c r="L274" s="231"/>
      <c r="M274" s="231"/>
      <c r="N274" s="231"/>
      <c r="O274" s="231"/>
      <c r="P274" s="231"/>
      <c r="Q274" s="231"/>
      <c r="R274" s="231"/>
      <c r="S274" s="231"/>
      <c r="T274" s="231"/>
      <c r="U274" s="231"/>
      <c r="V274" s="231"/>
      <c r="W274" s="240"/>
      <c r="X274" s="388"/>
      <c r="Y274" s="389"/>
      <c r="Z274" s="233"/>
      <c r="AA274" s="233"/>
      <c r="AB274" s="233"/>
      <c r="AC274" s="232"/>
      <c r="AD274" s="232"/>
      <c r="AE274" s="232"/>
      <c r="AF274" s="232"/>
      <c r="AG274" s="232"/>
      <c r="AH274" s="232"/>
      <c r="AI274" s="232"/>
      <c r="AJ274" s="232"/>
      <c r="AK274" s="232"/>
    </row>
    <row r="275" spans="1:40">
      <c r="B275" s="230"/>
      <c r="C275" s="235" t="s">
        <v>148</v>
      </c>
      <c r="D275" s="230"/>
      <c r="F275" s="231"/>
      <c r="G275" s="231"/>
      <c r="H275" s="231"/>
      <c r="I275" s="231"/>
      <c r="J275" s="231"/>
      <c r="K275" s="255">
        <f>SUM(K272:K274)</f>
        <v>226898</v>
      </c>
      <c r="L275" s="237">
        <f t="shared" ref="L275:V275" si="139">SUM(L272:L274)</f>
        <v>253514.43</v>
      </c>
      <c r="M275" s="237">
        <f t="shared" si="139"/>
        <v>215170.65</v>
      </c>
      <c r="N275" s="237">
        <f t="shared" si="139"/>
        <v>258719.7</v>
      </c>
      <c r="O275" s="237">
        <f t="shared" si="139"/>
        <v>204346.06</v>
      </c>
      <c r="P275" s="237">
        <f t="shared" si="139"/>
        <v>225109.45</v>
      </c>
      <c r="Q275" s="237">
        <f>SUM(Q272:Q274)</f>
        <v>264052.25</v>
      </c>
      <c r="R275" s="237">
        <f>SUM(R272:R274)</f>
        <v>262795.33</v>
      </c>
      <c r="S275" s="237">
        <f t="shared" si="139"/>
        <v>247407.98</v>
      </c>
      <c r="T275" s="237">
        <f t="shared" si="139"/>
        <v>271848.81999999995</v>
      </c>
      <c r="U275" s="237">
        <f t="shared" si="139"/>
        <v>265993.88</v>
      </c>
      <c r="V275" s="237">
        <f t="shared" si="139"/>
        <v>250014.36000000002</v>
      </c>
      <c r="W275" s="240"/>
      <c r="X275" s="237">
        <f>SUM(X272:X274)</f>
        <v>2945870.9099999997</v>
      </c>
      <c r="Y275" s="241"/>
      <c r="Z275" s="233"/>
      <c r="AA275" s="233"/>
      <c r="AB275" s="233"/>
      <c r="AC275" s="232"/>
      <c r="AD275" s="232"/>
      <c r="AE275" s="232"/>
      <c r="AF275" s="232"/>
      <c r="AG275" s="232"/>
      <c r="AH275" s="232"/>
      <c r="AI275" s="232"/>
      <c r="AJ275" s="232"/>
      <c r="AK275" s="232"/>
    </row>
    <row r="276" spans="1:40">
      <c r="B276" s="230"/>
      <c r="F276" s="231"/>
      <c r="G276" s="231"/>
      <c r="H276" s="231"/>
      <c r="I276" s="231"/>
      <c r="L276" s="231"/>
      <c r="M276" s="231"/>
      <c r="N276" s="231"/>
      <c r="O276" s="231"/>
      <c r="P276" s="231"/>
      <c r="Q276" s="231"/>
      <c r="R276" s="231"/>
      <c r="S276" s="231"/>
      <c r="T276" s="231"/>
      <c r="U276" s="231"/>
      <c r="V276" s="231"/>
      <c r="W276" s="240"/>
      <c r="X276" s="388"/>
      <c r="Y276" s="382"/>
      <c r="Z276" s="233"/>
      <c r="AA276" s="233"/>
      <c r="AB276" s="233"/>
      <c r="AC276" s="232"/>
      <c r="AD276" s="232"/>
      <c r="AE276" s="232"/>
      <c r="AF276" s="232"/>
      <c r="AG276" s="232"/>
      <c r="AH276" s="232"/>
      <c r="AI276" s="232"/>
      <c r="AJ276" s="232"/>
      <c r="AK276" s="232"/>
    </row>
    <row r="277" spans="1:40">
      <c r="F277" s="231"/>
      <c r="G277" s="231"/>
      <c r="H277" s="231"/>
      <c r="I277" s="231"/>
      <c r="L277" s="231"/>
      <c r="M277" s="231"/>
      <c r="N277" s="231"/>
      <c r="O277" s="231"/>
      <c r="P277" s="231"/>
      <c r="Q277" s="231"/>
      <c r="R277" s="231"/>
      <c r="S277" s="231"/>
      <c r="T277" s="231"/>
      <c r="U277" s="231"/>
      <c r="V277" s="231"/>
      <c r="W277" s="240"/>
      <c r="X277" s="388"/>
      <c r="Y277" s="230"/>
      <c r="Z277" s="233"/>
      <c r="AA277" s="233"/>
      <c r="AB277" s="233"/>
      <c r="AC277" s="232"/>
      <c r="AD277" s="232"/>
      <c r="AE277" s="232"/>
      <c r="AF277" s="232"/>
      <c r="AG277" s="232"/>
      <c r="AH277" s="232"/>
      <c r="AI277" s="232"/>
      <c r="AJ277" s="232"/>
      <c r="AK277" s="232"/>
    </row>
    <row r="278" spans="1:40" s="242" customFormat="1">
      <c r="B278" s="216" t="s">
        <v>589</v>
      </c>
      <c r="C278" s="216"/>
      <c r="D278" s="216"/>
      <c r="E278" s="223"/>
      <c r="F278" s="231"/>
      <c r="G278" s="231"/>
      <c r="H278" s="231"/>
      <c r="I278" s="231"/>
      <c r="J278" s="216"/>
      <c r="K278" s="244">
        <f t="shared" ref="K278:V278" si="140">+K269+K275</f>
        <v>349151.58</v>
      </c>
      <c r="L278" s="244">
        <f t="shared" si="140"/>
        <v>381474.29000000004</v>
      </c>
      <c r="M278" s="244">
        <f t="shared" si="140"/>
        <v>336768.55</v>
      </c>
      <c r="N278" s="244">
        <f t="shared" si="140"/>
        <v>391880.49</v>
      </c>
      <c r="O278" s="244">
        <f t="shared" si="140"/>
        <v>313444.08999999997</v>
      </c>
      <c r="P278" s="244">
        <f>+P269+P275</f>
        <v>347009.1</v>
      </c>
      <c r="Q278" s="244">
        <f>+Q269+Q275</f>
        <v>400887.16000000003</v>
      </c>
      <c r="R278" s="244">
        <f>+R269+R275</f>
        <v>411882.48</v>
      </c>
      <c r="S278" s="244">
        <f t="shared" si="140"/>
        <v>389832.96000000008</v>
      </c>
      <c r="T278" s="244">
        <f t="shared" si="140"/>
        <v>419257.42</v>
      </c>
      <c r="U278" s="244">
        <f t="shared" si="140"/>
        <v>405970.97000000003</v>
      </c>
      <c r="V278" s="244">
        <f t="shared" si="140"/>
        <v>374267.62</v>
      </c>
      <c r="W278" s="244"/>
      <c r="X278" s="244">
        <f>+X269+X275</f>
        <v>4521826.71</v>
      </c>
      <c r="Y278" s="412"/>
      <c r="Z278" s="233"/>
      <c r="AA278" s="233"/>
      <c r="AB278" s="233"/>
      <c r="AC278" s="232"/>
      <c r="AD278" s="232"/>
      <c r="AE278" s="232"/>
      <c r="AF278" s="232"/>
      <c r="AG278" s="232"/>
      <c r="AH278" s="232"/>
      <c r="AI278" s="232"/>
      <c r="AJ278" s="232"/>
      <c r="AK278" s="232"/>
    </row>
    <row r="279" spans="1:40" s="242" customFormat="1">
      <c r="B279" s="216"/>
      <c r="C279" s="216"/>
      <c r="D279" s="216"/>
      <c r="E279" s="223"/>
      <c r="F279" s="231"/>
      <c r="G279" s="231"/>
      <c r="H279" s="231"/>
      <c r="I279" s="231"/>
      <c r="J279" s="245"/>
      <c r="K279" s="245"/>
      <c r="L279" s="231"/>
      <c r="M279" s="231"/>
      <c r="N279" s="231"/>
      <c r="O279" s="231"/>
      <c r="P279" s="231"/>
      <c r="Q279" s="231"/>
      <c r="R279" s="231"/>
      <c r="S279" s="231"/>
      <c r="T279" s="231"/>
      <c r="U279" s="231"/>
      <c r="V279" s="231"/>
      <c r="W279" s="231"/>
      <c r="X279" s="388"/>
      <c r="Y279" s="413"/>
      <c r="Z279" s="233"/>
      <c r="AA279" s="233"/>
      <c r="AB279" s="233"/>
      <c r="AC279" s="232"/>
      <c r="AD279" s="232"/>
      <c r="AE279" s="232"/>
      <c r="AF279" s="232"/>
      <c r="AG279" s="232"/>
      <c r="AH279" s="232"/>
      <c r="AI279" s="232"/>
      <c r="AJ279" s="232"/>
      <c r="AK279" s="232"/>
    </row>
    <row r="280" spans="1:40">
      <c r="F280" s="231"/>
      <c r="G280" s="231"/>
      <c r="H280" s="231"/>
      <c r="I280" s="231"/>
      <c r="L280" s="231"/>
      <c r="M280" s="231"/>
      <c r="N280" s="231"/>
      <c r="O280" s="231"/>
      <c r="P280" s="231"/>
      <c r="Q280" s="231"/>
      <c r="R280" s="231"/>
      <c r="S280" s="231"/>
      <c r="T280" s="231"/>
      <c r="U280" s="231"/>
      <c r="V280" s="231"/>
      <c r="W280" s="231"/>
      <c r="X280" s="388"/>
      <c r="Y280" s="230"/>
      <c r="Z280" s="233"/>
      <c r="AA280" s="233"/>
      <c r="AB280" s="233"/>
      <c r="AC280" s="232"/>
      <c r="AD280" s="232"/>
      <c r="AE280" s="232"/>
      <c r="AF280" s="232"/>
      <c r="AG280" s="232"/>
      <c r="AH280" s="232"/>
      <c r="AI280" s="232"/>
      <c r="AJ280" s="232"/>
      <c r="AK280" s="232"/>
    </row>
    <row r="281" spans="1:40">
      <c r="B281" s="226" t="s">
        <v>590</v>
      </c>
      <c r="F281" s="231"/>
      <c r="G281" s="231"/>
      <c r="H281" s="231"/>
      <c r="I281" s="231"/>
      <c r="J281" s="231"/>
      <c r="K281" s="231"/>
      <c r="L281" s="231"/>
      <c r="M281" s="231"/>
      <c r="N281" s="231"/>
      <c r="O281" s="231"/>
      <c r="P281" s="231"/>
      <c r="Q281" s="231"/>
      <c r="R281" s="231"/>
      <c r="S281" s="231"/>
      <c r="T281" s="231"/>
      <c r="U281" s="231"/>
      <c r="V281" s="231"/>
      <c r="W281" s="231"/>
      <c r="X281" s="388"/>
      <c r="Y281" s="230"/>
      <c r="Z281" s="233"/>
      <c r="AA281" s="233"/>
      <c r="AB281" s="233"/>
      <c r="AC281" s="232"/>
      <c r="AD281" s="232"/>
      <c r="AE281" s="232"/>
      <c r="AF281" s="232"/>
      <c r="AG281" s="232"/>
      <c r="AH281" s="232"/>
      <c r="AI281" s="232"/>
      <c r="AJ281" s="232"/>
      <c r="AK281" s="232"/>
      <c r="AL281" s="217"/>
      <c r="AN281" s="217"/>
    </row>
    <row r="282" spans="1:40">
      <c r="A282" s="218" t="str">
        <f>$A$1&amp;"accounting adjustments"&amp;B282</f>
        <v>PIERCE UTCaccounting adjustmentsADJ-FIN</v>
      </c>
      <c r="B282" s="230" t="s">
        <v>591</v>
      </c>
      <c r="C282" s="230" t="s">
        <v>592</v>
      </c>
      <c r="D282" s="230" t="s">
        <v>590</v>
      </c>
      <c r="E282" s="380">
        <v>38000</v>
      </c>
      <c r="F282" s="231"/>
      <c r="G282" s="231"/>
      <c r="H282" s="231"/>
      <c r="I282" s="231"/>
      <c r="J282" s="231"/>
      <c r="K282" s="231">
        <v>0</v>
      </c>
      <c r="L282" s="231">
        <v>0</v>
      </c>
      <c r="M282" s="231">
        <v>0</v>
      </c>
      <c r="N282" s="231">
        <v>0</v>
      </c>
      <c r="O282" s="231">
        <v>0</v>
      </c>
      <c r="P282" s="231">
        <v>0</v>
      </c>
      <c r="Q282" s="231">
        <v>0</v>
      </c>
      <c r="R282" s="231">
        <v>0</v>
      </c>
      <c r="S282" s="231">
        <v>0</v>
      </c>
      <c r="T282" s="231">
        <v>0</v>
      </c>
      <c r="U282" s="231">
        <v>0</v>
      </c>
      <c r="V282" s="231">
        <v>-24.92</v>
      </c>
      <c r="W282" s="231"/>
      <c r="X282" s="388">
        <f>SUM(K282:V282)</f>
        <v>-24.92</v>
      </c>
      <c r="Y282" s="392"/>
      <c r="Z282" s="233">
        <f t="shared" ref="Z282:AB283" si="141">IFERROR(K282/$F282,0)</f>
        <v>0</v>
      </c>
      <c r="AA282" s="233">
        <f t="shared" si="141"/>
        <v>0</v>
      </c>
      <c r="AB282" s="233">
        <f t="shared" si="141"/>
        <v>0</v>
      </c>
      <c r="AC282" s="233">
        <f>IFERROR(N282/$G282,0)</f>
        <v>0</v>
      </c>
      <c r="AD282" s="233">
        <f>IFERROR(O282/$G282,0)</f>
        <v>0</v>
      </c>
      <c r="AE282" s="232">
        <f t="shared" ref="AE282:AG283" si="142">IFERROR(P282/$H282,0)</f>
        <v>0</v>
      </c>
      <c r="AF282" s="232">
        <f t="shared" si="142"/>
        <v>0</v>
      </c>
      <c r="AG282" s="232">
        <f t="shared" si="142"/>
        <v>0</v>
      </c>
      <c r="AH282" s="233">
        <f t="shared" ref="AH282:AK283" si="143">IFERROR(S282/$I282,0)</f>
        <v>0</v>
      </c>
      <c r="AI282" s="233">
        <f t="shared" si="143"/>
        <v>0</v>
      </c>
      <c r="AJ282" s="233">
        <f t="shared" si="143"/>
        <v>0</v>
      </c>
      <c r="AK282" s="233">
        <f t="shared" si="143"/>
        <v>0</v>
      </c>
      <c r="AL282" s="217"/>
      <c r="AN282" s="234">
        <f>+SUM(AF282:AK282)*2</f>
        <v>0</v>
      </c>
    </row>
    <row r="283" spans="1:40">
      <c r="A283" s="218" t="str">
        <f>$A$1&amp;"accounting adjustments"&amp;B283</f>
        <v>PIERCE UTCaccounting adjustmentsRETCKC</v>
      </c>
      <c r="B283" s="230" t="s">
        <v>593</v>
      </c>
      <c r="C283" s="230" t="s">
        <v>594</v>
      </c>
      <c r="D283" s="230" t="s">
        <v>590</v>
      </c>
      <c r="E283" s="380">
        <v>38000</v>
      </c>
      <c r="F283" s="231">
        <v>21.5</v>
      </c>
      <c r="G283" s="231">
        <v>21.5</v>
      </c>
      <c r="H283" s="231">
        <v>21.3</v>
      </c>
      <c r="I283" s="231">
        <v>21.36</v>
      </c>
      <c r="J283" s="231"/>
      <c r="K283" s="231">
        <v>86</v>
      </c>
      <c r="L283" s="231">
        <v>129</v>
      </c>
      <c r="M283" s="231">
        <v>107.5</v>
      </c>
      <c r="N283" s="231">
        <v>0</v>
      </c>
      <c r="O283" s="231">
        <v>0</v>
      </c>
      <c r="P283" s="231">
        <v>-21.5</v>
      </c>
      <c r="Q283" s="231">
        <v>21.3</v>
      </c>
      <c r="R283" s="231">
        <v>42.6</v>
      </c>
      <c r="S283" s="231">
        <v>21.36</v>
      </c>
      <c r="T283" s="231">
        <v>85.44</v>
      </c>
      <c r="U283" s="231">
        <v>85.44</v>
      </c>
      <c r="V283" s="231">
        <v>0</v>
      </c>
      <c r="W283" s="231"/>
      <c r="X283" s="388">
        <f>SUM(K283:V283)</f>
        <v>557.1400000000001</v>
      </c>
      <c r="Y283" s="392"/>
      <c r="Z283" s="233">
        <f t="shared" si="141"/>
        <v>4</v>
      </c>
      <c r="AA283" s="233">
        <f t="shared" si="141"/>
        <v>6</v>
      </c>
      <c r="AB283" s="233">
        <f t="shared" si="141"/>
        <v>5</v>
      </c>
      <c r="AC283" s="233">
        <f>IFERROR(N283/$G283,0)</f>
        <v>0</v>
      </c>
      <c r="AD283" s="233">
        <f>IFERROR(O283/$G283,0)</f>
        <v>0</v>
      </c>
      <c r="AE283" s="232">
        <f t="shared" si="142"/>
        <v>-1.0093896713615023</v>
      </c>
      <c r="AF283" s="232">
        <f t="shared" si="142"/>
        <v>1</v>
      </c>
      <c r="AG283" s="232">
        <f t="shared" si="142"/>
        <v>2</v>
      </c>
      <c r="AH283" s="233">
        <f t="shared" si="143"/>
        <v>1</v>
      </c>
      <c r="AI283" s="233">
        <f t="shared" si="143"/>
        <v>4</v>
      </c>
      <c r="AJ283" s="233">
        <f t="shared" si="143"/>
        <v>4</v>
      </c>
      <c r="AK283" s="233">
        <f t="shared" si="143"/>
        <v>0</v>
      </c>
      <c r="AL283" s="234">
        <f>AVERAGE(Z283:AK283)</f>
        <v>2.1658841940532079</v>
      </c>
      <c r="AN283" s="234">
        <f>+SUM(AF283:AK283)*2</f>
        <v>24</v>
      </c>
    </row>
    <row r="284" spans="1:40">
      <c r="B284" s="230"/>
      <c r="F284" s="231"/>
      <c r="G284" s="231"/>
      <c r="H284" s="231"/>
      <c r="I284" s="231"/>
      <c r="X284" s="385"/>
      <c r="Y284" s="392"/>
      <c r="Z284" s="392"/>
    </row>
    <row r="285" spans="1:40" s="242" customFormat="1">
      <c r="B285" s="216" t="s">
        <v>595</v>
      </c>
      <c r="C285" s="216"/>
      <c r="D285" s="216"/>
      <c r="E285" s="223"/>
      <c r="F285" s="231"/>
      <c r="G285" s="231"/>
      <c r="H285" s="231"/>
      <c r="I285" s="231"/>
      <c r="J285" s="216"/>
      <c r="K285" s="255">
        <f t="shared" ref="K285:V285" si="144">SUM(K282:K284)</f>
        <v>86</v>
      </c>
      <c r="L285" s="255">
        <f t="shared" si="144"/>
        <v>129</v>
      </c>
      <c r="M285" s="255">
        <f t="shared" si="144"/>
        <v>107.5</v>
      </c>
      <c r="N285" s="255">
        <f t="shared" si="144"/>
        <v>0</v>
      </c>
      <c r="O285" s="255">
        <f t="shared" si="144"/>
        <v>0</v>
      </c>
      <c r="P285" s="255">
        <f t="shared" si="144"/>
        <v>-21.5</v>
      </c>
      <c r="Q285" s="255">
        <f t="shared" si="144"/>
        <v>21.3</v>
      </c>
      <c r="R285" s="255">
        <f t="shared" si="144"/>
        <v>42.6</v>
      </c>
      <c r="S285" s="255">
        <f t="shared" si="144"/>
        <v>21.36</v>
      </c>
      <c r="T285" s="255">
        <f t="shared" si="144"/>
        <v>85.44</v>
      </c>
      <c r="U285" s="255">
        <f t="shared" si="144"/>
        <v>85.44</v>
      </c>
      <c r="V285" s="255">
        <f t="shared" si="144"/>
        <v>-24.92</v>
      </c>
      <c r="W285" s="256"/>
      <c r="X285" s="255">
        <f>SUM(X282:X284)</f>
        <v>532.22000000000014</v>
      </c>
      <c r="Y285" s="412"/>
      <c r="Z285" s="412"/>
      <c r="AA285" s="216"/>
    </row>
    <row r="286" spans="1:40" s="242" customFormat="1">
      <c r="B286" s="216"/>
      <c r="C286" s="216"/>
      <c r="D286" s="216"/>
      <c r="E286" s="223"/>
      <c r="F286" s="231"/>
      <c r="G286" s="231"/>
      <c r="H286" s="231"/>
      <c r="I286" s="231"/>
      <c r="J286" s="245"/>
      <c r="K286" s="245"/>
      <c r="L286" s="245"/>
      <c r="M286" s="245"/>
      <c r="N286" s="245"/>
      <c r="O286" s="245"/>
      <c r="P286" s="245"/>
      <c r="Q286" s="245"/>
      <c r="R286" s="245"/>
      <c r="S286" s="245"/>
      <c r="T286" s="245"/>
      <c r="U286" s="245"/>
      <c r="V286" s="245"/>
      <c r="W286" s="246"/>
      <c r="X286" s="425"/>
      <c r="Y286" s="413"/>
      <c r="Z286" s="413"/>
      <c r="AA286" s="216"/>
    </row>
    <row r="287" spans="1:40" s="242" customFormat="1">
      <c r="B287" s="216"/>
      <c r="C287" s="216"/>
      <c r="D287" s="216"/>
      <c r="E287" s="223"/>
      <c r="F287" s="231"/>
      <c r="G287" s="231"/>
      <c r="H287" s="231"/>
      <c r="I287" s="231"/>
      <c r="J287" s="245"/>
      <c r="K287" s="245"/>
      <c r="L287" s="245"/>
      <c r="M287" s="245"/>
      <c r="N287" s="245"/>
      <c r="O287" s="245"/>
      <c r="P287" s="245"/>
      <c r="Q287" s="245"/>
      <c r="R287" s="245"/>
      <c r="S287" s="245"/>
      <c r="T287" s="245"/>
      <c r="U287" s="245"/>
      <c r="V287" s="245"/>
      <c r="W287" s="246"/>
      <c r="X287" s="425"/>
      <c r="Y287" s="413"/>
      <c r="Z287" s="413"/>
      <c r="AA287" s="216"/>
    </row>
    <row r="288" spans="1:40">
      <c r="B288" s="230"/>
      <c r="F288" s="231"/>
      <c r="G288" s="231"/>
      <c r="H288" s="231"/>
      <c r="I288" s="231"/>
      <c r="W288" s="233"/>
      <c r="X288" s="426"/>
      <c r="Y288" s="392"/>
      <c r="Z288" s="392"/>
    </row>
    <row r="289" spans="1:27">
      <c r="F289" s="231"/>
      <c r="G289" s="231"/>
      <c r="H289" s="231"/>
      <c r="I289" s="231"/>
      <c r="W289" s="233"/>
      <c r="X289" s="426"/>
      <c r="Y289" s="392"/>
      <c r="Z289" s="392"/>
    </row>
    <row r="290" spans="1:27" s="242" customFormat="1" ht="13.5" thickBot="1">
      <c r="A290" s="427"/>
      <c r="B290" s="428" t="s">
        <v>596</v>
      </c>
      <c r="C290" s="428"/>
      <c r="D290" s="428"/>
      <c r="E290" s="429"/>
      <c r="F290" s="430"/>
      <c r="G290" s="430"/>
      <c r="H290" s="430"/>
      <c r="I290" s="430"/>
      <c r="J290" s="428"/>
      <c r="K290" s="257">
        <f t="shared" ref="K290:V290" si="145">+K87+K217+K278+K285</f>
        <v>2815333.5150000006</v>
      </c>
      <c r="L290" s="257">
        <f t="shared" si="145"/>
        <v>2839404.7550000004</v>
      </c>
      <c r="M290" s="257">
        <f t="shared" si="145"/>
        <v>2782442.4800000004</v>
      </c>
      <c r="N290" s="257">
        <f t="shared" si="145"/>
        <v>2871131.8100000005</v>
      </c>
      <c r="O290" s="257">
        <f t="shared" si="145"/>
        <v>2764591.6400000029</v>
      </c>
      <c r="P290" s="257">
        <f t="shared" si="145"/>
        <v>2915941.3099999977</v>
      </c>
      <c r="Q290" s="257">
        <f t="shared" si="145"/>
        <v>2998782.45</v>
      </c>
      <c r="R290" s="257">
        <f t="shared" si="145"/>
        <v>3026342.4949999996</v>
      </c>
      <c r="S290" s="257">
        <f t="shared" si="145"/>
        <v>3020091.4799999995</v>
      </c>
      <c r="T290" s="257">
        <f t="shared" si="145"/>
        <v>3070532.4649999999</v>
      </c>
      <c r="U290" s="257">
        <f t="shared" si="145"/>
        <v>3064289.3</v>
      </c>
      <c r="V290" s="257">
        <f t="shared" si="145"/>
        <v>3030502.8950000005</v>
      </c>
      <c r="W290" s="257"/>
      <c r="X290" s="257">
        <f>+X87+X217+X278+X285</f>
        <v>35202765.164999999</v>
      </c>
      <c r="Y290" s="412"/>
      <c r="Z290" s="412"/>
      <c r="AA290" s="216"/>
    </row>
    <row r="291" spans="1:27" s="242" customFormat="1" ht="13.5" thickTop="1">
      <c r="B291" s="216"/>
      <c r="C291" s="216"/>
      <c r="D291" s="216"/>
      <c r="E291" s="223"/>
      <c r="F291" s="231"/>
      <c r="G291" s="231"/>
      <c r="H291" s="231"/>
      <c r="I291" s="231"/>
      <c r="J291" s="245"/>
      <c r="K291" s="259">
        <v>0</v>
      </c>
      <c r="L291" s="245"/>
      <c r="M291" s="245"/>
      <c r="N291" s="245"/>
      <c r="O291" s="245"/>
      <c r="P291" s="245"/>
      <c r="Q291" s="245"/>
      <c r="R291" s="245"/>
      <c r="S291" s="245"/>
      <c r="T291" s="245"/>
      <c r="U291" s="245"/>
      <c r="V291" s="245"/>
      <c r="W291" s="246"/>
      <c r="X291" s="246"/>
      <c r="Y291" s="413"/>
      <c r="Z291" s="413"/>
      <c r="AA291" s="216"/>
    </row>
    <row r="292" spans="1:27" s="242" customFormat="1">
      <c r="B292" s="216"/>
      <c r="C292" s="216"/>
      <c r="D292" s="216"/>
      <c r="E292" s="223"/>
      <c r="F292" s="231"/>
      <c r="G292" s="231"/>
      <c r="H292" s="231"/>
      <c r="I292" s="231"/>
      <c r="J292" s="245"/>
      <c r="K292" s="245"/>
      <c r="L292" s="259"/>
      <c r="M292" s="259"/>
      <c r="N292" s="259"/>
      <c r="O292" s="259"/>
      <c r="P292" s="259"/>
      <c r="Q292" s="259"/>
      <c r="R292" s="259"/>
      <c r="S292" s="259"/>
      <c r="T292" s="259"/>
      <c r="U292" s="259"/>
      <c r="V292" s="259"/>
      <c r="W292" s="258"/>
      <c r="X292" s="258"/>
      <c r="Y292" s="432"/>
      <c r="Z292" s="432"/>
      <c r="AA292" s="216"/>
    </row>
    <row r="293" spans="1:27" ht="14.25">
      <c r="A293" s="433"/>
      <c r="B293" s="433"/>
      <c r="C293" s="433"/>
    </row>
    <row r="294" spans="1:27" ht="14.25">
      <c r="A294" s="433"/>
      <c r="B294" s="433"/>
      <c r="C294" s="433"/>
    </row>
    <row r="295" spans="1:27" ht="14.25">
      <c r="A295" s="433"/>
      <c r="B295" s="433"/>
      <c r="C295" s="433"/>
    </row>
    <row r="296" spans="1:27" ht="14.25">
      <c r="A296" s="433"/>
      <c r="B296" s="433"/>
      <c r="C296" s="433"/>
    </row>
    <row r="297" spans="1:27" ht="14.25">
      <c r="A297" s="433"/>
      <c r="B297" s="433"/>
      <c r="C297" s="433"/>
    </row>
    <row r="298" spans="1:27" ht="14.25">
      <c r="A298" s="433"/>
      <c r="B298" s="433"/>
      <c r="C298" s="433"/>
    </row>
    <row r="299" spans="1:27" ht="14.25">
      <c r="A299" s="433"/>
      <c r="B299" s="433"/>
      <c r="C299" s="433"/>
    </row>
    <row r="300" spans="1:27" ht="14.25">
      <c r="A300" s="433"/>
      <c r="B300" s="433"/>
      <c r="C300" s="433"/>
    </row>
    <row r="301" spans="1:27" ht="14.25">
      <c r="A301" s="433"/>
      <c r="B301" s="433"/>
      <c r="C301" s="433"/>
    </row>
    <row r="302" spans="1:27" ht="14.25">
      <c r="A302" s="433"/>
      <c r="B302" s="433"/>
      <c r="C302" s="433"/>
    </row>
    <row r="303" spans="1:27" ht="14.25">
      <c r="A303" s="433"/>
      <c r="B303" s="433"/>
      <c r="C303" s="433"/>
    </row>
    <row r="304" spans="1:27" ht="14.25">
      <c r="A304" s="433"/>
      <c r="B304" s="433"/>
      <c r="C304" s="433"/>
    </row>
    <row r="305" spans="1:3" ht="14.25">
      <c r="A305" s="433"/>
      <c r="B305" s="433"/>
      <c r="C305" s="433"/>
    </row>
    <row r="306" spans="1:3" ht="14.25">
      <c r="A306" s="433"/>
      <c r="B306" s="433"/>
      <c r="C306" s="433"/>
    </row>
    <row r="307" spans="1:3" ht="14.25">
      <c r="A307" s="433"/>
      <c r="B307" s="433"/>
      <c r="C307" s="433"/>
    </row>
    <row r="308" spans="1:3" ht="14.25">
      <c r="A308" s="433"/>
      <c r="B308" s="433"/>
      <c r="C308" s="433"/>
    </row>
    <row r="309" spans="1:3" ht="14.25">
      <c r="A309" s="433"/>
      <c r="B309" s="433"/>
      <c r="C309" s="433"/>
    </row>
    <row r="310" spans="1:3" ht="14.25">
      <c r="A310" s="433"/>
      <c r="B310" s="433"/>
      <c r="C310" s="433"/>
    </row>
    <row r="311" spans="1:3" ht="14.25">
      <c r="A311" s="433"/>
      <c r="B311" s="433"/>
      <c r="C311" s="433"/>
    </row>
    <row r="312" spans="1:3" ht="14.25">
      <c r="A312" s="433"/>
      <c r="B312" s="433"/>
      <c r="C312" s="433"/>
    </row>
    <row r="313" spans="1:3" ht="14.25">
      <c r="A313" s="433"/>
      <c r="B313" s="433"/>
      <c r="C313" s="433"/>
    </row>
    <row r="314" spans="1:3" ht="14.25">
      <c r="A314" s="433"/>
      <c r="B314" s="433"/>
      <c r="C314" s="433"/>
    </row>
    <row r="315" spans="1:3" ht="14.25">
      <c r="A315" s="433"/>
      <c r="B315" s="433"/>
      <c r="C315" s="433"/>
    </row>
    <row r="316" spans="1:3" ht="14.25">
      <c r="A316" s="433"/>
      <c r="B316" s="433"/>
      <c r="C316" s="433"/>
    </row>
    <row r="317" spans="1:3" ht="14.25">
      <c r="A317" s="433"/>
      <c r="B317" s="433"/>
      <c r="C317" s="433"/>
    </row>
    <row r="318" spans="1:3" ht="14.25">
      <c r="A318" s="433"/>
      <c r="B318" s="433"/>
      <c r="C318" s="433"/>
    </row>
    <row r="319" spans="1:3" ht="14.25">
      <c r="A319" s="433"/>
      <c r="B319" s="433"/>
      <c r="C319" s="433"/>
    </row>
    <row r="320" spans="1:3" ht="14.25">
      <c r="A320" s="433"/>
      <c r="B320" s="433"/>
      <c r="C320" s="433"/>
    </row>
  </sheetData>
  <mergeCells count="3">
    <mergeCell ref="K5:V5"/>
    <mergeCell ref="Z5:AK5"/>
    <mergeCell ref="F1:AL3"/>
  </mergeCells>
  <pageMargins left="0.7" right="0.7" top="0.75" bottom="0.75" header="0.3" footer="0.3"/>
  <pageSetup scale="49" fitToHeight="3" orientation="portrait" r:id="rId1"/>
  <headerFooter>
    <oddHeader>&amp;R&amp;F
&amp;A</oddHeader>
    <oddFooter>&amp;L&amp;D&amp;C&amp;P&amp;R&amp;T</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310"/>
  <sheetViews>
    <sheetView workbookViewId="0">
      <pane xSplit="5" ySplit="6" topLeftCell="F7" activePane="bottomRight" state="frozen"/>
      <selection activeCell="S17" sqref="S17:S18"/>
      <selection pane="topRight" activeCell="S17" sqref="S17:S18"/>
      <selection pane="bottomLeft" activeCell="S17" sqref="S17:S18"/>
      <selection pane="bottomRight" activeCell="S17" sqref="S17:S18"/>
    </sheetView>
  </sheetViews>
  <sheetFormatPr defaultRowHeight="12.75" outlineLevelCol="1"/>
  <cols>
    <col min="1" max="1" width="45.42578125" style="218" bestFit="1" customWidth="1"/>
    <col min="2" max="2" width="29.85546875" style="217" customWidth="1"/>
    <col min="3" max="3" width="18.140625" style="217" customWidth="1"/>
    <col min="4" max="4" width="15.140625" style="217" hidden="1" customWidth="1"/>
    <col min="5" max="5" width="10" style="380" hidden="1" customWidth="1"/>
    <col min="6" max="6" width="9" style="218" bestFit="1" customWidth="1"/>
    <col min="7" max="7" width="9" style="218" customWidth="1"/>
    <col min="8" max="9" width="9" style="217" bestFit="1" customWidth="1"/>
    <col min="10" max="10" width="4.42578125" style="217" customWidth="1"/>
    <col min="11" max="12" width="13.42578125" style="217" hidden="1" customWidth="1" outlineLevel="1"/>
    <col min="13" max="13" width="12.42578125" style="217" hidden="1" customWidth="1" outlineLevel="1"/>
    <col min="14" max="15" width="13.85546875" style="217" hidden="1" customWidth="1" outlineLevel="1"/>
    <col min="16" max="22" width="12.42578125" style="217" hidden="1" customWidth="1" outlineLevel="1"/>
    <col min="23" max="23" width="2.140625" style="217" customWidth="1" collapsed="1"/>
    <col min="24" max="24" width="13.140625" style="217" customWidth="1"/>
    <col min="25" max="25" width="5.7109375" style="381" customWidth="1"/>
    <col min="26" max="26" width="6.42578125" style="381" bestFit="1" customWidth="1"/>
    <col min="27" max="27" width="12" style="217" hidden="1" customWidth="1" outlineLevel="1"/>
    <col min="28" max="38" width="10.28515625" style="218" hidden="1" customWidth="1" outlineLevel="1"/>
    <col min="39" max="39" width="11" style="218" bestFit="1" customWidth="1" collapsed="1"/>
    <col min="40" max="40" width="11" style="218" bestFit="1" customWidth="1"/>
    <col min="41" max="41" width="9.140625" style="218"/>
    <col min="42" max="42" width="11" style="218" bestFit="1" customWidth="1"/>
    <col min="43" max="16384" width="9.140625" style="218"/>
  </cols>
  <sheetData>
    <row r="1" spans="1:40">
      <c r="A1" s="216" t="s">
        <v>719</v>
      </c>
      <c r="C1" s="216"/>
      <c r="D1" s="216"/>
    </row>
    <row r="2" spans="1:40">
      <c r="A2" s="223"/>
      <c r="B2" s="218"/>
      <c r="C2" s="216"/>
      <c r="D2" s="216"/>
      <c r="F2" s="217"/>
      <c r="G2" s="217"/>
      <c r="W2" s="219"/>
      <c r="X2" s="219"/>
      <c r="Y2" s="382"/>
      <c r="Z2" s="382"/>
      <c r="AC2" s="220"/>
      <c r="AD2" s="220"/>
      <c r="AE2" s="220"/>
      <c r="AF2" s="220"/>
    </row>
    <row r="3" spans="1:40">
      <c r="B3" s="218"/>
      <c r="C3" s="216"/>
      <c r="D3" s="216"/>
      <c r="F3" s="217"/>
      <c r="G3" s="217"/>
      <c r="W3" s="219"/>
      <c r="X3" s="219"/>
      <c r="Y3" s="382"/>
      <c r="Z3" s="382"/>
    </row>
    <row r="4" spans="1:40">
      <c r="A4" s="216" t="s">
        <v>694</v>
      </c>
      <c r="B4" s="218"/>
      <c r="C4" s="216"/>
      <c r="D4" s="216"/>
      <c r="F4" s="217"/>
      <c r="G4" s="217"/>
      <c r="Y4" s="230"/>
      <c r="Z4" s="230"/>
    </row>
    <row r="5" spans="1:40" ht="14.25" customHeight="1">
      <c r="A5" s="532" t="s">
        <v>850</v>
      </c>
      <c r="C5" s="221"/>
      <c r="D5" s="221"/>
      <c r="F5" s="222"/>
      <c r="G5" s="222"/>
      <c r="H5" s="222"/>
      <c r="I5" s="222"/>
      <c r="K5" s="451"/>
      <c r="L5" s="451"/>
      <c r="M5" s="451"/>
      <c r="N5" s="451"/>
      <c r="O5" s="451"/>
      <c r="P5" s="451"/>
      <c r="Q5" s="451"/>
      <c r="R5" s="451"/>
      <c r="S5" s="451"/>
      <c r="T5" s="451"/>
      <c r="U5" s="451"/>
      <c r="V5" s="451"/>
      <c r="W5" s="380"/>
      <c r="X5" s="380"/>
      <c r="Z5" s="522"/>
      <c r="AA5" s="522"/>
      <c r="AB5" s="522"/>
      <c r="AC5" s="522"/>
      <c r="AD5" s="522"/>
      <c r="AE5" s="522"/>
      <c r="AF5" s="522"/>
      <c r="AG5" s="522"/>
      <c r="AH5" s="522"/>
      <c r="AI5" s="522"/>
      <c r="AJ5" s="522"/>
      <c r="AK5" s="522"/>
      <c r="AL5" s="522"/>
    </row>
    <row r="6" spans="1:40" ht="37.5" customHeight="1">
      <c r="B6" s="223" t="s">
        <v>106</v>
      </c>
      <c r="C6" s="221" t="s">
        <v>132</v>
      </c>
      <c r="D6" s="221" t="s">
        <v>109</v>
      </c>
      <c r="E6" s="221" t="s">
        <v>339</v>
      </c>
      <c r="F6" s="221" t="s">
        <v>340</v>
      </c>
      <c r="G6" s="221" t="s">
        <v>695</v>
      </c>
      <c r="H6" s="221" t="s">
        <v>696</v>
      </c>
      <c r="I6" s="221" t="s">
        <v>697</v>
      </c>
      <c r="J6" s="221"/>
      <c r="K6" s="224">
        <v>43800</v>
      </c>
      <c r="L6" s="224">
        <v>43831</v>
      </c>
      <c r="M6" s="224">
        <v>43862</v>
      </c>
      <c r="N6" s="224">
        <v>43891</v>
      </c>
      <c r="O6" s="224">
        <v>43922</v>
      </c>
      <c r="P6" s="224">
        <v>43952</v>
      </c>
      <c r="Q6" s="224">
        <v>43983</v>
      </c>
      <c r="R6" s="224">
        <v>44013</v>
      </c>
      <c r="S6" s="224">
        <v>44044</v>
      </c>
      <c r="T6" s="224">
        <v>44075</v>
      </c>
      <c r="U6" s="224">
        <v>44105</v>
      </c>
      <c r="V6" s="224">
        <v>44136</v>
      </c>
      <c r="W6" s="224"/>
      <c r="X6" s="383" t="s">
        <v>698</v>
      </c>
      <c r="Y6" s="384"/>
      <c r="Z6" s="224">
        <v>43800</v>
      </c>
      <c r="AA6" s="224">
        <f t="shared" ref="AA6:AK6" si="0">+L6</f>
        <v>43831</v>
      </c>
      <c r="AB6" s="224">
        <f t="shared" si="0"/>
        <v>43862</v>
      </c>
      <c r="AC6" s="224">
        <f t="shared" si="0"/>
        <v>43891</v>
      </c>
      <c r="AD6" s="224">
        <f t="shared" si="0"/>
        <v>43922</v>
      </c>
      <c r="AE6" s="224">
        <f t="shared" si="0"/>
        <v>43952</v>
      </c>
      <c r="AF6" s="224">
        <f t="shared" si="0"/>
        <v>43983</v>
      </c>
      <c r="AG6" s="224">
        <f t="shared" si="0"/>
        <v>44013</v>
      </c>
      <c r="AH6" s="224">
        <f t="shared" si="0"/>
        <v>44044</v>
      </c>
      <c r="AI6" s="224">
        <f t="shared" si="0"/>
        <v>44075</v>
      </c>
      <c r="AJ6" s="224">
        <f t="shared" si="0"/>
        <v>44105</v>
      </c>
      <c r="AK6" s="224">
        <f t="shared" si="0"/>
        <v>44136</v>
      </c>
      <c r="AL6" s="224" t="e">
        <f>+#REF!</f>
        <v>#REF!</v>
      </c>
      <c r="AM6" s="383" t="s">
        <v>741</v>
      </c>
      <c r="AN6" s="383" t="s">
        <v>734</v>
      </c>
    </row>
    <row r="7" spans="1:40">
      <c r="F7" s="217"/>
      <c r="G7" s="217"/>
      <c r="X7" s="385"/>
      <c r="Y7" s="230"/>
      <c r="Z7" s="230"/>
      <c r="AM7" s="385"/>
      <c r="AN7" s="385"/>
    </row>
    <row r="8" spans="1:40">
      <c r="B8" s="225" t="s">
        <v>341</v>
      </c>
      <c r="C8" s="226"/>
      <c r="D8" s="226"/>
      <c r="F8" s="227"/>
      <c r="G8" s="227"/>
      <c r="H8" s="227"/>
      <c r="I8" s="227"/>
      <c r="J8" s="227"/>
      <c r="K8" s="227"/>
      <c r="L8" s="227"/>
      <c r="M8" s="227"/>
      <c r="N8" s="227"/>
      <c r="O8" s="227"/>
      <c r="P8" s="227"/>
      <c r="Q8" s="227"/>
      <c r="R8" s="227"/>
      <c r="S8" s="227"/>
      <c r="T8" s="227"/>
      <c r="U8" s="227"/>
      <c r="V8" s="227"/>
      <c r="W8" s="227"/>
      <c r="X8" s="386"/>
      <c r="Y8" s="387"/>
      <c r="Z8" s="387"/>
      <c r="AM8" s="386"/>
      <c r="AN8" s="386"/>
    </row>
    <row r="9" spans="1:40">
      <c r="B9" s="225"/>
      <c r="C9" s="226"/>
      <c r="D9" s="226"/>
      <c r="F9" s="227"/>
      <c r="G9" s="227"/>
      <c r="H9" s="227"/>
      <c r="I9" s="227"/>
      <c r="J9" s="227"/>
      <c r="K9" s="227"/>
      <c r="L9" s="227"/>
      <c r="M9" s="227"/>
      <c r="N9" s="227"/>
      <c r="O9" s="227"/>
      <c r="P9" s="227"/>
      <c r="Q9" s="227"/>
      <c r="R9" s="227"/>
      <c r="S9" s="227"/>
      <c r="T9" s="227"/>
      <c r="U9" s="227"/>
      <c r="V9" s="227"/>
      <c r="W9" s="227"/>
      <c r="X9" s="386"/>
      <c r="Y9" s="387"/>
      <c r="Z9" s="387"/>
      <c r="AM9" s="386"/>
      <c r="AN9" s="386"/>
    </row>
    <row r="10" spans="1:40">
      <c r="A10" s="228" t="s">
        <v>342</v>
      </c>
      <c r="B10" s="229" t="s">
        <v>133</v>
      </c>
      <c r="C10" s="226"/>
      <c r="D10" s="226"/>
      <c r="F10" s="227"/>
      <c r="G10" s="227"/>
      <c r="H10" s="227"/>
      <c r="I10" s="227"/>
      <c r="J10" s="227"/>
      <c r="K10" s="227"/>
      <c r="L10" s="227"/>
      <c r="M10" s="227"/>
      <c r="N10" s="227"/>
      <c r="O10" s="227"/>
      <c r="P10" s="227"/>
      <c r="Q10" s="227"/>
      <c r="R10" s="227"/>
      <c r="S10" s="227"/>
      <c r="T10" s="227"/>
      <c r="U10" s="227"/>
      <c r="V10" s="227"/>
      <c r="W10" s="227"/>
      <c r="X10" s="386"/>
      <c r="Y10" s="387"/>
      <c r="Z10" s="387"/>
      <c r="AM10" s="386"/>
      <c r="AN10" s="386"/>
    </row>
    <row r="11" spans="1:40">
      <c r="A11" s="218" t="str">
        <f>$A$1&amp;"Residential"&amp;B11</f>
        <v>PIERCE EA UTCResidentialSL035.0G1M001WREC</v>
      </c>
      <c r="B11" s="230" t="s">
        <v>174</v>
      </c>
      <c r="C11" s="230" t="s">
        <v>749</v>
      </c>
      <c r="D11" s="230" t="s">
        <v>343</v>
      </c>
      <c r="E11" s="380">
        <v>32000</v>
      </c>
      <c r="F11" s="231">
        <v>9.3699999999999992</v>
      </c>
      <c r="G11" s="231">
        <v>9.41</v>
      </c>
      <c r="H11" s="231">
        <v>9.32</v>
      </c>
      <c r="I11" s="231">
        <v>9.35</v>
      </c>
      <c r="J11" s="231"/>
      <c r="K11" s="231"/>
      <c r="L11" s="231">
        <v>0</v>
      </c>
      <c r="M11" s="231">
        <v>0</v>
      </c>
      <c r="N11" s="231">
        <v>0</v>
      </c>
      <c r="O11" s="231">
        <v>0</v>
      </c>
      <c r="P11" s="231">
        <v>0</v>
      </c>
      <c r="Q11" s="231">
        <v>0</v>
      </c>
      <c r="R11" s="231">
        <v>0</v>
      </c>
      <c r="S11" s="231">
        <v>0</v>
      </c>
      <c r="T11" s="231">
        <v>4.6749999999999998</v>
      </c>
      <c r="U11" s="231">
        <v>4.6749999999999998</v>
      </c>
      <c r="V11" s="231">
        <v>9.35</v>
      </c>
      <c r="W11" s="231"/>
      <c r="X11" s="388">
        <f t="shared" ref="X11:X56" si="1">SUM(K11:V11)</f>
        <v>18.7</v>
      </c>
      <c r="Y11" s="389"/>
      <c r="Z11" s="389"/>
      <c r="AA11" s="233"/>
      <c r="AB11" s="233"/>
      <c r="AC11" s="233">
        <f t="shared" ref="AC11:AC56" si="2">IFERROR(N11/$G11,0)</f>
        <v>0</v>
      </c>
      <c r="AD11" s="233">
        <f t="shared" ref="AD11:AD56" si="3">IFERROR(O11/$G11,0)</f>
        <v>0</v>
      </c>
      <c r="AE11" s="233">
        <f t="shared" ref="AE11:AE56" si="4">IFERROR(P11/$H11,0)</f>
        <v>0</v>
      </c>
      <c r="AF11" s="233">
        <f t="shared" ref="AF11:AF56" si="5">IFERROR(Q11/$H11,0)</f>
        <v>0</v>
      </c>
      <c r="AG11" s="233">
        <f t="shared" ref="AG11:AG56" si="6">IFERROR(R11/$H11,0)</f>
        <v>0</v>
      </c>
      <c r="AH11" s="233">
        <f t="shared" ref="AH11:AH56" si="7">IFERROR(S11/$H11,0)</f>
        <v>0</v>
      </c>
      <c r="AI11" s="233">
        <f t="shared" ref="AI11:AI56" si="8">IFERROR(T11/$H11,0)</f>
        <v>0.50160944206008584</v>
      </c>
      <c r="AJ11" s="233">
        <f t="shared" ref="AJ11:AJ56" si="9">IFERROR(U11/$H11,0)</f>
        <v>0.50160944206008584</v>
      </c>
      <c r="AK11" s="233">
        <f t="shared" ref="AK11:AK56" si="10">IFERROR(V11/$H11,0)</f>
        <v>1.0032188841201717</v>
      </c>
      <c r="AL11" s="233">
        <f>IFERROR(#REF!/$H11,0)</f>
        <v>0</v>
      </c>
      <c r="AM11" s="234">
        <f t="shared" ref="AM11:AM56" si="11">AVERAGE(Z11:AL11)</f>
        <v>0.20064377682403434</v>
      </c>
      <c r="AN11" s="234">
        <f>+SUM(AA11:AK11)</f>
        <v>2.0064377682403434</v>
      </c>
    </row>
    <row r="12" spans="1:40">
      <c r="A12" s="218" t="str">
        <f>$A$1&amp;"Residential"&amp;B12</f>
        <v>PIERCE EA UTCResidentialSL035.0GEO001WREC</v>
      </c>
      <c r="B12" s="230" t="s">
        <v>176</v>
      </c>
      <c r="C12" s="230" t="s">
        <v>177</v>
      </c>
      <c r="D12" s="230" t="s">
        <v>343</v>
      </c>
      <c r="E12" s="380">
        <v>32000</v>
      </c>
      <c r="F12" s="231">
        <v>12.78</v>
      </c>
      <c r="G12" s="231">
        <v>12.87</v>
      </c>
      <c r="H12" s="231">
        <v>12.75</v>
      </c>
      <c r="I12" s="231">
        <v>12.79</v>
      </c>
      <c r="J12" s="231"/>
      <c r="K12" s="231"/>
      <c r="L12" s="231">
        <v>0</v>
      </c>
      <c r="M12" s="231">
        <v>0</v>
      </c>
      <c r="N12" s="231">
        <v>22.454999999999998</v>
      </c>
      <c r="O12" s="231">
        <v>27.604999999999997</v>
      </c>
      <c r="P12" s="231">
        <v>61.2</v>
      </c>
      <c r="Q12" s="231">
        <v>61.2</v>
      </c>
      <c r="R12" s="231">
        <v>60.645000000000003</v>
      </c>
      <c r="S12" s="231">
        <v>54.245000000000005</v>
      </c>
      <c r="T12" s="231">
        <v>52.44</v>
      </c>
      <c r="U12" s="231">
        <v>52.44</v>
      </c>
      <c r="V12" s="231">
        <v>51.16</v>
      </c>
      <c r="W12" s="231"/>
      <c r="X12" s="388">
        <f t="shared" si="1"/>
        <v>443.39</v>
      </c>
      <c r="Y12" s="389"/>
      <c r="Z12" s="389"/>
      <c r="AA12" s="233"/>
      <c r="AB12" s="233"/>
      <c r="AC12" s="233">
        <f t="shared" si="2"/>
        <v>1.7447552447552448</v>
      </c>
      <c r="AD12" s="233">
        <f t="shared" si="3"/>
        <v>2.1449106449106448</v>
      </c>
      <c r="AE12" s="233">
        <f t="shared" si="4"/>
        <v>4.8</v>
      </c>
      <c r="AF12" s="233">
        <f t="shared" si="5"/>
        <v>4.8</v>
      </c>
      <c r="AG12" s="233">
        <f t="shared" si="6"/>
        <v>4.7564705882352944</v>
      </c>
      <c r="AH12" s="233">
        <f t="shared" si="7"/>
        <v>4.254509803921569</v>
      </c>
      <c r="AI12" s="233">
        <f t="shared" si="8"/>
        <v>4.1129411764705877</v>
      </c>
      <c r="AJ12" s="233">
        <f t="shared" si="9"/>
        <v>4.1129411764705877</v>
      </c>
      <c r="AK12" s="233">
        <f t="shared" si="10"/>
        <v>4.0125490196078433</v>
      </c>
      <c r="AL12" s="233">
        <f>IFERROR(#REF!/$H12,0)</f>
        <v>0</v>
      </c>
      <c r="AM12" s="234">
        <f t="shared" si="11"/>
        <v>3.4739077654371777</v>
      </c>
      <c r="AN12" s="234">
        <f t="shared" ref="AN12:AN57" si="12">+SUM(AA12:AK12)</f>
        <v>34.739077654371776</v>
      </c>
    </row>
    <row r="13" spans="1:40">
      <c r="A13" s="218" t="str">
        <f>$A$1&amp;"Residential"&amp;B13</f>
        <v>PIERCE EA UTCResidentialSL035.0G1W001NOREC</v>
      </c>
      <c r="B13" s="230" t="s">
        <v>699</v>
      </c>
      <c r="C13" s="230" t="s">
        <v>733</v>
      </c>
      <c r="D13" s="230" t="s">
        <v>343</v>
      </c>
      <c r="E13" s="380">
        <v>32000</v>
      </c>
      <c r="F13" s="231">
        <v>20.21</v>
      </c>
      <c r="G13" s="231">
        <v>20.39</v>
      </c>
      <c r="H13" s="231">
        <v>20.21</v>
      </c>
      <c r="I13" s="231">
        <v>20.27</v>
      </c>
      <c r="J13" s="231"/>
      <c r="K13" s="231"/>
      <c r="L13" s="231">
        <v>0</v>
      </c>
      <c r="M13" s="231">
        <v>0</v>
      </c>
      <c r="N13" s="231">
        <v>0</v>
      </c>
      <c r="O13" s="231">
        <v>0</v>
      </c>
      <c r="P13" s="231">
        <v>0</v>
      </c>
      <c r="Q13" s="231">
        <v>0</v>
      </c>
      <c r="R13" s="231">
        <v>0</v>
      </c>
      <c r="S13" s="231">
        <v>0</v>
      </c>
      <c r="T13" s="231">
        <v>0</v>
      </c>
      <c r="U13" s="231">
        <v>0</v>
      </c>
      <c r="V13" s="231">
        <v>0</v>
      </c>
      <c r="W13" s="231"/>
      <c r="X13" s="388">
        <f t="shared" si="1"/>
        <v>0</v>
      </c>
      <c r="Y13" s="389"/>
      <c r="Z13" s="389"/>
      <c r="AA13" s="233"/>
      <c r="AB13" s="233"/>
      <c r="AC13" s="233">
        <f t="shared" si="2"/>
        <v>0</v>
      </c>
      <c r="AD13" s="233">
        <f t="shared" si="3"/>
        <v>0</v>
      </c>
      <c r="AE13" s="233">
        <f t="shared" si="4"/>
        <v>0</v>
      </c>
      <c r="AF13" s="233">
        <f t="shared" si="5"/>
        <v>0</v>
      </c>
      <c r="AG13" s="233">
        <f t="shared" si="6"/>
        <v>0</v>
      </c>
      <c r="AH13" s="233">
        <f t="shared" si="7"/>
        <v>0</v>
      </c>
      <c r="AI13" s="233">
        <f t="shared" si="8"/>
        <v>0</v>
      </c>
      <c r="AJ13" s="233">
        <f t="shared" si="9"/>
        <v>0</v>
      </c>
      <c r="AK13" s="233">
        <f t="shared" si="10"/>
        <v>0</v>
      </c>
      <c r="AL13" s="233">
        <f>IFERROR(#REF!/$H13,0)</f>
        <v>0</v>
      </c>
      <c r="AM13" s="234">
        <f t="shared" si="11"/>
        <v>0</v>
      </c>
      <c r="AN13" s="234">
        <f t="shared" si="12"/>
        <v>0</v>
      </c>
    </row>
    <row r="14" spans="1:40">
      <c r="A14" s="218" t="str">
        <f>$A$1&amp;"Residential"&amp;B14</f>
        <v>PIERCE EA UTCResidentialSL035.0G1W001WREC</v>
      </c>
      <c r="B14" s="230" t="s">
        <v>178</v>
      </c>
      <c r="C14" s="230" t="s">
        <v>179</v>
      </c>
      <c r="D14" s="230" t="s">
        <v>343</v>
      </c>
      <c r="E14" s="380">
        <v>32000</v>
      </c>
      <c r="F14" s="231">
        <v>19.21</v>
      </c>
      <c r="G14" s="231">
        <v>19.39</v>
      </c>
      <c r="H14" s="231">
        <v>19.21</v>
      </c>
      <c r="I14" s="231">
        <v>19.27</v>
      </c>
      <c r="J14" s="231"/>
      <c r="K14" s="231"/>
      <c r="L14" s="231">
        <v>0</v>
      </c>
      <c r="M14" s="231">
        <v>0</v>
      </c>
      <c r="N14" s="231">
        <v>0</v>
      </c>
      <c r="O14" s="231">
        <v>0</v>
      </c>
      <c r="P14" s="231">
        <v>0</v>
      </c>
      <c r="Q14" s="231">
        <v>4.8</v>
      </c>
      <c r="R14" s="231">
        <v>33.65</v>
      </c>
      <c r="S14" s="231">
        <v>33.65</v>
      </c>
      <c r="T14" s="231">
        <v>68.515000000000001</v>
      </c>
      <c r="U14" s="231">
        <v>68.515000000000001</v>
      </c>
      <c r="V14" s="231">
        <v>62.09</v>
      </c>
      <c r="W14" s="231"/>
      <c r="X14" s="388">
        <f t="shared" si="1"/>
        <v>271.22000000000003</v>
      </c>
      <c r="Y14" s="389"/>
      <c r="Z14" s="389"/>
      <c r="AA14" s="233"/>
      <c r="AB14" s="233"/>
      <c r="AC14" s="233">
        <f t="shared" si="2"/>
        <v>0</v>
      </c>
      <c r="AD14" s="233">
        <f t="shared" si="3"/>
        <v>0</v>
      </c>
      <c r="AE14" s="233">
        <f t="shared" si="4"/>
        <v>0</v>
      </c>
      <c r="AF14" s="233">
        <f t="shared" si="5"/>
        <v>0.24986985944820403</v>
      </c>
      <c r="AG14" s="233">
        <f t="shared" si="6"/>
        <v>1.751691827173347</v>
      </c>
      <c r="AH14" s="233">
        <f t="shared" si="7"/>
        <v>1.751691827173347</v>
      </c>
      <c r="AI14" s="233">
        <f t="shared" si="8"/>
        <v>3.5666319625195211</v>
      </c>
      <c r="AJ14" s="233">
        <f t="shared" si="9"/>
        <v>3.5666319625195211</v>
      </c>
      <c r="AK14" s="233">
        <f t="shared" si="10"/>
        <v>3.2321707444039562</v>
      </c>
      <c r="AL14" s="233">
        <f>IFERROR(#REF!/$H14,0)</f>
        <v>0</v>
      </c>
      <c r="AM14" s="234">
        <f t="shared" si="11"/>
        <v>1.4118688183237897</v>
      </c>
      <c r="AN14" s="234">
        <f t="shared" si="12"/>
        <v>14.118688183237897</v>
      </c>
    </row>
    <row r="15" spans="1:40">
      <c r="A15" s="218" t="str">
        <f>$A$1&amp;"Residential"&amp;B15</f>
        <v>PIERCE EA UTCResidentialSL035.0G1W003WREC</v>
      </c>
      <c r="B15" s="230" t="s">
        <v>700</v>
      </c>
      <c r="C15" s="230" t="s">
        <v>750</v>
      </c>
      <c r="D15" s="230" t="s">
        <v>343</v>
      </c>
      <c r="E15" s="380">
        <v>32000</v>
      </c>
      <c r="F15" s="231">
        <v>57.63</v>
      </c>
      <c r="G15" s="231">
        <v>58.17</v>
      </c>
      <c r="H15" s="231">
        <v>0</v>
      </c>
      <c r="I15" s="231">
        <v>0</v>
      </c>
      <c r="J15" s="231"/>
      <c r="K15" s="231"/>
      <c r="L15" s="231">
        <v>0</v>
      </c>
      <c r="M15" s="231">
        <v>0</v>
      </c>
      <c r="N15" s="231">
        <v>0</v>
      </c>
      <c r="O15" s="231">
        <v>0</v>
      </c>
      <c r="P15" s="231">
        <v>0</v>
      </c>
      <c r="Q15" s="231">
        <v>0</v>
      </c>
      <c r="R15" s="231">
        <v>0</v>
      </c>
      <c r="S15" s="231">
        <v>0</v>
      </c>
      <c r="T15" s="231">
        <v>0</v>
      </c>
      <c r="U15" s="231">
        <v>0</v>
      </c>
      <c r="V15" s="231">
        <v>0</v>
      </c>
      <c r="W15" s="231"/>
      <c r="X15" s="388">
        <f t="shared" si="1"/>
        <v>0</v>
      </c>
      <c r="Y15" s="389"/>
      <c r="Z15" s="389"/>
      <c r="AA15" s="233"/>
      <c r="AB15" s="233"/>
      <c r="AC15" s="233">
        <f t="shared" si="2"/>
        <v>0</v>
      </c>
      <c r="AD15" s="233">
        <f t="shared" si="3"/>
        <v>0</v>
      </c>
      <c r="AE15" s="233">
        <f t="shared" si="4"/>
        <v>0</v>
      </c>
      <c r="AF15" s="233">
        <f t="shared" si="5"/>
        <v>0</v>
      </c>
      <c r="AG15" s="233">
        <f t="shared" si="6"/>
        <v>0</v>
      </c>
      <c r="AH15" s="233">
        <f t="shared" si="7"/>
        <v>0</v>
      </c>
      <c r="AI15" s="233">
        <f t="shared" si="8"/>
        <v>0</v>
      </c>
      <c r="AJ15" s="233">
        <f t="shared" si="9"/>
        <v>0</v>
      </c>
      <c r="AK15" s="233">
        <f t="shared" si="10"/>
        <v>0</v>
      </c>
      <c r="AL15" s="233">
        <f>IFERROR(#REF!/$H15,0)</f>
        <v>0</v>
      </c>
      <c r="AM15" s="234">
        <f t="shared" si="11"/>
        <v>0</v>
      </c>
      <c r="AN15" s="234">
        <f t="shared" si="12"/>
        <v>0</v>
      </c>
    </row>
    <row r="16" spans="1:40">
      <c r="A16" s="218" t="str">
        <f>$A$1&amp;"Residential"&amp;B16</f>
        <v>PIERCE EA UTCResidentialSL035.0G1W004WREC</v>
      </c>
      <c r="B16" s="230" t="s">
        <v>701</v>
      </c>
      <c r="C16" s="230" t="s">
        <v>751</v>
      </c>
      <c r="D16" s="230" t="s">
        <v>343</v>
      </c>
      <c r="E16" s="380">
        <v>32000</v>
      </c>
      <c r="F16" s="231">
        <v>76.84</v>
      </c>
      <c r="G16" s="231">
        <v>77.56</v>
      </c>
      <c r="H16" s="231">
        <v>0</v>
      </c>
      <c r="I16" s="231">
        <v>0</v>
      </c>
      <c r="J16" s="231"/>
      <c r="K16" s="231"/>
      <c r="L16" s="231">
        <v>0</v>
      </c>
      <c r="M16" s="231">
        <v>0</v>
      </c>
      <c r="N16" s="231">
        <v>0</v>
      </c>
      <c r="O16" s="231">
        <v>0</v>
      </c>
      <c r="P16" s="231">
        <v>0</v>
      </c>
      <c r="Q16" s="231">
        <v>0</v>
      </c>
      <c r="R16" s="231">
        <v>0</v>
      </c>
      <c r="S16" s="231">
        <v>0</v>
      </c>
      <c r="T16" s="231">
        <v>0</v>
      </c>
      <c r="U16" s="231">
        <v>0</v>
      </c>
      <c r="V16" s="231">
        <v>0</v>
      </c>
      <c r="W16" s="231"/>
      <c r="X16" s="388">
        <f t="shared" si="1"/>
        <v>0</v>
      </c>
      <c r="Y16" s="389"/>
      <c r="Z16" s="389"/>
      <c r="AA16" s="233"/>
      <c r="AB16" s="233"/>
      <c r="AC16" s="233">
        <f t="shared" si="2"/>
        <v>0</v>
      </c>
      <c r="AD16" s="233">
        <f t="shared" si="3"/>
        <v>0</v>
      </c>
      <c r="AE16" s="233">
        <f t="shared" si="4"/>
        <v>0</v>
      </c>
      <c r="AF16" s="233">
        <f t="shared" si="5"/>
        <v>0</v>
      </c>
      <c r="AG16" s="233">
        <f t="shared" si="6"/>
        <v>0</v>
      </c>
      <c r="AH16" s="233">
        <f t="shared" si="7"/>
        <v>0</v>
      </c>
      <c r="AI16" s="233">
        <f t="shared" si="8"/>
        <v>0</v>
      </c>
      <c r="AJ16" s="233">
        <f t="shared" si="9"/>
        <v>0</v>
      </c>
      <c r="AK16" s="233">
        <f t="shared" si="10"/>
        <v>0</v>
      </c>
      <c r="AL16" s="233">
        <f>IFERROR(#REF!/$H16,0)</f>
        <v>0</v>
      </c>
      <c r="AM16" s="234">
        <f t="shared" si="11"/>
        <v>0</v>
      </c>
      <c r="AN16" s="234">
        <f t="shared" si="12"/>
        <v>0</v>
      </c>
    </row>
    <row r="17" spans="1:40">
      <c r="A17" s="218" t="str">
        <f>$A$1&amp;"Residential"&amp;B17</f>
        <v>PIERCE EA UTCResidentialSL035.0GEO001NOREC</v>
      </c>
      <c r="B17" s="230" t="s">
        <v>702</v>
      </c>
      <c r="C17" s="230" t="s">
        <v>731</v>
      </c>
      <c r="D17" s="230" t="s">
        <v>343</v>
      </c>
      <c r="E17" s="380">
        <v>32000</v>
      </c>
      <c r="F17" s="231">
        <v>13.78</v>
      </c>
      <c r="G17" s="231">
        <v>13.87</v>
      </c>
      <c r="H17" s="231">
        <v>13.75</v>
      </c>
      <c r="I17" s="231">
        <v>13.79</v>
      </c>
      <c r="J17" s="231"/>
      <c r="K17" s="231"/>
      <c r="L17" s="231">
        <v>0</v>
      </c>
      <c r="M17" s="231">
        <v>0</v>
      </c>
      <c r="N17" s="231">
        <v>0</v>
      </c>
      <c r="O17" s="231">
        <v>0</v>
      </c>
      <c r="P17" s="231">
        <v>0</v>
      </c>
      <c r="Q17" s="231">
        <v>0</v>
      </c>
      <c r="R17" s="231">
        <v>13.77</v>
      </c>
      <c r="S17" s="231">
        <v>13.77</v>
      </c>
      <c r="T17" s="231">
        <v>8.2750000000000004</v>
      </c>
      <c r="U17" s="231">
        <v>8.2750000000000004</v>
      </c>
      <c r="V17" s="231">
        <v>0</v>
      </c>
      <c r="W17" s="231"/>
      <c r="X17" s="388">
        <f t="shared" si="1"/>
        <v>44.089999999999996</v>
      </c>
      <c r="Y17" s="389"/>
      <c r="Z17" s="389"/>
      <c r="AA17" s="233"/>
      <c r="AB17" s="233"/>
      <c r="AC17" s="233">
        <f t="shared" si="2"/>
        <v>0</v>
      </c>
      <c r="AD17" s="233">
        <f t="shared" si="3"/>
        <v>0</v>
      </c>
      <c r="AE17" s="233">
        <f t="shared" si="4"/>
        <v>0</v>
      </c>
      <c r="AF17" s="233">
        <f t="shared" si="5"/>
        <v>0</v>
      </c>
      <c r="AG17" s="233">
        <f t="shared" si="6"/>
        <v>1.0014545454545454</v>
      </c>
      <c r="AH17" s="233">
        <f t="shared" si="7"/>
        <v>1.0014545454545454</v>
      </c>
      <c r="AI17" s="233">
        <f t="shared" si="8"/>
        <v>0.60181818181818181</v>
      </c>
      <c r="AJ17" s="233">
        <f t="shared" si="9"/>
        <v>0.60181818181818181</v>
      </c>
      <c r="AK17" s="233">
        <f t="shared" si="10"/>
        <v>0</v>
      </c>
      <c r="AL17" s="233">
        <f>IFERROR(#REF!/$H17,0)</f>
        <v>0</v>
      </c>
      <c r="AM17" s="234">
        <f t="shared" si="11"/>
        <v>0.32065454545454541</v>
      </c>
      <c r="AN17" s="234">
        <f t="shared" si="12"/>
        <v>3.2065454545454539</v>
      </c>
    </row>
    <row r="18" spans="1:40">
      <c r="A18" s="218" t="str">
        <f>$A$1&amp;"Residential"&amp;B18</f>
        <v>PIERCE EA UTCResidentialSL035.0G1W002WREC</v>
      </c>
      <c r="B18" s="230" t="s">
        <v>180</v>
      </c>
      <c r="C18" s="230" t="s">
        <v>181</v>
      </c>
      <c r="D18" s="230" t="s">
        <v>343</v>
      </c>
      <c r="E18" s="380">
        <v>32000</v>
      </c>
      <c r="F18" s="231">
        <v>38.42</v>
      </c>
      <c r="G18" s="231">
        <v>38.78</v>
      </c>
      <c r="H18" s="231">
        <v>0</v>
      </c>
      <c r="I18" s="231">
        <v>0</v>
      </c>
      <c r="J18" s="231"/>
      <c r="K18" s="231"/>
      <c r="L18" s="231">
        <v>0</v>
      </c>
      <c r="M18" s="231">
        <v>0</v>
      </c>
      <c r="N18" s="231">
        <v>0</v>
      </c>
      <c r="O18" s="231">
        <v>0</v>
      </c>
      <c r="P18" s="231">
        <v>0</v>
      </c>
      <c r="Q18" s="231">
        <v>0</v>
      </c>
      <c r="R18" s="231">
        <v>0</v>
      </c>
      <c r="S18" s="231">
        <v>0</v>
      </c>
      <c r="T18" s="231">
        <v>0</v>
      </c>
      <c r="U18" s="231">
        <v>0</v>
      </c>
      <c r="V18" s="231">
        <v>0</v>
      </c>
      <c r="W18" s="231"/>
      <c r="X18" s="388">
        <f t="shared" si="1"/>
        <v>0</v>
      </c>
      <c r="Y18" s="389"/>
      <c r="Z18" s="389"/>
      <c r="AA18" s="233"/>
      <c r="AB18" s="233"/>
      <c r="AC18" s="233">
        <f t="shared" si="2"/>
        <v>0</v>
      </c>
      <c r="AD18" s="233">
        <f t="shared" si="3"/>
        <v>0</v>
      </c>
      <c r="AE18" s="233">
        <f t="shared" si="4"/>
        <v>0</v>
      </c>
      <c r="AF18" s="233">
        <f t="shared" si="5"/>
        <v>0</v>
      </c>
      <c r="AG18" s="233">
        <f t="shared" si="6"/>
        <v>0</v>
      </c>
      <c r="AH18" s="233">
        <f t="shared" si="7"/>
        <v>0</v>
      </c>
      <c r="AI18" s="233">
        <f t="shared" si="8"/>
        <v>0</v>
      </c>
      <c r="AJ18" s="233">
        <f t="shared" si="9"/>
        <v>0</v>
      </c>
      <c r="AK18" s="233">
        <f t="shared" si="10"/>
        <v>0</v>
      </c>
      <c r="AL18" s="233">
        <f>IFERROR(#REF!/$H18,0)</f>
        <v>0</v>
      </c>
      <c r="AM18" s="234">
        <f t="shared" si="11"/>
        <v>0</v>
      </c>
      <c r="AN18" s="234">
        <f t="shared" si="12"/>
        <v>0</v>
      </c>
    </row>
    <row r="19" spans="1:40">
      <c r="A19" s="218" t="str">
        <f>$A$1&amp;"Residential"&amp;B19</f>
        <v>PIERCE EA UTCResidentialSL065.0G1M001NOREC</v>
      </c>
      <c r="B19" s="230" t="s">
        <v>182</v>
      </c>
      <c r="C19" s="230" t="s">
        <v>183</v>
      </c>
      <c r="D19" s="230" t="s">
        <v>343</v>
      </c>
      <c r="E19" s="380">
        <v>32000</v>
      </c>
      <c r="F19" s="231">
        <v>11.42</v>
      </c>
      <c r="G19" s="231">
        <v>11.48</v>
      </c>
      <c r="H19" s="231">
        <v>11.39</v>
      </c>
      <c r="I19" s="231">
        <v>11.42</v>
      </c>
      <c r="J19" s="231"/>
      <c r="K19" s="231"/>
      <c r="L19" s="231">
        <v>0</v>
      </c>
      <c r="M19" s="231">
        <v>0</v>
      </c>
      <c r="N19" s="231">
        <v>22.96</v>
      </c>
      <c r="O19" s="231">
        <v>22.96</v>
      </c>
      <c r="P19" s="231">
        <v>11.39</v>
      </c>
      <c r="Q19" s="231">
        <v>11.39</v>
      </c>
      <c r="R19" s="231">
        <v>11.404999999999999</v>
      </c>
      <c r="S19" s="231">
        <v>11.404999999999999</v>
      </c>
      <c r="T19" s="231">
        <v>11.42</v>
      </c>
      <c r="U19" s="231">
        <v>11.42</v>
      </c>
      <c r="V19" s="231">
        <v>11.42</v>
      </c>
      <c r="W19" s="231"/>
      <c r="X19" s="388">
        <f t="shared" si="1"/>
        <v>125.77000000000001</v>
      </c>
      <c r="Y19" s="389"/>
      <c r="Z19" s="389"/>
      <c r="AA19" s="233"/>
      <c r="AB19" s="233"/>
      <c r="AC19" s="233">
        <f t="shared" si="2"/>
        <v>2</v>
      </c>
      <c r="AD19" s="233">
        <f t="shared" si="3"/>
        <v>2</v>
      </c>
      <c r="AE19" s="233">
        <f t="shared" si="4"/>
        <v>1</v>
      </c>
      <c r="AF19" s="233">
        <f t="shared" si="5"/>
        <v>1</v>
      </c>
      <c r="AG19" s="233">
        <f t="shared" si="6"/>
        <v>1.001316944688323</v>
      </c>
      <c r="AH19" s="233">
        <f t="shared" si="7"/>
        <v>1.001316944688323</v>
      </c>
      <c r="AI19" s="233">
        <f t="shared" si="8"/>
        <v>1.0026338893766462</v>
      </c>
      <c r="AJ19" s="233">
        <f t="shared" si="9"/>
        <v>1.0026338893766462</v>
      </c>
      <c r="AK19" s="233">
        <f t="shared" si="10"/>
        <v>1.0026338893766462</v>
      </c>
      <c r="AL19" s="233">
        <f>IFERROR(#REF!/$H19,0)</f>
        <v>0</v>
      </c>
      <c r="AM19" s="234">
        <f t="shared" si="11"/>
        <v>1.1010535557506587</v>
      </c>
      <c r="AN19" s="234">
        <f t="shared" si="12"/>
        <v>11.010535557506586</v>
      </c>
    </row>
    <row r="20" spans="1:40">
      <c r="A20" s="218" t="str">
        <f>$A$1&amp;"Residential"&amp;B20</f>
        <v>PIERCE EA UTCResidentialSL065.0G1M001WREC</v>
      </c>
      <c r="B20" s="230" t="s">
        <v>184</v>
      </c>
      <c r="C20" s="230" t="s">
        <v>185</v>
      </c>
      <c r="D20" s="230" t="s">
        <v>343</v>
      </c>
      <c r="E20" s="380">
        <v>32000</v>
      </c>
      <c r="F20" s="231">
        <v>9.42</v>
      </c>
      <c r="G20" s="231">
        <v>9.48</v>
      </c>
      <c r="H20" s="231">
        <v>9.39</v>
      </c>
      <c r="I20" s="231">
        <v>9.41</v>
      </c>
      <c r="J20" s="231"/>
      <c r="K20" s="231"/>
      <c r="L20" s="231">
        <v>0</v>
      </c>
      <c r="M20" s="231">
        <v>0</v>
      </c>
      <c r="N20" s="231">
        <v>199.08</v>
      </c>
      <c r="O20" s="231">
        <v>189.6</v>
      </c>
      <c r="P20" s="231">
        <v>239.4</v>
      </c>
      <c r="Q20" s="231">
        <v>230.01</v>
      </c>
      <c r="R20" s="231">
        <v>258.47500000000002</v>
      </c>
      <c r="S20" s="231">
        <v>267.88500000000005</v>
      </c>
      <c r="T20" s="231">
        <v>268.185</v>
      </c>
      <c r="U20" s="231">
        <v>258.77499999999998</v>
      </c>
      <c r="V20" s="231">
        <v>249.36500000000001</v>
      </c>
      <c r="W20" s="231"/>
      <c r="X20" s="388">
        <f t="shared" si="1"/>
        <v>2160.7749999999996</v>
      </c>
      <c r="Y20" s="389"/>
      <c r="Z20" s="389"/>
      <c r="AA20" s="233"/>
      <c r="AB20" s="233"/>
      <c r="AC20" s="233">
        <f t="shared" si="2"/>
        <v>21</v>
      </c>
      <c r="AD20" s="233">
        <f t="shared" si="3"/>
        <v>20</v>
      </c>
      <c r="AE20" s="233">
        <f t="shared" si="4"/>
        <v>25.495207667731627</v>
      </c>
      <c r="AF20" s="233">
        <f t="shared" si="5"/>
        <v>24.495207667731627</v>
      </c>
      <c r="AG20" s="233">
        <f t="shared" si="6"/>
        <v>27.526624068157616</v>
      </c>
      <c r="AH20" s="233">
        <f t="shared" si="7"/>
        <v>28.528753993610227</v>
      </c>
      <c r="AI20" s="233">
        <f t="shared" si="8"/>
        <v>28.560702875399361</v>
      </c>
      <c r="AJ20" s="233">
        <f t="shared" si="9"/>
        <v>27.558572949946747</v>
      </c>
      <c r="AK20" s="233">
        <f t="shared" si="10"/>
        <v>26.556443024494143</v>
      </c>
      <c r="AL20" s="233">
        <f>IFERROR(#REF!/$H20,0)</f>
        <v>0</v>
      </c>
      <c r="AM20" s="234">
        <f t="shared" si="11"/>
        <v>22.972151224707133</v>
      </c>
      <c r="AN20" s="234">
        <f t="shared" si="12"/>
        <v>229.72151224707133</v>
      </c>
    </row>
    <row r="21" spans="1:40">
      <c r="A21" s="218" t="str">
        <f>$A$1&amp;"Residential"&amp;B21</f>
        <v>PIERCE EA UTCResidentialSL065.0G1W001NOREC</v>
      </c>
      <c r="B21" s="230" t="s">
        <v>186</v>
      </c>
      <c r="C21" s="230" t="s">
        <v>187</v>
      </c>
      <c r="D21" s="230" t="s">
        <v>343</v>
      </c>
      <c r="E21" s="380">
        <v>32000</v>
      </c>
      <c r="F21" s="231">
        <v>28.59</v>
      </c>
      <c r="G21" s="231">
        <v>28.84</v>
      </c>
      <c r="H21" s="231">
        <v>28.59</v>
      </c>
      <c r="I21" s="231">
        <v>28.67</v>
      </c>
      <c r="J21" s="231"/>
      <c r="K21" s="231"/>
      <c r="L21" s="231">
        <v>0</v>
      </c>
      <c r="M21" s="231">
        <v>0</v>
      </c>
      <c r="N21" s="231">
        <v>259.56</v>
      </c>
      <c r="O21" s="231">
        <v>259.56</v>
      </c>
      <c r="P21" s="231">
        <v>228.72</v>
      </c>
      <c r="Q21" s="231">
        <v>222.37</v>
      </c>
      <c r="R21" s="231">
        <v>200.41</v>
      </c>
      <c r="S21" s="231">
        <v>200.41</v>
      </c>
      <c r="T21" s="231">
        <v>200.69</v>
      </c>
      <c r="U21" s="231">
        <v>200.69</v>
      </c>
      <c r="V21" s="231">
        <v>200.69</v>
      </c>
      <c r="W21" s="231"/>
      <c r="X21" s="388">
        <f t="shared" si="1"/>
        <v>1973.1000000000004</v>
      </c>
      <c r="Y21" s="389"/>
      <c r="Z21" s="389"/>
      <c r="AA21" s="233"/>
      <c r="AB21" s="233"/>
      <c r="AC21" s="233">
        <f t="shared" si="2"/>
        <v>9</v>
      </c>
      <c r="AD21" s="233">
        <f t="shared" si="3"/>
        <v>9</v>
      </c>
      <c r="AE21" s="233">
        <f t="shared" si="4"/>
        <v>8</v>
      </c>
      <c r="AF21" s="233">
        <f t="shared" si="5"/>
        <v>7.7778943686603705</v>
      </c>
      <c r="AG21" s="233">
        <f t="shared" si="6"/>
        <v>7.00979363413781</v>
      </c>
      <c r="AH21" s="233">
        <f t="shared" si="7"/>
        <v>7.00979363413781</v>
      </c>
      <c r="AI21" s="233">
        <f t="shared" si="8"/>
        <v>7.0195872682756209</v>
      </c>
      <c r="AJ21" s="233">
        <f t="shared" si="9"/>
        <v>7.0195872682756209</v>
      </c>
      <c r="AK21" s="233">
        <f t="shared" si="10"/>
        <v>7.0195872682756209</v>
      </c>
      <c r="AL21" s="233">
        <f>IFERROR(#REF!/$H21,0)</f>
        <v>0</v>
      </c>
      <c r="AM21" s="234">
        <f t="shared" si="11"/>
        <v>6.8856243441762839</v>
      </c>
      <c r="AN21" s="234">
        <f t="shared" si="12"/>
        <v>68.856243441762842</v>
      </c>
    </row>
    <row r="22" spans="1:40">
      <c r="A22" s="218" t="str">
        <f>$A$1&amp;"Residential"&amp;B22</f>
        <v>PIERCE EA UTCResidentialSL065.0G1W001WREC</v>
      </c>
      <c r="B22" s="230" t="s">
        <v>188</v>
      </c>
      <c r="C22" s="230" t="s">
        <v>189</v>
      </c>
      <c r="D22" s="230" t="s">
        <v>343</v>
      </c>
      <c r="E22" s="380">
        <v>32000</v>
      </c>
      <c r="F22" s="231">
        <v>26.59</v>
      </c>
      <c r="G22" s="231">
        <v>26.84</v>
      </c>
      <c r="H22" s="231">
        <v>26.59</v>
      </c>
      <c r="I22" s="231">
        <v>26.67</v>
      </c>
      <c r="J22" s="231"/>
      <c r="K22" s="231"/>
      <c r="L22" s="231">
        <v>0</v>
      </c>
      <c r="M22" s="231">
        <v>0</v>
      </c>
      <c r="N22" s="231">
        <v>1243.585</v>
      </c>
      <c r="O22" s="231">
        <v>1299.1300000000001</v>
      </c>
      <c r="P22" s="231">
        <v>1346.155</v>
      </c>
      <c r="Q22" s="231">
        <v>1284.81</v>
      </c>
      <c r="R22" s="231">
        <v>1540.9449999999999</v>
      </c>
      <c r="S22" s="231">
        <v>1528.37</v>
      </c>
      <c r="T22" s="231">
        <v>1632.6</v>
      </c>
      <c r="U22" s="231">
        <v>1648.75</v>
      </c>
      <c r="V22" s="231">
        <v>1674.5450000000001</v>
      </c>
      <c r="W22" s="231"/>
      <c r="X22" s="388">
        <f t="shared" si="1"/>
        <v>13198.89</v>
      </c>
      <c r="Y22" s="389"/>
      <c r="Z22" s="389"/>
      <c r="AA22" s="233"/>
      <c r="AB22" s="233"/>
      <c r="AC22" s="233">
        <f t="shared" si="2"/>
        <v>46.33327123695976</v>
      </c>
      <c r="AD22" s="233">
        <f t="shared" si="3"/>
        <v>48.402757078986589</v>
      </c>
      <c r="AE22" s="233">
        <f t="shared" si="4"/>
        <v>50.626363294471602</v>
      </c>
      <c r="AF22" s="233">
        <f t="shared" si="5"/>
        <v>48.31929296728093</v>
      </c>
      <c r="AG22" s="233">
        <f t="shared" si="6"/>
        <v>57.952049642722827</v>
      </c>
      <c r="AH22" s="233">
        <f t="shared" si="7"/>
        <v>57.479127491538165</v>
      </c>
      <c r="AI22" s="233">
        <f t="shared" si="8"/>
        <v>61.399022188792777</v>
      </c>
      <c r="AJ22" s="233">
        <f t="shared" si="9"/>
        <v>62.006393380970287</v>
      </c>
      <c r="AK22" s="233">
        <f t="shared" si="10"/>
        <v>62.976494922903349</v>
      </c>
      <c r="AL22" s="233">
        <f>IFERROR(#REF!/$H22,0)</f>
        <v>0</v>
      </c>
      <c r="AM22" s="234">
        <f t="shared" si="11"/>
        <v>49.549477220462634</v>
      </c>
      <c r="AN22" s="234">
        <f t="shared" si="12"/>
        <v>495.49477220462632</v>
      </c>
    </row>
    <row r="23" spans="1:40">
      <c r="A23" s="218" t="str">
        <f>$A$1&amp;"Residential"&amp;B23</f>
        <v>PIERCE EA UTCResidentialSL065.0GEO001NOREC</v>
      </c>
      <c r="B23" s="230" t="s">
        <v>190</v>
      </c>
      <c r="C23" s="230" t="s">
        <v>191</v>
      </c>
      <c r="D23" s="230" t="s">
        <v>343</v>
      </c>
      <c r="E23" s="380">
        <v>32000</v>
      </c>
      <c r="F23" s="231">
        <v>18.579999999999998</v>
      </c>
      <c r="G23" s="231">
        <v>18.71</v>
      </c>
      <c r="H23" s="231">
        <v>18.55</v>
      </c>
      <c r="I23" s="231">
        <v>18.600000000000001</v>
      </c>
      <c r="J23" s="231"/>
      <c r="K23" s="231"/>
      <c r="L23" s="231">
        <v>0</v>
      </c>
      <c r="M23" s="231">
        <v>0</v>
      </c>
      <c r="N23" s="231">
        <v>224.52</v>
      </c>
      <c r="O23" s="231">
        <v>205.81</v>
      </c>
      <c r="P23" s="231">
        <v>166.95</v>
      </c>
      <c r="Q23" s="231">
        <v>170.66</v>
      </c>
      <c r="R23" s="231">
        <v>134.63999999999999</v>
      </c>
      <c r="S23" s="231">
        <v>134.63999999999999</v>
      </c>
      <c r="T23" s="231">
        <v>130.19999999999999</v>
      </c>
      <c r="U23" s="231">
        <v>130.19999999999999</v>
      </c>
      <c r="V23" s="231">
        <v>130.19999999999999</v>
      </c>
      <c r="W23" s="231"/>
      <c r="X23" s="388">
        <f t="shared" si="1"/>
        <v>1427.82</v>
      </c>
      <c r="Y23" s="389"/>
      <c r="Z23" s="389"/>
      <c r="AA23" s="233"/>
      <c r="AB23" s="233"/>
      <c r="AC23" s="233">
        <f t="shared" si="2"/>
        <v>12</v>
      </c>
      <c r="AD23" s="233">
        <f t="shared" si="3"/>
        <v>11</v>
      </c>
      <c r="AE23" s="233">
        <f t="shared" si="4"/>
        <v>8.9999999999999982</v>
      </c>
      <c r="AF23" s="233">
        <f t="shared" si="5"/>
        <v>9.1999999999999993</v>
      </c>
      <c r="AG23" s="233">
        <f t="shared" si="6"/>
        <v>7.2582210242587593</v>
      </c>
      <c r="AH23" s="233">
        <f t="shared" si="7"/>
        <v>7.2582210242587593</v>
      </c>
      <c r="AI23" s="233">
        <f t="shared" si="8"/>
        <v>7.0188679245283012</v>
      </c>
      <c r="AJ23" s="233">
        <f t="shared" si="9"/>
        <v>7.0188679245283012</v>
      </c>
      <c r="AK23" s="233">
        <f t="shared" si="10"/>
        <v>7.0188679245283012</v>
      </c>
      <c r="AL23" s="233">
        <f>IFERROR(#REF!/$H23,0)</f>
        <v>0</v>
      </c>
      <c r="AM23" s="234">
        <f t="shared" si="11"/>
        <v>7.677304582210243</v>
      </c>
      <c r="AN23" s="234">
        <f t="shared" si="12"/>
        <v>76.773045822102432</v>
      </c>
    </row>
    <row r="24" spans="1:40" s="217" customFormat="1">
      <c r="A24" s="218" t="str">
        <f>$A$1&amp;"Residential"&amp;B24</f>
        <v>PIERCE EA UTCResidentialSL065.0GEO001WREC</v>
      </c>
      <c r="B24" s="230" t="s">
        <v>192</v>
      </c>
      <c r="C24" s="230" t="s">
        <v>193</v>
      </c>
      <c r="D24" s="230" t="s">
        <v>343</v>
      </c>
      <c r="E24" s="380">
        <v>32000</v>
      </c>
      <c r="F24" s="231">
        <v>16.579999999999998</v>
      </c>
      <c r="G24" s="231">
        <v>16.71</v>
      </c>
      <c r="H24" s="231">
        <v>16.55</v>
      </c>
      <c r="I24" s="231">
        <v>16.59</v>
      </c>
      <c r="J24" s="231"/>
      <c r="K24" s="231"/>
      <c r="L24" s="231">
        <v>0</v>
      </c>
      <c r="M24" s="231">
        <v>0</v>
      </c>
      <c r="N24" s="231">
        <v>1630.895</v>
      </c>
      <c r="O24" s="231">
        <v>1606.68</v>
      </c>
      <c r="P24" s="231">
        <v>1462.3200000000002</v>
      </c>
      <c r="Q24" s="231">
        <v>1419.9850000000001</v>
      </c>
      <c r="R24" s="231">
        <v>1395.94</v>
      </c>
      <c r="S24" s="231">
        <v>1383.05</v>
      </c>
      <c r="T24" s="231">
        <v>1353.74</v>
      </c>
      <c r="U24" s="231">
        <v>1337.15</v>
      </c>
      <c r="V24" s="231">
        <v>1343.79</v>
      </c>
      <c r="W24" s="231"/>
      <c r="X24" s="388">
        <f t="shared" si="1"/>
        <v>12933.55</v>
      </c>
      <c r="Y24" s="389"/>
      <c r="Z24" s="389"/>
      <c r="AA24" s="233"/>
      <c r="AB24" s="233"/>
      <c r="AC24" s="233">
        <f t="shared" si="2"/>
        <v>97.599940155595448</v>
      </c>
      <c r="AD24" s="233">
        <f t="shared" si="3"/>
        <v>96.150807899461398</v>
      </c>
      <c r="AE24" s="233">
        <f t="shared" si="4"/>
        <v>88.357703927492452</v>
      </c>
      <c r="AF24" s="233">
        <f t="shared" si="5"/>
        <v>85.79969788519638</v>
      </c>
      <c r="AG24" s="233">
        <f t="shared" si="6"/>
        <v>84.346827794561932</v>
      </c>
      <c r="AH24" s="233">
        <f t="shared" si="7"/>
        <v>83.567975830815698</v>
      </c>
      <c r="AI24" s="233">
        <f t="shared" si="8"/>
        <v>81.796978851963743</v>
      </c>
      <c r="AJ24" s="233">
        <f t="shared" si="9"/>
        <v>80.794561933534752</v>
      </c>
      <c r="AK24" s="233">
        <f t="shared" si="10"/>
        <v>81.195770392749239</v>
      </c>
      <c r="AL24" s="233">
        <f>IFERROR(#REF!/$H24,0)</f>
        <v>0</v>
      </c>
      <c r="AM24" s="234">
        <f t="shared" si="11"/>
        <v>77.961026467137117</v>
      </c>
      <c r="AN24" s="234">
        <f t="shared" si="12"/>
        <v>779.61026467137117</v>
      </c>
    </row>
    <row r="25" spans="1:40">
      <c r="A25" s="218" t="str">
        <f>$A$1&amp;"Residential"&amp;B25</f>
        <v>PIERCE EA UTCResidentialSL095.0G1M001NOREC</v>
      </c>
      <c r="B25" s="230" t="s">
        <v>194</v>
      </c>
      <c r="C25" s="230" t="s">
        <v>195</v>
      </c>
      <c r="D25" s="230" t="s">
        <v>343</v>
      </c>
      <c r="E25" s="380">
        <v>32000</v>
      </c>
      <c r="F25" s="231">
        <v>15.92</v>
      </c>
      <c r="G25" s="231">
        <v>16</v>
      </c>
      <c r="H25" s="231">
        <v>15.88</v>
      </c>
      <c r="I25" s="231">
        <v>15.93</v>
      </c>
      <c r="J25" s="231"/>
      <c r="K25" s="231"/>
      <c r="L25" s="231">
        <v>0</v>
      </c>
      <c r="M25" s="231">
        <v>0</v>
      </c>
      <c r="N25" s="231">
        <v>0</v>
      </c>
      <c r="O25" s="231">
        <v>0</v>
      </c>
      <c r="P25" s="231">
        <v>0</v>
      </c>
      <c r="Q25" s="231">
        <v>0</v>
      </c>
      <c r="R25" s="231">
        <v>0</v>
      </c>
      <c r="S25" s="231">
        <v>0</v>
      </c>
      <c r="T25" s="231">
        <v>0</v>
      </c>
      <c r="U25" s="231">
        <v>0</v>
      </c>
      <c r="V25" s="231">
        <v>0</v>
      </c>
      <c r="W25" s="231"/>
      <c r="X25" s="388">
        <f t="shared" si="1"/>
        <v>0</v>
      </c>
      <c r="Y25" s="389"/>
      <c r="Z25" s="389"/>
      <c r="AA25" s="233"/>
      <c r="AB25" s="233"/>
      <c r="AC25" s="233">
        <f t="shared" si="2"/>
        <v>0</v>
      </c>
      <c r="AD25" s="233">
        <f t="shared" si="3"/>
        <v>0</v>
      </c>
      <c r="AE25" s="233">
        <f t="shared" si="4"/>
        <v>0</v>
      </c>
      <c r="AF25" s="233">
        <f t="shared" si="5"/>
        <v>0</v>
      </c>
      <c r="AG25" s="233">
        <f t="shared" si="6"/>
        <v>0</v>
      </c>
      <c r="AH25" s="233">
        <f t="shared" si="7"/>
        <v>0</v>
      </c>
      <c r="AI25" s="233">
        <f t="shared" si="8"/>
        <v>0</v>
      </c>
      <c r="AJ25" s="233">
        <f t="shared" si="9"/>
        <v>0</v>
      </c>
      <c r="AK25" s="233">
        <f t="shared" si="10"/>
        <v>0</v>
      </c>
      <c r="AL25" s="233">
        <f>IFERROR(#REF!/$H25,0)</f>
        <v>0</v>
      </c>
      <c r="AM25" s="234">
        <f t="shared" si="11"/>
        <v>0</v>
      </c>
      <c r="AN25" s="234">
        <f t="shared" si="12"/>
        <v>0</v>
      </c>
    </row>
    <row r="26" spans="1:40">
      <c r="A26" s="218" t="str">
        <f>$A$1&amp;"Residential"&amp;B26</f>
        <v>PIERCE EA UTCResidentialSL095.0G1M001WREC</v>
      </c>
      <c r="B26" s="230" t="s">
        <v>196</v>
      </c>
      <c r="C26" s="230" t="s">
        <v>197</v>
      </c>
      <c r="D26" s="230" t="s">
        <v>343</v>
      </c>
      <c r="E26" s="380">
        <v>32000</v>
      </c>
      <c r="F26" s="231">
        <v>12.92</v>
      </c>
      <c r="G26" s="231">
        <v>13</v>
      </c>
      <c r="H26" s="231">
        <v>12.88</v>
      </c>
      <c r="I26" s="231">
        <v>12.92</v>
      </c>
      <c r="J26" s="231"/>
      <c r="K26" s="231"/>
      <c r="L26" s="231">
        <v>0</v>
      </c>
      <c r="M26" s="231">
        <v>0</v>
      </c>
      <c r="N26" s="231">
        <v>39</v>
      </c>
      <c r="O26" s="231">
        <v>39</v>
      </c>
      <c r="P26" s="231">
        <v>38.64</v>
      </c>
      <c r="Q26" s="231">
        <v>25.759999999999998</v>
      </c>
      <c r="R26" s="231">
        <v>25.8</v>
      </c>
      <c r="S26" s="231">
        <v>25.8</v>
      </c>
      <c r="T26" s="231">
        <v>25.84</v>
      </c>
      <c r="U26" s="231">
        <v>27.11</v>
      </c>
      <c r="V26" s="231">
        <v>12.92</v>
      </c>
      <c r="W26" s="231"/>
      <c r="X26" s="388">
        <f t="shared" si="1"/>
        <v>259.87000000000006</v>
      </c>
      <c r="Y26" s="389"/>
      <c r="Z26" s="389"/>
      <c r="AA26" s="233"/>
      <c r="AB26" s="233"/>
      <c r="AC26" s="233">
        <f t="shared" si="2"/>
        <v>3</v>
      </c>
      <c r="AD26" s="233">
        <f t="shared" si="3"/>
        <v>3</v>
      </c>
      <c r="AE26" s="233">
        <f t="shared" si="4"/>
        <v>3</v>
      </c>
      <c r="AF26" s="233">
        <f t="shared" si="5"/>
        <v>1.9999999999999998</v>
      </c>
      <c r="AG26" s="233">
        <f t="shared" si="6"/>
        <v>2.0031055900621118</v>
      </c>
      <c r="AH26" s="233">
        <f t="shared" si="7"/>
        <v>2.0031055900621118</v>
      </c>
      <c r="AI26" s="233">
        <f t="shared" si="8"/>
        <v>2.0062111801242235</v>
      </c>
      <c r="AJ26" s="233">
        <f t="shared" si="9"/>
        <v>2.1048136645962732</v>
      </c>
      <c r="AK26" s="233">
        <f t="shared" si="10"/>
        <v>1.0031055900621118</v>
      </c>
      <c r="AL26" s="233">
        <f>IFERROR(#REF!/$H26,0)</f>
        <v>0</v>
      </c>
      <c r="AM26" s="234">
        <f t="shared" si="11"/>
        <v>2.0120341614906834</v>
      </c>
      <c r="AN26" s="234">
        <f t="shared" si="12"/>
        <v>20.120341614906835</v>
      </c>
    </row>
    <row r="27" spans="1:40">
      <c r="A27" s="218" t="str">
        <f>$A$1&amp;"Residential"&amp;B27</f>
        <v>PIERCE EA UTCResidentialSL095.0G1W001NOREC</v>
      </c>
      <c r="B27" s="230" t="s">
        <v>198</v>
      </c>
      <c r="C27" s="230" t="s">
        <v>199</v>
      </c>
      <c r="D27" s="230" t="s">
        <v>343</v>
      </c>
      <c r="E27" s="380">
        <v>32000</v>
      </c>
      <c r="F27" s="231">
        <v>38.24</v>
      </c>
      <c r="G27" s="231">
        <v>38.61</v>
      </c>
      <c r="H27" s="231">
        <v>38.28</v>
      </c>
      <c r="I27" s="231">
        <v>38.380000000000003</v>
      </c>
      <c r="J27" s="231"/>
      <c r="K27" s="231"/>
      <c r="L27" s="231">
        <v>0</v>
      </c>
      <c r="M27" s="231">
        <v>0</v>
      </c>
      <c r="N27" s="231">
        <v>171.6</v>
      </c>
      <c r="O27" s="231">
        <v>163.01999999999998</v>
      </c>
      <c r="P27" s="231">
        <v>76.56</v>
      </c>
      <c r="Q27" s="231">
        <v>76.56</v>
      </c>
      <c r="R27" s="231">
        <v>76.66</v>
      </c>
      <c r="S27" s="231">
        <v>76.66</v>
      </c>
      <c r="T27" s="231">
        <v>76.760000000000005</v>
      </c>
      <c r="U27" s="231">
        <v>76.760000000000005</v>
      </c>
      <c r="V27" s="231">
        <v>76.760000000000005</v>
      </c>
      <c r="W27" s="231"/>
      <c r="X27" s="388">
        <f t="shared" si="1"/>
        <v>871.33999999999992</v>
      </c>
      <c r="Y27" s="389"/>
      <c r="Z27" s="389"/>
      <c r="AA27" s="233"/>
      <c r="AB27" s="233"/>
      <c r="AC27" s="233">
        <f t="shared" si="2"/>
        <v>4.4444444444444446</v>
      </c>
      <c r="AD27" s="233">
        <f t="shared" si="3"/>
        <v>4.2222222222222214</v>
      </c>
      <c r="AE27" s="233">
        <f t="shared" si="4"/>
        <v>2</v>
      </c>
      <c r="AF27" s="233">
        <f t="shared" si="5"/>
        <v>2</v>
      </c>
      <c r="AG27" s="233">
        <f t="shared" si="6"/>
        <v>2.002612330198537</v>
      </c>
      <c r="AH27" s="233">
        <f t="shared" si="7"/>
        <v>2.002612330198537</v>
      </c>
      <c r="AI27" s="233">
        <f t="shared" si="8"/>
        <v>2.0052246603970745</v>
      </c>
      <c r="AJ27" s="233">
        <f t="shared" si="9"/>
        <v>2.0052246603970745</v>
      </c>
      <c r="AK27" s="233">
        <f t="shared" si="10"/>
        <v>2.0052246603970745</v>
      </c>
      <c r="AL27" s="233">
        <f>IFERROR(#REF!/$H27,0)</f>
        <v>0</v>
      </c>
      <c r="AM27" s="234">
        <f t="shared" si="11"/>
        <v>2.2687565308254967</v>
      </c>
      <c r="AN27" s="234">
        <f t="shared" si="12"/>
        <v>22.687565308254968</v>
      </c>
    </row>
    <row r="28" spans="1:40">
      <c r="A28" s="218" t="str">
        <f>$A$1&amp;"Residential"&amp;B28</f>
        <v>PIERCE EA UTCResidentialSL095.0G1W001WREC</v>
      </c>
      <c r="B28" s="230" t="s">
        <v>200</v>
      </c>
      <c r="C28" s="230" t="s">
        <v>201</v>
      </c>
      <c r="D28" s="230" t="s">
        <v>343</v>
      </c>
      <c r="E28" s="380">
        <v>32000</v>
      </c>
      <c r="F28" s="231">
        <v>35.24</v>
      </c>
      <c r="G28" s="231">
        <v>35.61</v>
      </c>
      <c r="H28" s="231">
        <v>35.28</v>
      </c>
      <c r="I28" s="231">
        <v>35.369999999999997</v>
      </c>
      <c r="J28" s="231"/>
      <c r="K28" s="231"/>
      <c r="L28" s="231">
        <v>0</v>
      </c>
      <c r="M28" s="231">
        <v>0</v>
      </c>
      <c r="N28" s="231">
        <v>640.98500000000001</v>
      </c>
      <c r="O28" s="231">
        <v>695.88499999999999</v>
      </c>
      <c r="P28" s="231">
        <v>760.28</v>
      </c>
      <c r="Q28" s="231">
        <v>871</v>
      </c>
      <c r="R28" s="231">
        <v>902.41000000000008</v>
      </c>
      <c r="S28" s="231">
        <v>837.255</v>
      </c>
      <c r="T28" s="231">
        <v>889.65499999999997</v>
      </c>
      <c r="U28" s="231">
        <v>901.44499999999994</v>
      </c>
      <c r="V28" s="231">
        <v>921.09500000000003</v>
      </c>
      <c r="W28" s="231"/>
      <c r="X28" s="388">
        <f t="shared" si="1"/>
        <v>7420.0099999999993</v>
      </c>
      <c r="Y28" s="389"/>
      <c r="Z28" s="389"/>
      <c r="AA28" s="233"/>
      <c r="AB28" s="233"/>
      <c r="AC28" s="233">
        <f t="shared" si="2"/>
        <v>18.000140409997194</v>
      </c>
      <c r="AD28" s="233">
        <f t="shared" si="3"/>
        <v>19.541842179163158</v>
      </c>
      <c r="AE28" s="233">
        <f t="shared" si="4"/>
        <v>21.549886621315192</v>
      </c>
      <c r="AF28" s="233">
        <f t="shared" si="5"/>
        <v>24.688208616780045</v>
      </c>
      <c r="AG28" s="233">
        <f t="shared" si="6"/>
        <v>25.578514739229025</v>
      </c>
      <c r="AH28" s="233">
        <f t="shared" si="7"/>
        <v>23.731717687074831</v>
      </c>
      <c r="AI28" s="233">
        <f t="shared" si="8"/>
        <v>25.216978458049883</v>
      </c>
      <c r="AJ28" s="233">
        <f t="shared" si="9"/>
        <v>25.551162131519273</v>
      </c>
      <c r="AK28" s="233">
        <f t="shared" si="10"/>
        <v>26.108134920634921</v>
      </c>
      <c r="AL28" s="233">
        <f>IFERROR(#REF!/$H28,0)</f>
        <v>0</v>
      </c>
      <c r="AM28" s="234">
        <f t="shared" si="11"/>
        <v>20.996658576376351</v>
      </c>
      <c r="AN28" s="234">
        <f t="shared" si="12"/>
        <v>209.9665857637635</v>
      </c>
    </row>
    <row r="29" spans="1:40">
      <c r="A29" s="218" t="str">
        <f>$A$1&amp;"Residential"&amp;B29</f>
        <v>PIERCE EA UTCResidentialSL095.0GEO001NOREC</v>
      </c>
      <c r="B29" s="230" t="s">
        <v>202</v>
      </c>
      <c r="C29" s="230" t="s">
        <v>203</v>
      </c>
      <c r="D29" s="230" t="s">
        <v>343</v>
      </c>
      <c r="E29" s="380">
        <v>32000</v>
      </c>
      <c r="F29" s="231">
        <v>24.76</v>
      </c>
      <c r="G29" s="231">
        <v>24.94</v>
      </c>
      <c r="H29" s="231">
        <v>24.73</v>
      </c>
      <c r="I29" s="231">
        <v>24.8</v>
      </c>
      <c r="J29" s="231"/>
      <c r="K29" s="231"/>
      <c r="L29" s="231">
        <v>0</v>
      </c>
      <c r="M29" s="231">
        <v>0</v>
      </c>
      <c r="N29" s="231">
        <v>37.409999999999997</v>
      </c>
      <c r="O29" s="231">
        <v>37.409999999999997</v>
      </c>
      <c r="P29" s="231">
        <v>24.73</v>
      </c>
      <c r="Q29" s="231">
        <v>24.73</v>
      </c>
      <c r="R29" s="231">
        <v>24.765000000000001</v>
      </c>
      <c r="S29" s="231">
        <v>24.765000000000001</v>
      </c>
      <c r="T29" s="231">
        <v>24.8</v>
      </c>
      <c r="U29" s="231">
        <v>24.8</v>
      </c>
      <c r="V29" s="231">
        <v>24.8</v>
      </c>
      <c r="W29" s="231"/>
      <c r="X29" s="388">
        <f t="shared" si="1"/>
        <v>248.21000000000004</v>
      </c>
      <c r="Y29" s="389"/>
      <c r="Z29" s="389"/>
      <c r="AA29" s="233"/>
      <c r="AB29" s="233"/>
      <c r="AC29" s="233">
        <f t="shared" si="2"/>
        <v>1.4999999999999998</v>
      </c>
      <c r="AD29" s="233">
        <f t="shared" si="3"/>
        <v>1.4999999999999998</v>
      </c>
      <c r="AE29" s="233">
        <f t="shared" si="4"/>
        <v>1</v>
      </c>
      <c r="AF29" s="233">
        <f t="shared" si="5"/>
        <v>1</v>
      </c>
      <c r="AG29" s="233">
        <f t="shared" si="6"/>
        <v>1.0014152850788516</v>
      </c>
      <c r="AH29" s="233">
        <f t="shared" si="7"/>
        <v>1.0014152850788516</v>
      </c>
      <c r="AI29" s="233">
        <f t="shared" si="8"/>
        <v>1.0028305701577032</v>
      </c>
      <c r="AJ29" s="233">
        <f t="shared" si="9"/>
        <v>1.0028305701577032</v>
      </c>
      <c r="AK29" s="233">
        <f t="shared" si="10"/>
        <v>1.0028305701577032</v>
      </c>
      <c r="AL29" s="233">
        <f>IFERROR(#REF!/$H29,0)</f>
        <v>0</v>
      </c>
      <c r="AM29" s="234">
        <f t="shared" si="11"/>
        <v>1.0011322280630814</v>
      </c>
      <c r="AN29" s="234">
        <f t="shared" si="12"/>
        <v>10.011322280630814</v>
      </c>
    </row>
    <row r="30" spans="1:40">
      <c r="A30" s="218" t="str">
        <f>$A$1&amp;"Residential"&amp;B30</f>
        <v>PIERCE EA UTCResidentialSL095.0GEO001WREC</v>
      </c>
      <c r="B30" s="230" t="s">
        <v>204</v>
      </c>
      <c r="C30" s="230" t="s">
        <v>205</v>
      </c>
      <c r="D30" s="230" t="s">
        <v>343</v>
      </c>
      <c r="E30" s="380">
        <v>32000</v>
      </c>
      <c r="F30" s="231">
        <v>21.76</v>
      </c>
      <c r="G30" s="231">
        <v>21.94</v>
      </c>
      <c r="H30" s="231">
        <v>21.73</v>
      </c>
      <c r="I30" s="231">
        <v>21.79</v>
      </c>
      <c r="J30" s="231"/>
      <c r="K30" s="231"/>
      <c r="L30" s="231">
        <v>0</v>
      </c>
      <c r="M30" s="231">
        <v>0</v>
      </c>
      <c r="N30" s="231">
        <v>43.88</v>
      </c>
      <c r="O30" s="231">
        <v>52.660000000000004</v>
      </c>
      <c r="P30" s="231">
        <v>86.92</v>
      </c>
      <c r="Q30" s="231">
        <v>97.79</v>
      </c>
      <c r="R30" s="231">
        <v>114.205</v>
      </c>
      <c r="S30" s="231">
        <v>125.105</v>
      </c>
      <c r="T30" s="231">
        <v>108.95</v>
      </c>
      <c r="U30" s="231">
        <v>130.74</v>
      </c>
      <c r="V30" s="231">
        <v>152.53</v>
      </c>
      <c r="W30" s="231"/>
      <c r="X30" s="388">
        <f t="shared" si="1"/>
        <v>912.78</v>
      </c>
      <c r="Y30" s="389"/>
      <c r="Z30" s="389"/>
      <c r="AA30" s="233"/>
      <c r="AB30" s="233"/>
      <c r="AC30" s="233">
        <f t="shared" si="2"/>
        <v>2</v>
      </c>
      <c r="AD30" s="233">
        <f t="shared" si="3"/>
        <v>2.4001823154056519</v>
      </c>
      <c r="AE30" s="233">
        <f t="shared" si="4"/>
        <v>4</v>
      </c>
      <c r="AF30" s="233">
        <f t="shared" si="5"/>
        <v>4.500230096640589</v>
      </c>
      <c r="AG30" s="233">
        <f t="shared" si="6"/>
        <v>5.2556373676944315</v>
      </c>
      <c r="AH30" s="233">
        <f t="shared" si="7"/>
        <v>5.7572480441785547</v>
      </c>
      <c r="AI30" s="233">
        <f t="shared" si="8"/>
        <v>5.0138057984353432</v>
      </c>
      <c r="AJ30" s="233">
        <f t="shared" si="9"/>
        <v>6.0165669581224117</v>
      </c>
      <c r="AK30" s="233">
        <f t="shared" si="10"/>
        <v>7.0193281178094802</v>
      </c>
      <c r="AL30" s="233">
        <f>IFERROR(#REF!/$H30,0)</f>
        <v>0</v>
      </c>
      <c r="AM30" s="234">
        <f t="shared" si="11"/>
        <v>4.1962998698286453</v>
      </c>
      <c r="AN30" s="234">
        <f t="shared" si="12"/>
        <v>41.962998698286455</v>
      </c>
    </row>
    <row r="31" spans="1:40">
      <c r="A31" s="218" t="str">
        <f>$A$1&amp;"Residential"&amp;B31</f>
        <v>PIERCE EA UTCResidentialBULKY-RES</v>
      </c>
      <c r="B31" s="230" t="s">
        <v>206</v>
      </c>
      <c r="C31" s="230" t="s">
        <v>207</v>
      </c>
      <c r="D31" s="230" t="s">
        <v>344</v>
      </c>
      <c r="E31" s="380">
        <v>32001</v>
      </c>
      <c r="F31" s="231">
        <v>32.04</v>
      </c>
      <c r="G31" s="231">
        <v>32.200000000000003</v>
      </c>
      <c r="H31" s="231">
        <v>31.9</v>
      </c>
      <c r="I31" s="231">
        <v>31.98</v>
      </c>
      <c r="J31" s="231"/>
      <c r="K31" s="231"/>
      <c r="L31" s="231">
        <v>0</v>
      </c>
      <c r="M31" s="231">
        <v>0</v>
      </c>
      <c r="N31" s="231">
        <v>0</v>
      </c>
      <c r="O31" s="231">
        <v>0</v>
      </c>
      <c r="P31" s="231">
        <v>0</v>
      </c>
      <c r="Q31" s="231">
        <v>0</v>
      </c>
      <c r="R31" s="231">
        <v>0</v>
      </c>
      <c r="S31" s="231">
        <v>0</v>
      </c>
      <c r="T31" s="231">
        <v>0</v>
      </c>
      <c r="U31" s="231">
        <v>0</v>
      </c>
      <c r="V31" s="231">
        <v>0</v>
      </c>
      <c r="W31" s="231"/>
      <c r="X31" s="388">
        <f t="shared" si="1"/>
        <v>0</v>
      </c>
      <c r="Y31" s="389"/>
      <c r="Z31" s="389"/>
      <c r="AA31" s="233"/>
      <c r="AB31" s="233"/>
      <c r="AC31" s="233">
        <f t="shared" si="2"/>
        <v>0</v>
      </c>
      <c r="AD31" s="233">
        <f t="shared" si="3"/>
        <v>0</v>
      </c>
      <c r="AE31" s="233">
        <f t="shared" si="4"/>
        <v>0</v>
      </c>
      <c r="AF31" s="233">
        <f t="shared" si="5"/>
        <v>0</v>
      </c>
      <c r="AG31" s="233">
        <f t="shared" si="6"/>
        <v>0</v>
      </c>
      <c r="AH31" s="233">
        <f t="shared" si="7"/>
        <v>0</v>
      </c>
      <c r="AI31" s="233">
        <f t="shared" si="8"/>
        <v>0</v>
      </c>
      <c r="AJ31" s="233">
        <f t="shared" si="9"/>
        <v>0</v>
      </c>
      <c r="AK31" s="233">
        <f t="shared" si="10"/>
        <v>0</v>
      </c>
      <c r="AL31" s="233">
        <f>IFERROR(#REF!/$H31,0)</f>
        <v>0</v>
      </c>
      <c r="AM31" s="234">
        <f t="shared" si="11"/>
        <v>0</v>
      </c>
      <c r="AN31" s="234">
        <f t="shared" si="12"/>
        <v>0</v>
      </c>
    </row>
    <row r="32" spans="1:40">
      <c r="A32" s="218" t="str">
        <f>$A$1&amp;"Residential"&amp;B32</f>
        <v>PIERCE EA UTCResidentialEXTRA-RES</v>
      </c>
      <c r="B32" s="230" t="s">
        <v>208</v>
      </c>
      <c r="C32" s="230" t="s">
        <v>209</v>
      </c>
      <c r="D32" s="230" t="s">
        <v>344</v>
      </c>
      <c r="E32" s="380">
        <v>32001</v>
      </c>
      <c r="F32" s="231">
        <v>4.3899999999999997</v>
      </c>
      <c r="G32" s="231">
        <v>4.43</v>
      </c>
      <c r="H32" s="231">
        <v>4.3899999999999997</v>
      </c>
      <c r="I32" s="231">
        <v>4.4000000000000004</v>
      </c>
      <c r="J32" s="231"/>
      <c r="K32" s="231"/>
      <c r="L32" s="231">
        <v>0</v>
      </c>
      <c r="M32" s="231">
        <v>0</v>
      </c>
      <c r="N32" s="231">
        <v>8.86</v>
      </c>
      <c r="O32" s="231">
        <v>57.589999999999996</v>
      </c>
      <c r="P32" s="231">
        <v>35.119999999999997</v>
      </c>
      <c r="Q32" s="231">
        <v>0</v>
      </c>
      <c r="R32" s="231">
        <v>17.559999999999999</v>
      </c>
      <c r="S32" s="231">
        <v>4.4000000000000004</v>
      </c>
      <c r="T32" s="231">
        <v>52.8</v>
      </c>
      <c r="U32" s="231">
        <v>0</v>
      </c>
      <c r="V32" s="231">
        <v>8.8000000000000007</v>
      </c>
      <c r="W32" s="231"/>
      <c r="X32" s="388">
        <f t="shared" si="1"/>
        <v>185.13</v>
      </c>
      <c r="Y32" s="389"/>
      <c r="Z32" s="389"/>
      <c r="AA32" s="233"/>
      <c r="AB32" s="233"/>
      <c r="AC32" s="233">
        <f t="shared" si="2"/>
        <v>2</v>
      </c>
      <c r="AD32" s="233">
        <f t="shared" si="3"/>
        <v>13</v>
      </c>
      <c r="AE32" s="233">
        <f t="shared" si="4"/>
        <v>8</v>
      </c>
      <c r="AF32" s="233">
        <f t="shared" si="5"/>
        <v>0</v>
      </c>
      <c r="AG32" s="233">
        <f t="shared" si="6"/>
        <v>4</v>
      </c>
      <c r="AH32" s="233">
        <f t="shared" si="7"/>
        <v>1.0022779043280183</v>
      </c>
      <c r="AI32" s="233">
        <f t="shared" si="8"/>
        <v>12.027334851936219</v>
      </c>
      <c r="AJ32" s="233">
        <f t="shared" si="9"/>
        <v>0</v>
      </c>
      <c r="AK32" s="233">
        <f t="shared" si="10"/>
        <v>2.0045558086560367</v>
      </c>
      <c r="AL32" s="233">
        <f>IFERROR(#REF!/$H32,0)</f>
        <v>0</v>
      </c>
      <c r="AM32" s="234">
        <f t="shared" si="11"/>
        <v>4.2034168564920273</v>
      </c>
      <c r="AN32" s="234">
        <f t="shared" si="12"/>
        <v>42.034168564920272</v>
      </c>
    </row>
    <row r="33" spans="1:40">
      <c r="A33" s="218" t="str">
        <f>$A$1&amp;"Residential"&amp;B33</f>
        <v>PIERCE EA UTCResidentialEXTRA65-RES</v>
      </c>
      <c r="B33" s="230" t="s">
        <v>703</v>
      </c>
      <c r="C33" s="230" t="s">
        <v>728</v>
      </c>
      <c r="D33" s="230" t="s">
        <v>344</v>
      </c>
      <c r="E33" s="380">
        <v>32001</v>
      </c>
      <c r="F33" s="231">
        <v>9.32</v>
      </c>
      <c r="G33" s="231">
        <v>9.57</v>
      </c>
      <c r="H33" s="231">
        <v>9.2899999999999991</v>
      </c>
      <c r="I33" s="231">
        <v>9.31</v>
      </c>
      <c r="J33" s="231"/>
      <c r="K33" s="231"/>
      <c r="L33" s="231">
        <v>0</v>
      </c>
      <c r="M33" s="231">
        <v>0</v>
      </c>
      <c r="N33" s="231">
        <v>0</v>
      </c>
      <c r="O33" s="231">
        <v>9.57</v>
      </c>
      <c r="P33" s="231">
        <v>0</v>
      </c>
      <c r="Q33" s="231">
        <v>0</v>
      </c>
      <c r="R33" s="231">
        <v>0</v>
      </c>
      <c r="S33" s="231">
        <v>0</v>
      </c>
      <c r="T33" s="231">
        <v>0</v>
      </c>
      <c r="U33" s="231">
        <v>0</v>
      </c>
      <c r="V33" s="231">
        <v>0</v>
      </c>
      <c r="W33" s="231"/>
      <c r="X33" s="388">
        <f t="shared" si="1"/>
        <v>9.57</v>
      </c>
      <c r="Y33" s="389"/>
      <c r="Z33" s="389"/>
      <c r="AA33" s="233"/>
      <c r="AB33" s="233"/>
      <c r="AC33" s="233">
        <f t="shared" si="2"/>
        <v>0</v>
      </c>
      <c r="AD33" s="233">
        <f t="shared" si="3"/>
        <v>1</v>
      </c>
      <c r="AE33" s="233">
        <f t="shared" si="4"/>
        <v>0</v>
      </c>
      <c r="AF33" s="233">
        <f t="shared" si="5"/>
        <v>0</v>
      </c>
      <c r="AG33" s="233">
        <f t="shared" si="6"/>
        <v>0</v>
      </c>
      <c r="AH33" s="233">
        <f t="shared" si="7"/>
        <v>0</v>
      </c>
      <c r="AI33" s="233">
        <f t="shared" si="8"/>
        <v>0</v>
      </c>
      <c r="AJ33" s="233">
        <f t="shared" si="9"/>
        <v>0</v>
      </c>
      <c r="AK33" s="233">
        <f t="shared" si="10"/>
        <v>0</v>
      </c>
      <c r="AL33" s="233">
        <f>IFERROR(#REF!/$H33,0)</f>
        <v>0</v>
      </c>
      <c r="AM33" s="234">
        <f t="shared" si="11"/>
        <v>0.1</v>
      </c>
      <c r="AN33" s="234">
        <f t="shared" si="12"/>
        <v>1</v>
      </c>
    </row>
    <row r="34" spans="1:40">
      <c r="A34" s="218" t="str">
        <f>$A$1&amp;"Residential"&amp;B34</f>
        <v>PIERCE EA UTCResidentialEXTRA95-RES</v>
      </c>
      <c r="B34" s="230" t="s">
        <v>704</v>
      </c>
      <c r="C34" s="230" t="s">
        <v>729</v>
      </c>
      <c r="D34" s="230" t="s">
        <v>344</v>
      </c>
      <c r="E34" s="380">
        <v>32001</v>
      </c>
      <c r="F34" s="231">
        <v>12.27</v>
      </c>
      <c r="G34" s="231">
        <v>12.64</v>
      </c>
      <c r="H34" s="231">
        <v>12.23</v>
      </c>
      <c r="I34" s="231">
        <v>12.27</v>
      </c>
      <c r="J34" s="231"/>
      <c r="K34" s="231"/>
      <c r="L34" s="231">
        <v>0</v>
      </c>
      <c r="M34" s="231">
        <v>0</v>
      </c>
      <c r="N34" s="231">
        <v>0</v>
      </c>
      <c r="O34" s="231">
        <v>0</v>
      </c>
      <c r="P34" s="231">
        <v>0</v>
      </c>
      <c r="Q34" s="231">
        <v>12.23</v>
      </c>
      <c r="R34" s="231">
        <v>0</v>
      </c>
      <c r="S34" s="231">
        <v>0</v>
      </c>
      <c r="T34" s="231">
        <v>0</v>
      </c>
      <c r="U34" s="231">
        <v>0</v>
      </c>
      <c r="V34" s="231">
        <v>0</v>
      </c>
      <c r="W34" s="231"/>
      <c r="X34" s="388">
        <f t="shared" si="1"/>
        <v>12.23</v>
      </c>
      <c r="Y34" s="389"/>
      <c r="Z34" s="389"/>
      <c r="AA34" s="233"/>
      <c r="AB34" s="233"/>
      <c r="AC34" s="233">
        <f t="shared" si="2"/>
        <v>0</v>
      </c>
      <c r="AD34" s="233">
        <f t="shared" si="3"/>
        <v>0</v>
      </c>
      <c r="AE34" s="233">
        <f t="shared" si="4"/>
        <v>0</v>
      </c>
      <c r="AF34" s="233">
        <f t="shared" si="5"/>
        <v>1</v>
      </c>
      <c r="AG34" s="233">
        <f t="shared" si="6"/>
        <v>0</v>
      </c>
      <c r="AH34" s="233">
        <f t="shared" si="7"/>
        <v>0</v>
      </c>
      <c r="AI34" s="233">
        <f t="shared" si="8"/>
        <v>0</v>
      </c>
      <c r="AJ34" s="233">
        <f t="shared" si="9"/>
        <v>0</v>
      </c>
      <c r="AK34" s="233">
        <f t="shared" si="10"/>
        <v>0</v>
      </c>
      <c r="AL34" s="233">
        <f>IFERROR(#REF!/$H34,0)</f>
        <v>0</v>
      </c>
      <c r="AM34" s="234">
        <f t="shared" si="11"/>
        <v>0.1</v>
      </c>
      <c r="AN34" s="234">
        <f t="shared" si="12"/>
        <v>1</v>
      </c>
    </row>
    <row r="35" spans="1:40">
      <c r="A35" s="218" t="str">
        <f>$A$1&amp;"Residential"&amp;B35</f>
        <v>PIERCE EA UTCResidentialEXTRAGRAD1-RES</v>
      </c>
      <c r="B35" s="230" t="s">
        <v>345</v>
      </c>
      <c r="C35" s="230" t="s">
        <v>752</v>
      </c>
      <c r="D35" s="230" t="s">
        <v>344</v>
      </c>
      <c r="E35" s="380">
        <v>32001</v>
      </c>
      <c r="F35" s="231">
        <v>0</v>
      </c>
      <c r="G35" s="231">
        <v>0</v>
      </c>
      <c r="H35" s="231">
        <v>0</v>
      </c>
      <c r="I35" s="231">
        <v>0</v>
      </c>
      <c r="J35" s="231"/>
      <c r="K35" s="231"/>
      <c r="L35" s="231">
        <v>0</v>
      </c>
      <c r="M35" s="231">
        <v>0</v>
      </c>
      <c r="N35" s="231">
        <v>0</v>
      </c>
      <c r="O35" s="231">
        <v>0</v>
      </c>
      <c r="P35" s="231">
        <v>0</v>
      </c>
      <c r="Q35" s="231">
        <v>0</v>
      </c>
      <c r="R35" s="231">
        <v>0</v>
      </c>
      <c r="S35" s="231">
        <v>0</v>
      </c>
      <c r="T35" s="231">
        <v>0</v>
      </c>
      <c r="U35" s="231">
        <v>0</v>
      </c>
      <c r="V35" s="231">
        <v>0</v>
      </c>
      <c r="W35" s="231"/>
      <c r="X35" s="388">
        <f t="shared" si="1"/>
        <v>0</v>
      </c>
      <c r="Y35" s="389"/>
      <c r="Z35" s="389"/>
      <c r="AA35" s="233"/>
      <c r="AB35" s="233"/>
      <c r="AC35" s="233">
        <f t="shared" si="2"/>
        <v>0</v>
      </c>
      <c r="AD35" s="233">
        <f t="shared" si="3"/>
        <v>0</v>
      </c>
      <c r="AE35" s="233">
        <f t="shared" si="4"/>
        <v>0</v>
      </c>
      <c r="AF35" s="233">
        <f t="shared" si="5"/>
        <v>0</v>
      </c>
      <c r="AG35" s="233">
        <f t="shared" si="6"/>
        <v>0</v>
      </c>
      <c r="AH35" s="233">
        <f t="shared" si="7"/>
        <v>0</v>
      </c>
      <c r="AI35" s="233">
        <f t="shared" si="8"/>
        <v>0</v>
      </c>
      <c r="AJ35" s="233">
        <f t="shared" si="9"/>
        <v>0</v>
      </c>
      <c r="AK35" s="233">
        <f t="shared" si="10"/>
        <v>0</v>
      </c>
      <c r="AL35" s="233">
        <f>IFERROR(#REF!/$H35,0)</f>
        <v>0</v>
      </c>
      <c r="AM35" s="234">
        <f t="shared" si="11"/>
        <v>0</v>
      </c>
      <c r="AN35" s="234">
        <f t="shared" si="12"/>
        <v>0</v>
      </c>
    </row>
    <row r="36" spans="1:40">
      <c r="A36" s="218" t="str">
        <f>$A$1&amp;"Residential"&amp;B36</f>
        <v>PIERCE EA UTCResidentialOS-RES</v>
      </c>
      <c r="B36" s="230" t="s">
        <v>346</v>
      </c>
      <c r="C36" s="230" t="s">
        <v>347</v>
      </c>
      <c r="D36" s="230" t="s">
        <v>344</v>
      </c>
      <c r="E36" s="380">
        <v>32001</v>
      </c>
      <c r="F36" s="231">
        <v>7.74</v>
      </c>
      <c r="G36" s="231">
        <v>7.78</v>
      </c>
      <c r="H36" s="231">
        <v>7.71</v>
      </c>
      <c r="I36" s="231">
        <v>7.73</v>
      </c>
      <c r="J36" s="231"/>
      <c r="K36" s="231"/>
      <c r="L36" s="231">
        <v>0</v>
      </c>
      <c r="M36" s="231">
        <v>0</v>
      </c>
      <c r="N36" s="231">
        <v>0</v>
      </c>
      <c r="O36" s="231">
        <v>0</v>
      </c>
      <c r="P36" s="231">
        <v>0</v>
      </c>
      <c r="Q36" s="231">
        <v>0</v>
      </c>
      <c r="R36" s="231">
        <v>0</v>
      </c>
      <c r="S36" s="231">
        <v>0</v>
      </c>
      <c r="T36" s="231">
        <v>0</v>
      </c>
      <c r="U36" s="231">
        <v>0</v>
      </c>
      <c r="V36" s="231">
        <v>0</v>
      </c>
      <c r="W36" s="231"/>
      <c r="X36" s="388">
        <f t="shared" si="1"/>
        <v>0</v>
      </c>
      <c r="Y36" s="389"/>
      <c r="Z36" s="389"/>
      <c r="AA36" s="233"/>
      <c r="AB36" s="233"/>
      <c r="AC36" s="233">
        <f t="shared" si="2"/>
        <v>0</v>
      </c>
      <c r="AD36" s="233">
        <f t="shared" si="3"/>
        <v>0</v>
      </c>
      <c r="AE36" s="233">
        <f t="shared" si="4"/>
        <v>0</v>
      </c>
      <c r="AF36" s="233">
        <f t="shared" si="5"/>
        <v>0</v>
      </c>
      <c r="AG36" s="233">
        <f t="shared" si="6"/>
        <v>0</v>
      </c>
      <c r="AH36" s="233">
        <f t="shared" si="7"/>
        <v>0</v>
      </c>
      <c r="AI36" s="233">
        <f t="shared" si="8"/>
        <v>0</v>
      </c>
      <c r="AJ36" s="233">
        <f t="shared" si="9"/>
        <v>0</v>
      </c>
      <c r="AK36" s="233">
        <f t="shared" si="10"/>
        <v>0</v>
      </c>
      <c r="AL36" s="233">
        <f>IFERROR(#REF!/$H36,0)</f>
        <v>0</v>
      </c>
      <c r="AM36" s="234">
        <f t="shared" si="11"/>
        <v>0</v>
      </c>
      <c r="AN36" s="234">
        <f t="shared" si="12"/>
        <v>0</v>
      </c>
    </row>
    <row r="37" spans="1:40">
      <c r="A37" s="218" t="str">
        <f>$A$1&amp;"Residential"&amp;B37</f>
        <v>PIERCE EA UTCResidentialOW-RES</v>
      </c>
      <c r="B37" s="230" t="s">
        <v>348</v>
      </c>
      <c r="C37" s="230" t="s">
        <v>349</v>
      </c>
      <c r="D37" s="230" t="s">
        <v>344</v>
      </c>
      <c r="E37" s="380">
        <v>32001</v>
      </c>
      <c r="F37" s="231">
        <v>7.74</v>
      </c>
      <c r="G37" s="231">
        <v>7.78</v>
      </c>
      <c r="H37" s="231">
        <v>7.71</v>
      </c>
      <c r="I37" s="231">
        <v>7.73</v>
      </c>
      <c r="J37" s="231"/>
      <c r="K37" s="231"/>
      <c r="L37" s="231">
        <v>0</v>
      </c>
      <c r="M37" s="231">
        <v>0</v>
      </c>
      <c r="N37" s="231">
        <v>0</v>
      </c>
      <c r="O37" s="231">
        <v>0</v>
      </c>
      <c r="P37" s="231">
        <v>0</v>
      </c>
      <c r="Q37" s="231">
        <v>0</v>
      </c>
      <c r="R37" s="231">
        <v>7.71</v>
      </c>
      <c r="S37" s="231">
        <v>0</v>
      </c>
      <c r="T37" s="231">
        <v>0</v>
      </c>
      <c r="U37" s="231">
        <v>0</v>
      </c>
      <c r="V37" s="231">
        <v>0</v>
      </c>
      <c r="W37" s="231"/>
      <c r="X37" s="388">
        <f t="shared" si="1"/>
        <v>7.71</v>
      </c>
      <c r="Y37" s="389"/>
      <c r="Z37" s="389"/>
      <c r="AA37" s="233"/>
      <c r="AB37" s="233"/>
      <c r="AC37" s="233">
        <f t="shared" si="2"/>
        <v>0</v>
      </c>
      <c r="AD37" s="233">
        <f t="shared" si="3"/>
        <v>0</v>
      </c>
      <c r="AE37" s="233">
        <f t="shared" si="4"/>
        <v>0</v>
      </c>
      <c r="AF37" s="233">
        <f t="shared" si="5"/>
        <v>0</v>
      </c>
      <c r="AG37" s="233">
        <f t="shared" si="6"/>
        <v>1</v>
      </c>
      <c r="AH37" s="233">
        <f t="shared" si="7"/>
        <v>0</v>
      </c>
      <c r="AI37" s="233">
        <f t="shared" si="8"/>
        <v>0</v>
      </c>
      <c r="AJ37" s="233">
        <f t="shared" si="9"/>
        <v>0</v>
      </c>
      <c r="AK37" s="233">
        <f t="shared" si="10"/>
        <v>0</v>
      </c>
      <c r="AL37" s="233">
        <f>IFERROR(#REF!/$H37,0)</f>
        <v>0</v>
      </c>
      <c r="AM37" s="234">
        <f t="shared" si="11"/>
        <v>0.1</v>
      </c>
      <c r="AN37" s="234">
        <f t="shared" si="12"/>
        <v>1</v>
      </c>
    </row>
    <row r="38" spans="1:40">
      <c r="A38" s="218" t="str">
        <f>$A$1&amp;"Residential"&amp;B38</f>
        <v>PIERCE EA UTCResidentialSPGRAD1-RES</v>
      </c>
      <c r="B38" s="230" t="s">
        <v>350</v>
      </c>
      <c r="C38" s="230" t="s">
        <v>753</v>
      </c>
      <c r="D38" s="230"/>
      <c r="F38" s="231">
        <v>0</v>
      </c>
      <c r="G38" s="231">
        <v>0</v>
      </c>
      <c r="H38" s="231">
        <v>0</v>
      </c>
      <c r="I38" s="231">
        <v>0</v>
      </c>
      <c r="J38" s="231"/>
      <c r="K38" s="231"/>
      <c r="L38" s="231">
        <v>0</v>
      </c>
      <c r="M38" s="231">
        <v>0</v>
      </c>
      <c r="N38" s="231">
        <v>0</v>
      </c>
      <c r="O38" s="231">
        <v>0</v>
      </c>
      <c r="P38" s="231">
        <v>0</v>
      </c>
      <c r="Q38" s="231">
        <v>0</v>
      </c>
      <c r="R38" s="231">
        <v>0</v>
      </c>
      <c r="S38" s="231">
        <v>0</v>
      </c>
      <c r="T38" s="231">
        <v>0</v>
      </c>
      <c r="U38" s="231">
        <v>0</v>
      </c>
      <c r="V38" s="231">
        <v>0</v>
      </c>
      <c r="W38" s="231"/>
      <c r="X38" s="388">
        <f t="shared" si="1"/>
        <v>0</v>
      </c>
      <c r="Y38" s="389"/>
      <c r="Z38" s="389"/>
      <c r="AA38" s="233"/>
      <c r="AB38" s="233"/>
      <c r="AC38" s="233">
        <f t="shared" si="2"/>
        <v>0</v>
      </c>
      <c r="AD38" s="233">
        <f t="shared" si="3"/>
        <v>0</v>
      </c>
      <c r="AE38" s="233">
        <f t="shared" si="4"/>
        <v>0</v>
      </c>
      <c r="AF38" s="233">
        <f t="shared" si="5"/>
        <v>0</v>
      </c>
      <c r="AG38" s="233">
        <f t="shared" si="6"/>
        <v>0</v>
      </c>
      <c r="AH38" s="233">
        <f t="shared" si="7"/>
        <v>0</v>
      </c>
      <c r="AI38" s="233">
        <f t="shared" si="8"/>
        <v>0</v>
      </c>
      <c r="AJ38" s="233">
        <f t="shared" si="9"/>
        <v>0</v>
      </c>
      <c r="AK38" s="233">
        <f t="shared" si="10"/>
        <v>0</v>
      </c>
      <c r="AL38" s="233">
        <f>IFERROR(#REF!/$H38,0)</f>
        <v>0</v>
      </c>
      <c r="AM38" s="234">
        <f t="shared" si="11"/>
        <v>0</v>
      </c>
      <c r="AN38" s="234">
        <f t="shared" si="12"/>
        <v>0</v>
      </c>
    </row>
    <row r="39" spans="1:40">
      <c r="A39" s="218" t="str">
        <f>$A$1&amp;"Residential"&amp;B39</f>
        <v>PIERCE EA UTCResidentialWI1-RES</v>
      </c>
      <c r="B39" s="230" t="s">
        <v>351</v>
      </c>
      <c r="C39" s="230" t="s">
        <v>754</v>
      </c>
      <c r="D39" s="230" t="s">
        <v>343</v>
      </c>
      <c r="E39" s="380">
        <v>32000</v>
      </c>
      <c r="F39" s="231">
        <v>2.06</v>
      </c>
      <c r="G39" s="231">
        <v>2.06</v>
      </c>
      <c r="H39" s="231">
        <v>2.04</v>
      </c>
      <c r="I39" s="231">
        <v>2.0499999999999998</v>
      </c>
      <c r="J39" s="231"/>
      <c r="K39" s="231"/>
      <c r="L39" s="231">
        <v>0</v>
      </c>
      <c r="M39" s="231">
        <v>0</v>
      </c>
      <c r="N39" s="231">
        <v>0</v>
      </c>
      <c r="O39" s="231">
        <v>0</v>
      </c>
      <c r="P39" s="231">
        <v>0</v>
      </c>
      <c r="Q39" s="231">
        <v>0</v>
      </c>
      <c r="R39" s="231">
        <v>0</v>
      </c>
      <c r="S39" s="231">
        <v>0</v>
      </c>
      <c r="T39" s="231">
        <v>0</v>
      </c>
      <c r="U39" s="231">
        <v>0</v>
      </c>
      <c r="V39" s="231">
        <v>0</v>
      </c>
      <c r="W39" s="231"/>
      <c r="X39" s="388">
        <f t="shared" si="1"/>
        <v>0</v>
      </c>
      <c r="Y39" s="389"/>
      <c r="Z39" s="389"/>
      <c r="AA39" s="233"/>
      <c r="AB39" s="233"/>
      <c r="AC39" s="233">
        <f t="shared" si="2"/>
        <v>0</v>
      </c>
      <c r="AD39" s="233">
        <f t="shared" si="3"/>
        <v>0</v>
      </c>
      <c r="AE39" s="233">
        <f t="shared" si="4"/>
        <v>0</v>
      </c>
      <c r="AF39" s="233">
        <f t="shared" si="5"/>
        <v>0</v>
      </c>
      <c r="AG39" s="233">
        <f t="shared" si="6"/>
        <v>0</v>
      </c>
      <c r="AH39" s="233">
        <f t="shared" si="7"/>
        <v>0</v>
      </c>
      <c r="AI39" s="233">
        <f t="shared" si="8"/>
        <v>0</v>
      </c>
      <c r="AJ39" s="233">
        <f t="shared" si="9"/>
        <v>0</v>
      </c>
      <c r="AK39" s="233">
        <f t="shared" si="10"/>
        <v>0</v>
      </c>
      <c r="AL39" s="233">
        <f>IFERROR(#REF!/$H39,0)</f>
        <v>0</v>
      </c>
      <c r="AM39" s="234">
        <f t="shared" si="11"/>
        <v>0</v>
      </c>
      <c r="AN39" s="234">
        <f t="shared" si="12"/>
        <v>0</v>
      </c>
    </row>
    <row r="40" spans="1:40">
      <c r="A40" s="218" t="str">
        <f>$A$1&amp;"Residential"&amp;B40</f>
        <v>PIERCE EA UTCResidentialWI2-RES</v>
      </c>
      <c r="B40" s="230" t="s">
        <v>352</v>
      </c>
      <c r="C40" s="230" t="s">
        <v>755</v>
      </c>
      <c r="D40" s="230" t="s">
        <v>343</v>
      </c>
      <c r="E40" s="380">
        <v>32000</v>
      </c>
      <c r="F40" s="231">
        <v>3.38</v>
      </c>
      <c r="G40" s="231">
        <v>3.38</v>
      </c>
      <c r="H40" s="231">
        <v>3.35</v>
      </c>
      <c r="I40" s="231">
        <v>3.36</v>
      </c>
      <c r="J40" s="231"/>
      <c r="K40" s="231"/>
      <c r="L40" s="231">
        <v>0</v>
      </c>
      <c r="M40" s="231">
        <v>0</v>
      </c>
      <c r="N40" s="231">
        <v>0</v>
      </c>
      <c r="O40" s="231">
        <v>0</v>
      </c>
      <c r="P40" s="231">
        <v>0</v>
      </c>
      <c r="Q40" s="231">
        <v>0</v>
      </c>
      <c r="R40" s="231">
        <v>0</v>
      </c>
      <c r="S40" s="231">
        <v>0</v>
      </c>
      <c r="T40" s="231">
        <v>0</v>
      </c>
      <c r="U40" s="231">
        <v>0</v>
      </c>
      <c r="V40" s="231">
        <v>0</v>
      </c>
      <c r="W40" s="231"/>
      <c r="X40" s="388">
        <f t="shared" si="1"/>
        <v>0</v>
      </c>
      <c r="Y40" s="389"/>
      <c r="Z40" s="389"/>
      <c r="AA40" s="233"/>
      <c r="AB40" s="233"/>
      <c r="AC40" s="233">
        <f t="shared" si="2"/>
        <v>0</v>
      </c>
      <c r="AD40" s="233">
        <f t="shared" si="3"/>
        <v>0</v>
      </c>
      <c r="AE40" s="233">
        <f t="shared" si="4"/>
        <v>0</v>
      </c>
      <c r="AF40" s="233">
        <f t="shared" si="5"/>
        <v>0</v>
      </c>
      <c r="AG40" s="233">
        <f t="shared" si="6"/>
        <v>0</v>
      </c>
      <c r="AH40" s="233">
        <f t="shared" si="7"/>
        <v>0</v>
      </c>
      <c r="AI40" s="233">
        <f t="shared" si="8"/>
        <v>0</v>
      </c>
      <c r="AJ40" s="233">
        <f t="shared" si="9"/>
        <v>0</v>
      </c>
      <c r="AK40" s="233">
        <f t="shared" si="10"/>
        <v>0</v>
      </c>
      <c r="AL40" s="233">
        <f>IFERROR(#REF!/$H40,0)</f>
        <v>0</v>
      </c>
      <c r="AM40" s="234">
        <f t="shared" si="11"/>
        <v>0</v>
      </c>
      <c r="AN40" s="234">
        <f t="shared" si="12"/>
        <v>0</v>
      </c>
    </row>
    <row r="41" spans="1:40" s="217" customFormat="1">
      <c r="A41" s="218" t="str">
        <f>$A$1&amp;"Residential"&amp;B41</f>
        <v>PIERCE EA UTCResidentialDRIVEIN1-RES</v>
      </c>
      <c r="B41" s="230" t="s">
        <v>353</v>
      </c>
      <c r="C41" s="230" t="s">
        <v>756</v>
      </c>
      <c r="D41" s="230" t="s">
        <v>343</v>
      </c>
      <c r="E41" s="380">
        <v>32000</v>
      </c>
      <c r="F41" s="231">
        <v>0</v>
      </c>
      <c r="G41" s="231">
        <v>0</v>
      </c>
      <c r="H41" s="231">
        <v>0</v>
      </c>
      <c r="I41" s="231">
        <v>0</v>
      </c>
      <c r="J41" s="231"/>
      <c r="K41" s="231"/>
      <c r="L41" s="231">
        <v>0</v>
      </c>
      <c r="M41" s="231">
        <v>0</v>
      </c>
      <c r="N41" s="231">
        <v>0</v>
      </c>
      <c r="O41" s="231">
        <v>0</v>
      </c>
      <c r="P41" s="231">
        <v>0</v>
      </c>
      <c r="Q41" s="231">
        <v>0</v>
      </c>
      <c r="R41" s="231">
        <v>0</v>
      </c>
      <c r="S41" s="231">
        <v>0</v>
      </c>
      <c r="T41" s="231">
        <v>0</v>
      </c>
      <c r="U41" s="231">
        <v>0</v>
      </c>
      <c r="V41" s="231">
        <v>0</v>
      </c>
      <c r="W41" s="231"/>
      <c r="X41" s="388">
        <f t="shared" si="1"/>
        <v>0</v>
      </c>
      <c r="Y41" s="389"/>
      <c r="Z41" s="389"/>
      <c r="AA41" s="233"/>
      <c r="AB41" s="233"/>
      <c r="AC41" s="233">
        <f t="shared" si="2"/>
        <v>0</v>
      </c>
      <c r="AD41" s="233">
        <f t="shared" si="3"/>
        <v>0</v>
      </c>
      <c r="AE41" s="233">
        <f t="shared" si="4"/>
        <v>0</v>
      </c>
      <c r="AF41" s="233">
        <f t="shared" si="5"/>
        <v>0</v>
      </c>
      <c r="AG41" s="233">
        <f t="shared" si="6"/>
        <v>0</v>
      </c>
      <c r="AH41" s="233">
        <f t="shared" si="7"/>
        <v>0</v>
      </c>
      <c r="AI41" s="233">
        <f t="shared" si="8"/>
        <v>0</v>
      </c>
      <c r="AJ41" s="233">
        <f t="shared" si="9"/>
        <v>0</v>
      </c>
      <c r="AK41" s="233">
        <f t="shared" si="10"/>
        <v>0</v>
      </c>
      <c r="AL41" s="233">
        <f>IFERROR(#REF!/$H41,0)</f>
        <v>0</v>
      </c>
      <c r="AM41" s="234">
        <f t="shared" si="11"/>
        <v>0</v>
      </c>
      <c r="AN41" s="234">
        <f t="shared" si="12"/>
        <v>0</v>
      </c>
    </row>
    <row r="42" spans="1:40" s="217" customFormat="1">
      <c r="A42" s="218" t="str">
        <f>$A$1&amp;"Residential"&amp;B42</f>
        <v>PIERCE EA UTCResidentialDRIVEIN2-RES</v>
      </c>
      <c r="B42" s="230" t="s">
        <v>354</v>
      </c>
      <c r="C42" s="230" t="s">
        <v>757</v>
      </c>
      <c r="D42" s="230" t="s">
        <v>343</v>
      </c>
      <c r="E42" s="380">
        <v>32000</v>
      </c>
      <c r="F42" s="231">
        <v>8.4499999999999993</v>
      </c>
      <c r="G42" s="231">
        <v>8.4499999999999993</v>
      </c>
      <c r="H42" s="231">
        <v>8.3699999999999992</v>
      </c>
      <c r="I42" s="231">
        <v>8.39</v>
      </c>
      <c r="J42" s="231"/>
      <c r="K42" s="231"/>
      <c r="L42" s="231">
        <v>0</v>
      </c>
      <c r="M42" s="231">
        <v>0</v>
      </c>
      <c r="N42" s="231">
        <v>0</v>
      </c>
      <c r="O42" s="231">
        <v>0</v>
      </c>
      <c r="P42" s="231">
        <v>0</v>
      </c>
      <c r="Q42" s="231">
        <v>0</v>
      </c>
      <c r="R42" s="231">
        <v>0</v>
      </c>
      <c r="S42" s="231">
        <v>0</v>
      </c>
      <c r="T42" s="231">
        <v>0</v>
      </c>
      <c r="U42" s="231">
        <v>0</v>
      </c>
      <c r="V42" s="231">
        <v>0</v>
      </c>
      <c r="W42" s="231"/>
      <c r="X42" s="388">
        <f t="shared" si="1"/>
        <v>0</v>
      </c>
      <c r="Y42" s="389"/>
      <c r="Z42" s="389"/>
      <c r="AA42" s="233"/>
      <c r="AB42" s="233"/>
      <c r="AC42" s="233">
        <f t="shared" si="2"/>
        <v>0</v>
      </c>
      <c r="AD42" s="233">
        <f t="shared" si="3"/>
        <v>0</v>
      </c>
      <c r="AE42" s="233">
        <f t="shared" si="4"/>
        <v>0</v>
      </c>
      <c r="AF42" s="233">
        <f t="shared" si="5"/>
        <v>0</v>
      </c>
      <c r="AG42" s="233">
        <f t="shared" si="6"/>
        <v>0</v>
      </c>
      <c r="AH42" s="233">
        <f t="shared" si="7"/>
        <v>0</v>
      </c>
      <c r="AI42" s="233">
        <f t="shared" si="8"/>
        <v>0</v>
      </c>
      <c r="AJ42" s="233">
        <f t="shared" si="9"/>
        <v>0</v>
      </c>
      <c r="AK42" s="233">
        <f t="shared" si="10"/>
        <v>0</v>
      </c>
      <c r="AL42" s="233">
        <f>IFERROR(#REF!/$H42,0)</f>
        <v>0</v>
      </c>
      <c r="AM42" s="234">
        <f t="shared" si="11"/>
        <v>0</v>
      </c>
      <c r="AN42" s="234">
        <f t="shared" si="12"/>
        <v>0</v>
      </c>
    </row>
    <row r="43" spans="1:40" s="217" customFormat="1">
      <c r="A43" s="218" t="str">
        <f>$A$1&amp;"Residential"&amp;B43</f>
        <v>PIERCE EA UTCResidentialDRIVEIN4-RES</v>
      </c>
      <c r="B43" s="230" t="s">
        <v>355</v>
      </c>
      <c r="C43" s="230" t="s">
        <v>758</v>
      </c>
      <c r="D43" s="230" t="s">
        <v>343</v>
      </c>
      <c r="E43" s="380">
        <v>32000</v>
      </c>
      <c r="F43" s="231">
        <v>11.31</v>
      </c>
      <c r="G43" s="231">
        <v>11.31</v>
      </c>
      <c r="H43" s="231">
        <v>11.21</v>
      </c>
      <c r="I43" s="231">
        <v>11.23</v>
      </c>
      <c r="J43" s="231"/>
      <c r="K43" s="231"/>
      <c r="L43" s="231">
        <v>0</v>
      </c>
      <c r="M43" s="231">
        <v>0</v>
      </c>
      <c r="N43" s="231">
        <v>0</v>
      </c>
      <c r="O43" s="231">
        <v>0</v>
      </c>
      <c r="P43" s="231">
        <v>0</v>
      </c>
      <c r="Q43" s="231">
        <v>0</v>
      </c>
      <c r="R43" s="231">
        <v>0</v>
      </c>
      <c r="S43" s="231">
        <v>0</v>
      </c>
      <c r="T43" s="231">
        <v>0</v>
      </c>
      <c r="U43" s="231">
        <v>0</v>
      </c>
      <c r="V43" s="231">
        <v>0</v>
      </c>
      <c r="W43" s="231"/>
      <c r="X43" s="388">
        <f t="shared" si="1"/>
        <v>0</v>
      </c>
      <c r="Y43" s="389"/>
      <c r="Z43" s="389"/>
      <c r="AA43" s="233"/>
      <c r="AB43" s="233"/>
      <c r="AC43" s="233">
        <f t="shared" si="2"/>
        <v>0</v>
      </c>
      <c r="AD43" s="233">
        <f t="shared" si="3"/>
        <v>0</v>
      </c>
      <c r="AE43" s="233">
        <f t="shared" si="4"/>
        <v>0</v>
      </c>
      <c r="AF43" s="233">
        <f t="shared" si="5"/>
        <v>0</v>
      </c>
      <c r="AG43" s="233">
        <f t="shared" si="6"/>
        <v>0</v>
      </c>
      <c r="AH43" s="233">
        <f t="shared" si="7"/>
        <v>0</v>
      </c>
      <c r="AI43" s="233">
        <f t="shared" si="8"/>
        <v>0</v>
      </c>
      <c r="AJ43" s="233">
        <f t="shared" si="9"/>
        <v>0</v>
      </c>
      <c r="AK43" s="233">
        <f t="shared" si="10"/>
        <v>0</v>
      </c>
      <c r="AL43" s="233">
        <f>IFERROR(#REF!/$H43,0)</f>
        <v>0</v>
      </c>
      <c r="AM43" s="234">
        <f t="shared" si="11"/>
        <v>0</v>
      </c>
      <c r="AN43" s="234">
        <f t="shared" si="12"/>
        <v>0</v>
      </c>
    </row>
    <row r="44" spans="1:40">
      <c r="A44" s="218" t="str">
        <f>$A$1&amp;"Residential"&amp;B44</f>
        <v>PIERCE EA UTCResidentialDRIVEIN-RES</v>
      </c>
      <c r="B44" s="230" t="s">
        <v>356</v>
      </c>
      <c r="C44" s="230" t="s">
        <v>759</v>
      </c>
      <c r="D44" s="230" t="s">
        <v>343</v>
      </c>
      <c r="E44" s="380">
        <v>32000</v>
      </c>
      <c r="F44" s="231">
        <v>7.02</v>
      </c>
      <c r="G44" s="231">
        <v>7.02</v>
      </c>
      <c r="H44" s="231">
        <v>6.95</v>
      </c>
      <c r="I44" s="231">
        <v>6.97</v>
      </c>
      <c r="J44" s="231"/>
      <c r="K44" s="231"/>
      <c r="L44" s="231">
        <v>0</v>
      </c>
      <c r="M44" s="231">
        <v>0</v>
      </c>
      <c r="N44" s="231">
        <v>0</v>
      </c>
      <c r="O44" s="231">
        <v>0</v>
      </c>
      <c r="P44" s="231">
        <v>0</v>
      </c>
      <c r="Q44" s="231">
        <v>0</v>
      </c>
      <c r="R44" s="231">
        <v>0</v>
      </c>
      <c r="S44" s="231">
        <v>0</v>
      </c>
      <c r="T44" s="231">
        <v>0</v>
      </c>
      <c r="U44" s="231">
        <v>0</v>
      </c>
      <c r="V44" s="231">
        <v>0</v>
      </c>
      <c r="W44" s="231"/>
      <c r="X44" s="388">
        <f t="shared" si="1"/>
        <v>0</v>
      </c>
      <c r="Y44" s="389"/>
      <c r="Z44" s="389"/>
      <c r="AA44" s="233"/>
      <c r="AB44" s="233"/>
      <c r="AC44" s="233">
        <f t="shared" si="2"/>
        <v>0</v>
      </c>
      <c r="AD44" s="233">
        <f t="shared" si="3"/>
        <v>0</v>
      </c>
      <c r="AE44" s="233">
        <f t="shared" si="4"/>
        <v>0</v>
      </c>
      <c r="AF44" s="233">
        <f t="shared" si="5"/>
        <v>0</v>
      </c>
      <c r="AG44" s="233">
        <f t="shared" si="6"/>
        <v>0</v>
      </c>
      <c r="AH44" s="233">
        <f t="shared" si="7"/>
        <v>0</v>
      </c>
      <c r="AI44" s="233">
        <f t="shared" si="8"/>
        <v>0</v>
      </c>
      <c r="AJ44" s="233">
        <f t="shared" si="9"/>
        <v>0</v>
      </c>
      <c r="AK44" s="233">
        <f t="shared" si="10"/>
        <v>0</v>
      </c>
      <c r="AL44" s="233">
        <f>IFERROR(#REF!/$H44,0)</f>
        <v>0</v>
      </c>
      <c r="AM44" s="234">
        <f t="shared" si="11"/>
        <v>0</v>
      </c>
      <c r="AN44" s="234">
        <f t="shared" si="12"/>
        <v>0</v>
      </c>
    </row>
    <row r="45" spans="1:40">
      <c r="A45" s="218" t="str">
        <f>$A$1&amp;"Residential"&amp;B45</f>
        <v>PIERCE EA UTCResidentialDRIVEINMUL-RES</v>
      </c>
      <c r="B45" s="230" t="s">
        <v>705</v>
      </c>
      <c r="C45" s="230" t="s">
        <v>760</v>
      </c>
      <c r="D45" s="230" t="s">
        <v>343</v>
      </c>
      <c r="E45" s="380">
        <v>32000</v>
      </c>
      <c r="F45" s="231">
        <v>3.4</v>
      </c>
      <c r="G45" s="231">
        <v>3.4</v>
      </c>
      <c r="H45" s="231">
        <v>3.37</v>
      </c>
      <c r="I45" s="231">
        <v>3.38</v>
      </c>
      <c r="J45" s="231"/>
      <c r="K45" s="231"/>
      <c r="L45" s="231">
        <v>0</v>
      </c>
      <c r="M45" s="231">
        <v>0</v>
      </c>
      <c r="N45" s="231">
        <v>0</v>
      </c>
      <c r="O45" s="231">
        <v>0</v>
      </c>
      <c r="P45" s="231">
        <v>0</v>
      </c>
      <c r="Q45" s="231">
        <v>0</v>
      </c>
      <c r="R45" s="231">
        <v>0</v>
      </c>
      <c r="S45" s="231">
        <v>0</v>
      </c>
      <c r="T45" s="231">
        <v>0</v>
      </c>
      <c r="U45" s="231">
        <v>0</v>
      </c>
      <c r="V45" s="231">
        <v>0</v>
      </c>
      <c r="W45" s="231"/>
      <c r="X45" s="388">
        <f t="shared" si="1"/>
        <v>0</v>
      </c>
      <c r="Y45" s="389"/>
      <c r="Z45" s="389"/>
      <c r="AA45" s="233"/>
      <c r="AB45" s="233"/>
      <c r="AC45" s="233">
        <f t="shared" si="2"/>
        <v>0</v>
      </c>
      <c r="AD45" s="233">
        <f t="shared" si="3"/>
        <v>0</v>
      </c>
      <c r="AE45" s="233">
        <f t="shared" si="4"/>
        <v>0</v>
      </c>
      <c r="AF45" s="233">
        <f t="shared" si="5"/>
        <v>0</v>
      </c>
      <c r="AG45" s="233">
        <f t="shared" si="6"/>
        <v>0</v>
      </c>
      <c r="AH45" s="233">
        <f t="shared" si="7"/>
        <v>0</v>
      </c>
      <c r="AI45" s="233">
        <f t="shared" si="8"/>
        <v>0</v>
      </c>
      <c r="AJ45" s="233">
        <f t="shared" si="9"/>
        <v>0</v>
      </c>
      <c r="AK45" s="233">
        <f t="shared" si="10"/>
        <v>0</v>
      </c>
      <c r="AL45" s="233">
        <f>IFERROR(#REF!/$H45,0)</f>
        <v>0</v>
      </c>
      <c r="AM45" s="234">
        <f t="shared" si="11"/>
        <v>0</v>
      </c>
      <c r="AN45" s="234">
        <f t="shared" si="12"/>
        <v>0</v>
      </c>
    </row>
    <row r="46" spans="1:40">
      <c r="A46" s="218" t="str">
        <f>$A$1&amp;"Residential"&amp;B46</f>
        <v>PIERCE EA UTCResidentialACCESS-RES</v>
      </c>
      <c r="B46" s="230" t="s">
        <v>357</v>
      </c>
      <c r="C46" s="230" t="s">
        <v>761</v>
      </c>
      <c r="D46" s="230" t="s">
        <v>343</v>
      </c>
      <c r="E46" s="380">
        <v>32000</v>
      </c>
      <c r="F46" s="231">
        <v>4.8</v>
      </c>
      <c r="G46" s="231">
        <v>4.8</v>
      </c>
      <c r="H46" s="231">
        <v>4.75</v>
      </c>
      <c r="I46" s="231">
        <v>4.76</v>
      </c>
      <c r="J46" s="231"/>
      <c r="K46" s="231"/>
      <c r="L46" s="231">
        <v>0</v>
      </c>
      <c r="M46" s="231">
        <v>0</v>
      </c>
      <c r="N46" s="231">
        <v>0</v>
      </c>
      <c r="O46" s="231">
        <v>0</v>
      </c>
      <c r="P46" s="231">
        <v>0</v>
      </c>
      <c r="Q46" s="231">
        <v>0</v>
      </c>
      <c r="R46" s="231">
        <v>0</v>
      </c>
      <c r="S46" s="231">
        <v>0</v>
      </c>
      <c r="T46" s="231">
        <v>0</v>
      </c>
      <c r="U46" s="231">
        <v>0</v>
      </c>
      <c r="V46" s="231">
        <v>0</v>
      </c>
      <c r="W46" s="231"/>
      <c r="X46" s="388">
        <f t="shared" si="1"/>
        <v>0</v>
      </c>
      <c r="Y46" s="389"/>
      <c r="Z46" s="389"/>
      <c r="AA46" s="233"/>
      <c r="AB46" s="233"/>
      <c r="AC46" s="233">
        <f t="shared" si="2"/>
        <v>0</v>
      </c>
      <c r="AD46" s="233">
        <f t="shared" si="3"/>
        <v>0</v>
      </c>
      <c r="AE46" s="233">
        <f t="shared" si="4"/>
        <v>0</v>
      </c>
      <c r="AF46" s="233">
        <f t="shared" si="5"/>
        <v>0</v>
      </c>
      <c r="AG46" s="233">
        <f t="shared" si="6"/>
        <v>0</v>
      </c>
      <c r="AH46" s="233">
        <f t="shared" si="7"/>
        <v>0</v>
      </c>
      <c r="AI46" s="233">
        <f t="shared" si="8"/>
        <v>0</v>
      </c>
      <c r="AJ46" s="233">
        <f t="shared" si="9"/>
        <v>0</v>
      </c>
      <c r="AK46" s="233">
        <f t="shared" si="10"/>
        <v>0</v>
      </c>
      <c r="AL46" s="233">
        <f>IFERROR(#REF!/$H46,0)</f>
        <v>0</v>
      </c>
      <c r="AM46" s="234">
        <f t="shared" si="11"/>
        <v>0</v>
      </c>
      <c r="AN46" s="234">
        <f t="shared" si="12"/>
        <v>0</v>
      </c>
    </row>
    <row r="47" spans="1:40">
      <c r="A47" s="218" t="str">
        <f>$A$1&amp;"Residential"&amp;B47</f>
        <v>PIERCE EA UTCResidentialOC-RES</v>
      </c>
      <c r="B47" s="230" t="s">
        <v>360</v>
      </c>
      <c r="C47" s="230" t="s">
        <v>361</v>
      </c>
      <c r="D47" s="230" t="s">
        <v>344</v>
      </c>
      <c r="E47" s="380">
        <v>32001</v>
      </c>
      <c r="F47" s="231">
        <v>7.89</v>
      </c>
      <c r="G47" s="231">
        <v>7.89</v>
      </c>
      <c r="H47" s="231">
        <v>7.82</v>
      </c>
      <c r="I47" s="231">
        <v>7.84</v>
      </c>
      <c r="J47" s="231"/>
      <c r="K47" s="231"/>
      <c r="L47" s="231">
        <v>0</v>
      </c>
      <c r="M47" s="231">
        <v>0</v>
      </c>
      <c r="N47" s="231">
        <v>0</v>
      </c>
      <c r="O47" s="231">
        <v>23.67</v>
      </c>
      <c r="P47" s="231">
        <v>0</v>
      </c>
      <c r="Q47" s="231">
        <v>7.82</v>
      </c>
      <c r="R47" s="231">
        <v>7.82</v>
      </c>
      <c r="S47" s="231">
        <v>31.36</v>
      </c>
      <c r="T47" s="231">
        <v>0</v>
      </c>
      <c r="U47" s="231">
        <v>15.68</v>
      </c>
      <c r="V47" s="231">
        <v>7.84</v>
      </c>
      <c r="W47" s="231"/>
      <c r="X47" s="388">
        <f t="shared" si="1"/>
        <v>94.19</v>
      </c>
      <c r="Y47" s="389"/>
      <c r="Z47" s="389"/>
      <c r="AA47" s="233"/>
      <c r="AB47" s="233"/>
      <c r="AC47" s="233">
        <f t="shared" si="2"/>
        <v>0</v>
      </c>
      <c r="AD47" s="233">
        <f t="shared" si="3"/>
        <v>3.0000000000000004</v>
      </c>
      <c r="AE47" s="233">
        <f t="shared" si="4"/>
        <v>0</v>
      </c>
      <c r="AF47" s="233">
        <f t="shared" si="5"/>
        <v>1</v>
      </c>
      <c r="AG47" s="233">
        <f t="shared" si="6"/>
        <v>1</v>
      </c>
      <c r="AH47" s="233">
        <f t="shared" si="7"/>
        <v>4.0102301790281327</v>
      </c>
      <c r="AI47" s="233">
        <f t="shared" si="8"/>
        <v>0</v>
      </c>
      <c r="AJ47" s="233">
        <f t="shared" si="9"/>
        <v>2.0051150895140664</v>
      </c>
      <c r="AK47" s="233">
        <f t="shared" si="10"/>
        <v>1.0025575447570332</v>
      </c>
      <c r="AL47" s="233">
        <f>IFERROR(#REF!/$H47,0)</f>
        <v>0</v>
      </c>
      <c r="AM47" s="234">
        <f t="shared" si="11"/>
        <v>1.2017902813299233</v>
      </c>
      <c r="AN47" s="234">
        <f t="shared" si="12"/>
        <v>12.017902813299232</v>
      </c>
    </row>
    <row r="48" spans="1:40">
      <c r="A48" s="218" t="str">
        <f>$A$1&amp;"Residential"&amp;B48</f>
        <v>PIERCE EA UTCResidentialREDEL-RES</v>
      </c>
      <c r="B48" s="230" t="s">
        <v>362</v>
      </c>
      <c r="C48" s="230" t="s">
        <v>363</v>
      </c>
      <c r="D48" s="230" t="s">
        <v>344</v>
      </c>
      <c r="E48" s="380">
        <v>32001</v>
      </c>
      <c r="F48" s="231">
        <v>13.7</v>
      </c>
      <c r="G48" s="231">
        <v>13.7</v>
      </c>
      <c r="H48" s="231">
        <v>15.45</v>
      </c>
      <c r="I48" s="231">
        <v>15.49</v>
      </c>
      <c r="J48" s="231"/>
      <c r="K48" s="231"/>
      <c r="L48" s="231">
        <v>0</v>
      </c>
      <c r="M48" s="231">
        <v>0</v>
      </c>
      <c r="N48" s="231">
        <v>0</v>
      </c>
      <c r="O48" s="231">
        <v>0</v>
      </c>
      <c r="P48" s="231">
        <v>0</v>
      </c>
      <c r="Q48" s="231">
        <v>0</v>
      </c>
      <c r="R48" s="231">
        <v>0</v>
      </c>
      <c r="S48" s="231">
        <v>0</v>
      </c>
      <c r="T48" s="231">
        <v>0</v>
      </c>
      <c r="U48" s="231">
        <v>0</v>
      </c>
      <c r="V48" s="231">
        <v>0</v>
      </c>
      <c r="W48" s="231"/>
      <c r="X48" s="388">
        <f t="shared" si="1"/>
        <v>0</v>
      </c>
      <c r="Y48" s="389"/>
      <c r="Z48" s="389"/>
      <c r="AA48" s="233"/>
      <c r="AB48" s="233"/>
      <c r="AC48" s="233">
        <f t="shared" si="2"/>
        <v>0</v>
      </c>
      <c r="AD48" s="233">
        <f t="shared" si="3"/>
        <v>0</v>
      </c>
      <c r="AE48" s="233">
        <f t="shared" si="4"/>
        <v>0</v>
      </c>
      <c r="AF48" s="233">
        <f t="shared" si="5"/>
        <v>0</v>
      </c>
      <c r="AG48" s="233">
        <f t="shared" si="6"/>
        <v>0</v>
      </c>
      <c r="AH48" s="233">
        <f t="shared" si="7"/>
        <v>0</v>
      </c>
      <c r="AI48" s="233">
        <f t="shared" si="8"/>
        <v>0</v>
      </c>
      <c r="AJ48" s="233">
        <f t="shared" si="9"/>
        <v>0</v>
      </c>
      <c r="AK48" s="233">
        <f t="shared" si="10"/>
        <v>0</v>
      </c>
      <c r="AL48" s="233">
        <f>IFERROR(#REF!/$H48,0)</f>
        <v>0</v>
      </c>
      <c r="AM48" s="234">
        <f t="shared" si="11"/>
        <v>0</v>
      </c>
      <c r="AN48" s="234">
        <f t="shared" si="12"/>
        <v>0</v>
      </c>
    </row>
    <row r="49" spans="1:41">
      <c r="A49" s="218" t="str">
        <f>$A$1&amp;"Residential"&amp;B49</f>
        <v>PIERCE EA UTCResidentialREINSTATE-RES</v>
      </c>
      <c r="B49" s="230" t="s">
        <v>364</v>
      </c>
      <c r="C49" s="230" t="s">
        <v>365</v>
      </c>
      <c r="D49" s="230" t="s">
        <v>344</v>
      </c>
      <c r="E49" s="380">
        <v>32001</v>
      </c>
      <c r="F49" s="231">
        <v>12.65</v>
      </c>
      <c r="G49" s="231">
        <v>12.65</v>
      </c>
      <c r="H49" s="231">
        <v>12.53</v>
      </c>
      <c r="I49" s="231">
        <v>12.56</v>
      </c>
      <c r="J49" s="231"/>
      <c r="K49" s="231"/>
      <c r="L49" s="231">
        <v>0</v>
      </c>
      <c r="M49" s="231">
        <v>0</v>
      </c>
      <c r="N49" s="231">
        <v>0</v>
      </c>
      <c r="O49" s="231">
        <v>0</v>
      </c>
      <c r="P49" s="231">
        <v>0</v>
      </c>
      <c r="Q49" s="231">
        <v>12.53</v>
      </c>
      <c r="R49" s="231">
        <v>0</v>
      </c>
      <c r="S49" s="231">
        <v>12.56</v>
      </c>
      <c r="T49" s="231">
        <v>0</v>
      </c>
      <c r="U49" s="231">
        <v>0</v>
      </c>
      <c r="V49" s="231">
        <v>12.56</v>
      </c>
      <c r="W49" s="231"/>
      <c r="X49" s="388">
        <f t="shared" si="1"/>
        <v>37.65</v>
      </c>
      <c r="Y49" s="389"/>
      <c r="Z49" s="389"/>
      <c r="AA49" s="233"/>
      <c r="AB49" s="233"/>
      <c r="AC49" s="233">
        <f t="shared" si="2"/>
        <v>0</v>
      </c>
      <c r="AD49" s="233">
        <f t="shared" si="3"/>
        <v>0</v>
      </c>
      <c r="AE49" s="233">
        <f t="shared" si="4"/>
        <v>0</v>
      </c>
      <c r="AF49" s="233">
        <f t="shared" si="5"/>
        <v>1</v>
      </c>
      <c r="AG49" s="233">
        <f t="shared" si="6"/>
        <v>0</v>
      </c>
      <c r="AH49" s="233">
        <f t="shared" si="7"/>
        <v>1.0023942537909019</v>
      </c>
      <c r="AI49" s="233">
        <f t="shared" si="8"/>
        <v>0</v>
      </c>
      <c r="AJ49" s="233">
        <f t="shared" si="9"/>
        <v>0</v>
      </c>
      <c r="AK49" s="233">
        <f t="shared" si="10"/>
        <v>1.0023942537909019</v>
      </c>
      <c r="AL49" s="233">
        <f>IFERROR(#REF!/$H49,0)</f>
        <v>0</v>
      </c>
      <c r="AM49" s="234">
        <f t="shared" si="11"/>
        <v>0.30047885075818037</v>
      </c>
      <c r="AN49" s="234">
        <f t="shared" si="12"/>
        <v>3.0047885075818037</v>
      </c>
    </row>
    <row r="50" spans="1:41">
      <c r="A50" s="218" t="str">
        <f>$A$1&amp;"Residential"&amp;B50</f>
        <v>PIERCE EA UTCResidentialRTRNCART32-RES</v>
      </c>
      <c r="B50" s="230" t="s">
        <v>366</v>
      </c>
      <c r="C50" s="230" t="s">
        <v>367</v>
      </c>
      <c r="D50" s="230"/>
      <c r="F50" s="231">
        <v>6.35</v>
      </c>
      <c r="G50" s="231">
        <v>6.35</v>
      </c>
      <c r="H50" s="231">
        <v>0</v>
      </c>
      <c r="I50" s="231">
        <v>0</v>
      </c>
      <c r="J50" s="231"/>
      <c r="K50" s="231"/>
      <c r="L50" s="231">
        <v>0</v>
      </c>
      <c r="M50" s="231">
        <v>0</v>
      </c>
      <c r="N50" s="231">
        <v>0</v>
      </c>
      <c r="O50" s="231">
        <v>0</v>
      </c>
      <c r="P50" s="231">
        <v>0</v>
      </c>
      <c r="Q50" s="231">
        <v>0</v>
      </c>
      <c r="R50" s="231">
        <v>0</v>
      </c>
      <c r="S50" s="231">
        <v>0</v>
      </c>
      <c r="T50" s="231">
        <v>0</v>
      </c>
      <c r="U50" s="231">
        <v>0</v>
      </c>
      <c r="V50" s="231">
        <v>0</v>
      </c>
      <c r="W50" s="231"/>
      <c r="X50" s="388">
        <f t="shared" si="1"/>
        <v>0</v>
      </c>
      <c r="Y50" s="389"/>
      <c r="Z50" s="389"/>
      <c r="AA50" s="233"/>
      <c r="AB50" s="233"/>
      <c r="AC50" s="233">
        <f t="shared" si="2"/>
        <v>0</v>
      </c>
      <c r="AD50" s="233">
        <f t="shared" si="3"/>
        <v>0</v>
      </c>
      <c r="AE50" s="233">
        <f t="shared" si="4"/>
        <v>0</v>
      </c>
      <c r="AF50" s="233">
        <f t="shared" si="5"/>
        <v>0</v>
      </c>
      <c r="AG50" s="233">
        <f t="shared" si="6"/>
        <v>0</v>
      </c>
      <c r="AH50" s="233">
        <f t="shared" si="7"/>
        <v>0</v>
      </c>
      <c r="AI50" s="233">
        <f t="shared" si="8"/>
        <v>0</v>
      </c>
      <c r="AJ50" s="233">
        <f t="shared" si="9"/>
        <v>0</v>
      </c>
      <c r="AK50" s="233">
        <f t="shared" si="10"/>
        <v>0</v>
      </c>
      <c r="AL50" s="233">
        <f>IFERROR(#REF!/$H50,0)</f>
        <v>0</v>
      </c>
      <c r="AM50" s="234">
        <f t="shared" si="11"/>
        <v>0</v>
      </c>
      <c r="AN50" s="234">
        <f t="shared" si="12"/>
        <v>0</v>
      </c>
    </row>
    <row r="51" spans="1:41">
      <c r="A51" s="218" t="str">
        <f>$A$1&amp;"Residential"&amp;B51</f>
        <v>PIERCE EA UTCResidentialRTRNCART64REC-RES</v>
      </c>
      <c r="B51" s="230" t="s">
        <v>706</v>
      </c>
      <c r="C51" s="230" t="s">
        <v>369</v>
      </c>
      <c r="D51" s="230" t="s">
        <v>344</v>
      </c>
      <c r="E51" s="380">
        <v>32001</v>
      </c>
      <c r="F51" s="231">
        <v>7.4</v>
      </c>
      <c r="G51" s="231">
        <v>7.4</v>
      </c>
      <c r="H51" s="231">
        <v>0</v>
      </c>
      <c r="I51" s="231">
        <v>0</v>
      </c>
      <c r="J51" s="231"/>
      <c r="K51" s="231"/>
      <c r="L51" s="231">
        <v>0</v>
      </c>
      <c r="M51" s="231">
        <v>0</v>
      </c>
      <c r="N51" s="231">
        <v>0</v>
      </c>
      <c r="O51" s="231">
        <v>0</v>
      </c>
      <c r="P51" s="231">
        <v>0</v>
      </c>
      <c r="Q51" s="231">
        <v>0</v>
      </c>
      <c r="R51" s="231">
        <v>0</v>
      </c>
      <c r="S51" s="231">
        <v>0</v>
      </c>
      <c r="T51" s="231">
        <v>0</v>
      </c>
      <c r="U51" s="231">
        <v>0</v>
      </c>
      <c r="V51" s="231">
        <v>0</v>
      </c>
      <c r="W51" s="231"/>
      <c r="X51" s="388">
        <f t="shared" si="1"/>
        <v>0</v>
      </c>
      <c r="Y51" s="389"/>
      <c r="Z51" s="389"/>
      <c r="AA51" s="233"/>
      <c r="AB51" s="233"/>
      <c r="AC51" s="233">
        <f t="shared" si="2"/>
        <v>0</v>
      </c>
      <c r="AD51" s="233">
        <f t="shared" si="3"/>
        <v>0</v>
      </c>
      <c r="AE51" s="233">
        <f t="shared" si="4"/>
        <v>0</v>
      </c>
      <c r="AF51" s="233">
        <f t="shared" si="5"/>
        <v>0</v>
      </c>
      <c r="AG51" s="233">
        <f t="shared" si="6"/>
        <v>0</v>
      </c>
      <c r="AH51" s="233">
        <f t="shared" si="7"/>
        <v>0</v>
      </c>
      <c r="AI51" s="233">
        <f t="shared" si="8"/>
        <v>0</v>
      </c>
      <c r="AJ51" s="233">
        <f t="shared" si="9"/>
        <v>0</v>
      </c>
      <c r="AK51" s="233">
        <f t="shared" si="10"/>
        <v>0</v>
      </c>
      <c r="AL51" s="233">
        <f>IFERROR(#REF!/$H51,0)</f>
        <v>0</v>
      </c>
      <c r="AM51" s="234">
        <f t="shared" si="11"/>
        <v>0</v>
      </c>
      <c r="AN51" s="234">
        <f t="shared" si="12"/>
        <v>0</v>
      </c>
    </row>
    <row r="52" spans="1:41">
      <c r="A52" s="218" t="str">
        <f>$A$1&amp;"Residential"&amp;B52</f>
        <v>PIERCE EA UTCResidentialRTRNCART65-RES</v>
      </c>
      <c r="B52" s="230" t="s">
        <v>368</v>
      </c>
      <c r="C52" s="230" t="s">
        <v>369</v>
      </c>
      <c r="D52" s="230" t="s">
        <v>344</v>
      </c>
      <c r="E52" s="380">
        <v>32001</v>
      </c>
      <c r="F52" s="231">
        <v>7.4</v>
      </c>
      <c r="G52" s="231">
        <v>7.4</v>
      </c>
      <c r="H52" s="231">
        <v>7.33</v>
      </c>
      <c r="I52" s="231">
        <v>7.35</v>
      </c>
      <c r="J52" s="231"/>
      <c r="K52" s="231"/>
      <c r="L52" s="231">
        <v>0</v>
      </c>
      <c r="M52" s="231">
        <v>0</v>
      </c>
      <c r="N52" s="231">
        <v>0</v>
      </c>
      <c r="O52" s="231">
        <v>0</v>
      </c>
      <c r="P52" s="231">
        <v>7.33</v>
      </c>
      <c r="Q52" s="231">
        <v>0</v>
      </c>
      <c r="R52" s="231">
        <v>0</v>
      </c>
      <c r="S52" s="231">
        <v>0</v>
      </c>
      <c r="T52" s="231">
        <v>0</v>
      </c>
      <c r="U52" s="231">
        <v>0</v>
      </c>
      <c r="V52" s="231">
        <v>0</v>
      </c>
      <c r="W52" s="231"/>
      <c r="X52" s="388">
        <f t="shared" si="1"/>
        <v>7.33</v>
      </c>
      <c r="Y52" s="389"/>
      <c r="Z52" s="389"/>
      <c r="AA52" s="233"/>
      <c r="AB52" s="233"/>
      <c r="AC52" s="233">
        <f t="shared" si="2"/>
        <v>0</v>
      </c>
      <c r="AD52" s="233">
        <f t="shared" si="3"/>
        <v>0</v>
      </c>
      <c r="AE52" s="233">
        <f t="shared" si="4"/>
        <v>1</v>
      </c>
      <c r="AF52" s="233">
        <f t="shared" si="5"/>
        <v>0</v>
      </c>
      <c r="AG52" s="233">
        <f t="shared" si="6"/>
        <v>0</v>
      </c>
      <c r="AH52" s="233">
        <f t="shared" si="7"/>
        <v>0</v>
      </c>
      <c r="AI52" s="233">
        <f t="shared" si="8"/>
        <v>0</v>
      </c>
      <c r="AJ52" s="233">
        <f t="shared" si="9"/>
        <v>0</v>
      </c>
      <c r="AK52" s="233">
        <f t="shared" si="10"/>
        <v>0</v>
      </c>
      <c r="AL52" s="233">
        <f>IFERROR(#REF!/$H52,0)</f>
        <v>0</v>
      </c>
      <c r="AM52" s="234">
        <f t="shared" si="11"/>
        <v>0.1</v>
      </c>
      <c r="AN52" s="234">
        <f t="shared" si="12"/>
        <v>1</v>
      </c>
    </row>
    <row r="53" spans="1:41">
      <c r="A53" s="218" t="str">
        <f>$A$1&amp;"Residential"&amp;B53</f>
        <v>PIERCE EA UTCResidentialRTRNCART95-RES</v>
      </c>
      <c r="B53" s="230" t="s">
        <v>370</v>
      </c>
      <c r="C53" s="230" t="s">
        <v>371</v>
      </c>
      <c r="D53" s="230" t="s">
        <v>344</v>
      </c>
      <c r="E53" s="380">
        <v>32001</v>
      </c>
      <c r="F53" s="231">
        <v>9.5</v>
      </c>
      <c r="G53" s="231">
        <v>9.5</v>
      </c>
      <c r="H53" s="231">
        <v>9.41</v>
      </c>
      <c r="I53" s="231">
        <v>9.44</v>
      </c>
      <c r="J53" s="231"/>
      <c r="K53" s="231"/>
      <c r="L53" s="231">
        <v>0</v>
      </c>
      <c r="M53" s="231">
        <v>0</v>
      </c>
      <c r="N53" s="231">
        <v>0</v>
      </c>
      <c r="O53" s="231">
        <v>0</v>
      </c>
      <c r="P53" s="231">
        <v>0</v>
      </c>
      <c r="Q53" s="231">
        <v>0</v>
      </c>
      <c r="R53" s="231">
        <v>0</v>
      </c>
      <c r="S53" s="231">
        <v>0</v>
      </c>
      <c r="T53" s="231">
        <v>0</v>
      </c>
      <c r="U53" s="231">
        <v>0</v>
      </c>
      <c r="V53" s="231">
        <v>0</v>
      </c>
      <c r="W53" s="231"/>
      <c r="X53" s="388">
        <f t="shared" si="1"/>
        <v>0</v>
      </c>
      <c r="Y53" s="389"/>
      <c r="Z53" s="389"/>
      <c r="AA53" s="233"/>
      <c r="AB53" s="233"/>
      <c r="AC53" s="233">
        <f t="shared" si="2"/>
        <v>0</v>
      </c>
      <c r="AD53" s="233">
        <f t="shared" si="3"/>
        <v>0</v>
      </c>
      <c r="AE53" s="233">
        <f t="shared" si="4"/>
        <v>0</v>
      </c>
      <c r="AF53" s="233">
        <f t="shared" si="5"/>
        <v>0</v>
      </c>
      <c r="AG53" s="233">
        <f t="shared" si="6"/>
        <v>0</v>
      </c>
      <c r="AH53" s="233">
        <f t="shared" si="7"/>
        <v>0</v>
      </c>
      <c r="AI53" s="233">
        <f t="shared" si="8"/>
        <v>0</v>
      </c>
      <c r="AJ53" s="233">
        <f t="shared" si="9"/>
        <v>0</v>
      </c>
      <c r="AK53" s="233">
        <f t="shared" si="10"/>
        <v>0</v>
      </c>
      <c r="AL53" s="233">
        <f>IFERROR(#REF!/$H53,0)</f>
        <v>0</v>
      </c>
      <c r="AM53" s="234">
        <f t="shared" si="11"/>
        <v>0</v>
      </c>
      <c r="AN53" s="234">
        <f t="shared" si="12"/>
        <v>0</v>
      </c>
    </row>
    <row r="54" spans="1:41">
      <c r="A54" s="218" t="str">
        <f>$A$1&amp;"Residential"&amp;B54</f>
        <v>PIERCE EA UTCResidentialTIME-RES</v>
      </c>
      <c r="B54" s="230" t="s">
        <v>372</v>
      </c>
      <c r="C54" s="230" t="s">
        <v>373</v>
      </c>
      <c r="D54" s="230" t="s">
        <v>344</v>
      </c>
      <c r="E54" s="380">
        <v>32001</v>
      </c>
      <c r="F54" s="231">
        <v>106</v>
      </c>
      <c r="G54" s="231">
        <v>106</v>
      </c>
      <c r="H54" s="231">
        <v>105</v>
      </c>
      <c r="I54" s="231">
        <v>105.29</v>
      </c>
      <c r="J54" s="231"/>
      <c r="K54" s="231"/>
      <c r="L54" s="231">
        <v>0</v>
      </c>
      <c r="M54" s="231">
        <v>0</v>
      </c>
      <c r="N54" s="231">
        <v>0</v>
      </c>
      <c r="O54" s="231">
        <v>0</v>
      </c>
      <c r="P54" s="231">
        <v>0</v>
      </c>
      <c r="Q54" s="231">
        <v>26.25</v>
      </c>
      <c r="R54" s="231">
        <v>0</v>
      </c>
      <c r="S54" s="231">
        <v>0</v>
      </c>
      <c r="T54" s="231">
        <v>0</v>
      </c>
      <c r="U54" s="231">
        <v>0</v>
      </c>
      <c r="V54" s="231">
        <v>0</v>
      </c>
      <c r="W54" s="231"/>
      <c r="X54" s="388">
        <f t="shared" si="1"/>
        <v>26.25</v>
      </c>
      <c r="Y54" s="389"/>
      <c r="Z54" s="389"/>
      <c r="AA54" s="233"/>
      <c r="AB54" s="233"/>
      <c r="AC54" s="233">
        <f t="shared" si="2"/>
        <v>0</v>
      </c>
      <c r="AD54" s="233">
        <f t="shared" si="3"/>
        <v>0</v>
      </c>
      <c r="AE54" s="233">
        <f t="shared" si="4"/>
        <v>0</v>
      </c>
      <c r="AF54" s="233">
        <f t="shared" si="5"/>
        <v>0.25</v>
      </c>
      <c r="AG54" s="233">
        <f t="shared" si="6"/>
        <v>0</v>
      </c>
      <c r="AH54" s="233">
        <f t="shared" si="7"/>
        <v>0</v>
      </c>
      <c r="AI54" s="233">
        <f t="shared" si="8"/>
        <v>0</v>
      </c>
      <c r="AJ54" s="233">
        <f t="shared" si="9"/>
        <v>0</v>
      </c>
      <c r="AK54" s="233">
        <f t="shared" si="10"/>
        <v>0</v>
      </c>
      <c r="AL54" s="233">
        <f>IFERROR(#REF!/$H54,0)</f>
        <v>0</v>
      </c>
      <c r="AM54" s="234">
        <f t="shared" si="11"/>
        <v>2.5000000000000001E-2</v>
      </c>
      <c r="AN54" s="234">
        <f t="shared" si="12"/>
        <v>0.25</v>
      </c>
    </row>
    <row r="55" spans="1:41">
      <c r="A55" s="218" t="str">
        <f>$A$1&amp;"Residential"&amp;B55</f>
        <v>PIERCE EA UTCResidentialUNRETURN-RES</v>
      </c>
      <c r="B55" s="230" t="s">
        <v>374</v>
      </c>
      <c r="C55" s="230" t="s">
        <v>375</v>
      </c>
      <c r="D55" s="230" t="s">
        <v>344</v>
      </c>
      <c r="E55" s="380">
        <v>32001</v>
      </c>
      <c r="F55" s="231">
        <v>95</v>
      </c>
      <c r="G55" s="231">
        <v>95</v>
      </c>
      <c r="H55" s="231">
        <v>94</v>
      </c>
      <c r="I55" s="231">
        <v>94.26</v>
      </c>
      <c r="J55" s="231"/>
      <c r="K55" s="231"/>
      <c r="L55" s="231">
        <v>0</v>
      </c>
      <c r="M55" s="231">
        <v>0</v>
      </c>
      <c r="N55" s="231">
        <v>0</v>
      </c>
      <c r="O55" s="231">
        <v>0</v>
      </c>
      <c r="P55" s="231">
        <v>0</v>
      </c>
      <c r="Q55" s="231">
        <v>0</v>
      </c>
      <c r="R55" s="231">
        <v>0</v>
      </c>
      <c r="S55" s="231">
        <v>0</v>
      </c>
      <c r="T55" s="231">
        <v>0</v>
      </c>
      <c r="U55" s="231">
        <v>0</v>
      </c>
      <c r="V55" s="231">
        <v>0</v>
      </c>
      <c r="W55" s="231"/>
      <c r="X55" s="388">
        <f t="shared" si="1"/>
        <v>0</v>
      </c>
      <c r="Y55" s="389"/>
      <c r="Z55" s="389"/>
      <c r="AA55" s="233"/>
      <c r="AB55" s="233"/>
      <c r="AC55" s="233">
        <f t="shared" si="2"/>
        <v>0</v>
      </c>
      <c r="AD55" s="233">
        <f t="shared" si="3"/>
        <v>0</v>
      </c>
      <c r="AE55" s="233">
        <f t="shared" si="4"/>
        <v>0</v>
      </c>
      <c r="AF55" s="233">
        <f t="shared" si="5"/>
        <v>0</v>
      </c>
      <c r="AG55" s="233">
        <f t="shared" si="6"/>
        <v>0</v>
      </c>
      <c r="AH55" s="233">
        <f t="shared" si="7"/>
        <v>0</v>
      </c>
      <c r="AI55" s="233">
        <f t="shared" si="8"/>
        <v>0</v>
      </c>
      <c r="AJ55" s="233">
        <f t="shared" si="9"/>
        <v>0</v>
      </c>
      <c r="AK55" s="233">
        <f t="shared" si="10"/>
        <v>0</v>
      </c>
      <c r="AL55" s="233">
        <f>IFERROR(#REF!/$H55,0)</f>
        <v>0</v>
      </c>
      <c r="AM55" s="234">
        <f t="shared" si="11"/>
        <v>0</v>
      </c>
      <c r="AN55" s="234">
        <f t="shared" si="12"/>
        <v>0</v>
      </c>
    </row>
    <row r="56" spans="1:41">
      <c r="A56" s="218" t="str">
        <f>$A$1&amp;"Residential"&amp;B56</f>
        <v>PIERCE EA UTCResidentialADJ-RES</v>
      </c>
      <c r="B56" s="230" t="s">
        <v>376</v>
      </c>
      <c r="C56" s="230" t="s">
        <v>769</v>
      </c>
      <c r="D56" s="230"/>
      <c r="F56" s="231">
        <v>0</v>
      </c>
      <c r="G56" s="231">
        <v>0</v>
      </c>
      <c r="H56" s="231">
        <v>0</v>
      </c>
      <c r="I56" s="231">
        <v>0</v>
      </c>
      <c r="J56" s="231"/>
      <c r="K56" s="231"/>
      <c r="L56" s="231">
        <v>0</v>
      </c>
      <c r="M56" s="231">
        <v>0</v>
      </c>
      <c r="N56" s="231">
        <v>0</v>
      </c>
      <c r="O56" s="231">
        <v>0</v>
      </c>
      <c r="P56" s="231">
        <v>0</v>
      </c>
      <c r="Q56" s="231">
        <v>0</v>
      </c>
      <c r="R56" s="231">
        <v>0</v>
      </c>
      <c r="S56" s="231">
        <v>0</v>
      </c>
      <c r="T56" s="231">
        <v>0</v>
      </c>
      <c r="U56" s="231">
        <v>0</v>
      </c>
      <c r="V56" s="231">
        <v>0</v>
      </c>
      <c r="W56" s="240"/>
      <c r="X56" s="388">
        <f t="shared" si="1"/>
        <v>0</v>
      </c>
      <c r="Y56" s="389"/>
      <c r="Z56" s="389"/>
      <c r="AA56" s="233"/>
      <c r="AB56" s="233"/>
      <c r="AC56" s="233">
        <f t="shared" si="2"/>
        <v>0</v>
      </c>
      <c r="AD56" s="233">
        <f t="shared" si="3"/>
        <v>0</v>
      </c>
      <c r="AE56" s="233">
        <f t="shared" si="4"/>
        <v>0</v>
      </c>
      <c r="AF56" s="233">
        <f t="shared" si="5"/>
        <v>0</v>
      </c>
      <c r="AG56" s="233">
        <f t="shared" si="6"/>
        <v>0</v>
      </c>
      <c r="AH56" s="233">
        <f t="shared" si="7"/>
        <v>0</v>
      </c>
      <c r="AI56" s="233">
        <f t="shared" si="8"/>
        <v>0</v>
      </c>
      <c r="AJ56" s="233">
        <f t="shared" si="9"/>
        <v>0</v>
      </c>
      <c r="AK56" s="233">
        <f t="shared" si="10"/>
        <v>0</v>
      </c>
      <c r="AL56" s="233">
        <f>IFERROR(#REF!/$H56,0)</f>
        <v>0</v>
      </c>
      <c r="AM56" s="234">
        <f t="shared" si="11"/>
        <v>0</v>
      </c>
      <c r="AN56" s="234">
        <f t="shared" si="12"/>
        <v>0</v>
      </c>
    </row>
    <row r="57" spans="1:41">
      <c r="B57" s="230"/>
      <c r="C57" s="230"/>
      <c r="D57" s="230"/>
      <c r="F57" s="231"/>
      <c r="G57" s="231"/>
      <c r="H57" s="231"/>
      <c r="I57" s="231"/>
      <c r="J57" s="231"/>
      <c r="K57" s="231"/>
      <c r="L57" s="231"/>
      <c r="M57" s="231"/>
      <c r="N57" s="231"/>
      <c r="O57" s="231"/>
      <c r="P57" s="231"/>
      <c r="Q57" s="231"/>
      <c r="R57" s="231"/>
      <c r="S57" s="231"/>
      <c r="T57" s="231"/>
      <c r="U57" s="231"/>
      <c r="V57" s="231"/>
      <c r="W57" s="240"/>
      <c r="X57" s="388"/>
      <c r="Y57" s="389"/>
      <c r="Z57" s="389"/>
      <c r="AA57" s="233"/>
      <c r="AB57" s="233"/>
      <c r="AC57" s="232"/>
      <c r="AD57" s="232"/>
      <c r="AE57" s="232"/>
      <c r="AF57" s="232"/>
      <c r="AG57" s="232"/>
      <c r="AH57" s="232"/>
      <c r="AI57" s="232"/>
      <c r="AJ57" s="232"/>
      <c r="AK57" s="232"/>
      <c r="AL57" s="232"/>
      <c r="AM57" s="385"/>
      <c r="AN57" s="385">
        <f t="shared" si="12"/>
        <v>0</v>
      </c>
    </row>
    <row r="58" spans="1:41">
      <c r="B58" s="230"/>
      <c r="C58" s="235" t="s">
        <v>134</v>
      </c>
      <c r="D58" s="230"/>
      <c r="F58" s="231"/>
      <c r="G58" s="231"/>
      <c r="H58" s="231"/>
      <c r="I58" s="231"/>
      <c r="J58" s="236"/>
      <c r="K58" s="237"/>
      <c r="L58" s="237">
        <f t="shared" ref="L58:V58" si="13">SUM(L11:L56)</f>
        <v>0</v>
      </c>
      <c r="M58" s="237">
        <f t="shared" si="13"/>
        <v>0</v>
      </c>
      <c r="N58" s="237">
        <f t="shared" si="13"/>
        <v>4544.79</v>
      </c>
      <c r="O58" s="237">
        <f t="shared" si="13"/>
        <v>4690.1499999999996</v>
      </c>
      <c r="P58" s="237">
        <f t="shared" si="13"/>
        <v>4545.7149999999992</v>
      </c>
      <c r="Q58" s="237">
        <f t="shared" si="13"/>
        <v>4559.8949999999986</v>
      </c>
      <c r="R58" s="237">
        <f t="shared" si="13"/>
        <v>4826.8100000000004</v>
      </c>
      <c r="S58" s="237">
        <f t="shared" si="13"/>
        <v>4765.329999999999</v>
      </c>
      <c r="T58" s="237">
        <f t="shared" si="13"/>
        <v>4909.5450000000001</v>
      </c>
      <c r="U58" s="237">
        <f t="shared" si="13"/>
        <v>4897.4250000000002</v>
      </c>
      <c r="V58" s="237">
        <f t="shared" si="13"/>
        <v>4949.9150000000009</v>
      </c>
      <c r="W58" s="240"/>
      <c r="X58" s="390">
        <f>SUM(X11:X56)</f>
        <v>42689.574999999997</v>
      </c>
      <c r="Y58" s="241"/>
      <c r="Z58" s="241"/>
      <c r="AA58" s="391"/>
      <c r="AB58" s="391"/>
      <c r="AC58" s="391">
        <f t="shared" ref="AC58:AM58" si="14">+SUM(AC11:AC30)</f>
        <v>218.62255149175209</v>
      </c>
      <c r="AD58" s="391">
        <f t="shared" si="14"/>
        <v>219.36272234014967</v>
      </c>
      <c r="AE58" s="391">
        <f t="shared" si="14"/>
        <v>218.82916151101085</v>
      </c>
      <c r="AF58" s="391">
        <f t="shared" si="14"/>
        <v>215.83040146173815</v>
      </c>
      <c r="AG58" s="391">
        <f t="shared" si="14"/>
        <v>228.44573538165341</v>
      </c>
      <c r="AH58" s="391">
        <f t="shared" si="14"/>
        <v>226.34894403219133</v>
      </c>
      <c r="AI58" s="391">
        <f t="shared" si="14"/>
        <v>230.82584442836901</v>
      </c>
      <c r="AJ58" s="391">
        <f t="shared" si="14"/>
        <v>230.86421609429345</v>
      </c>
      <c r="AK58" s="391">
        <f t="shared" si="14"/>
        <v>231.15635992952056</v>
      </c>
      <c r="AL58" s="391">
        <f t="shared" si="14"/>
        <v>0</v>
      </c>
      <c r="AM58" s="390">
        <f t="shared" si="14"/>
        <v>202.02859366706787</v>
      </c>
      <c r="AN58" s="390">
        <f>+SUM(AN11:AN37)</f>
        <v>2065.3201052355989</v>
      </c>
      <c r="AO58" s="218" t="s">
        <v>377</v>
      </c>
    </row>
    <row r="59" spans="1:41">
      <c r="B59" s="230"/>
      <c r="C59" s="230"/>
      <c r="D59" s="230"/>
      <c r="F59" s="231"/>
      <c r="G59" s="231"/>
      <c r="H59" s="231"/>
      <c r="I59" s="231"/>
      <c r="J59" s="236"/>
      <c r="K59" s="231"/>
      <c r="L59" s="231"/>
      <c r="M59" s="231"/>
      <c r="N59" s="231"/>
      <c r="O59" s="231"/>
      <c r="P59" s="231"/>
      <c r="Q59" s="231"/>
      <c r="R59" s="231"/>
      <c r="S59" s="231"/>
      <c r="T59" s="231"/>
      <c r="U59" s="231"/>
      <c r="V59" s="231"/>
      <c r="W59" s="240"/>
      <c r="X59" s="388"/>
      <c r="Y59" s="236"/>
      <c r="Z59" s="236"/>
      <c r="AA59" s="392"/>
      <c r="AB59" s="392"/>
      <c r="AC59" s="392">
        <f>AC19+AC21+AC23+AC25+AC27+AC29</f>
        <v>28.944444444444443</v>
      </c>
      <c r="AD59" s="392">
        <f t="shared" ref="AD59:AL59" si="15">AD19+AD21+AD23+AD25+AD27+AD29</f>
        <v>27.722222222222221</v>
      </c>
      <c r="AE59" s="392">
        <f t="shared" si="15"/>
        <v>21</v>
      </c>
      <c r="AF59" s="392">
        <f t="shared" si="15"/>
        <v>20.977894368660369</v>
      </c>
      <c r="AG59" s="392">
        <f t="shared" si="15"/>
        <v>18.27335921836228</v>
      </c>
      <c r="AH59" s="392">
        <f t="shared" si="15"/>
        <v>18.27335921836228</v>
      </c>
      <c r="AI59" s="392">
        <f t="shared" si="15"/>
        <v>18.049144312735343</v>
      </c>
      <c r="AJ59" s="392">
        <f t="shared" si="15"/>
        <v>18.049144312735343</v>
      </c>
      <c r="AK59" s="392">
        <f t="shared" si="15"/>
        <v>18.049144312735343</v>
      </c>
      <c r="AL59" s="392">
        <f t="shared" si="15"/>
        <v>0</v>
      </c>
      <c r="AM59" s="392">
        <f>AM19+AM21+AM23+AM25+AM27+AM29</f>
        <v>18.933871241025763</v>
      </c>
      <c r="AN59" s="392">
        <f>AN19+AN21+AN23+AN25+AN27+AN29</f>
        <v>189.33871241025764</v>
      </c>
      <c r="AO59" s="218" t="s">
        <v>378</v>
      </c>
    </row>
    <row r="60" spans="1:41">
      <c r="B60" s="230"/>
      <c r="C60" s="230"/>
      <c r="D60" s="230"/>
      <c r="F60" s="231"/>
      <c r="G60" s="231"/>
      <c r="H60" s="231"/>
      <c r="I60" s="231"/>
      <c r="J60" s="236"/>
      <c r="K60" s="231"/>
      <c r="L60" s="231"/>
      <c r="M60" s="231"/>
      <c r="N60" s="231"/>
      <c r="O60" s="231"/>
      <c r="P60" s="231"/>
      <c r="Q60" s="231"/>
      <c r="R60" s="231"/>
      <c r="S60" s="231"/>
      <c r="T60" s="231"/>
      <c r="U60" s="231"/>
      <c r="V60" s="231"/>
      <c r="W60" s="240"/>
      <c r="X60" s="388"/>
      <c r="Y60" s="236"/>
      <c r="Z60" s="236"/>
      <c r="AA60" s="233"/>
      <c r="AB60" s="233"/>
      <c r="AC60" s="233">
        <f>AC63+AC62-AC59</f>
        <v>189.2163050624589</v>
      </c>
      <c r="AD60" s="233">
        <f t="shared" ref="AD60:AM60" si="16">AD63+AD62-AD59</f>
        <v>189.52136752136749</v>
      </c>
      <c r="AE60" s="233">
        <f t="shared" si="16"/>
        <v>195.88612368024133</v>
      </c>
      <c r="AF60" s="233">
        <f t="shared" si="16"/>
        <v>191.38485072937888</v>
      </c>
      <c r="AG60" s="233">
        <f t="shared" si="16"/>
        <v>206.53810382839487</v>
      </c>
      <c r="AH60" s="233">
        <f t="shared" si="16"/>
        <v>204.67535873035564</v>
      </c>
      <c r="AI60" s="233">
        <f t="shared" si="16"/>
        <v>209.76156458620886</v>
      </c>
      <c r="AJ60" s="233">
        <f t="shared" si="16"/>
        <v>209.9078692619253</v>
      </c>
      <c r="AK60" s="233">
        <f t="shared" si="16"/>
        <v>210.45387227851657</v>
      </c>
      <c r="AL60" s="233">
        <f t="shared" si="16"/>
        <v>0</v>
      </c>
      <c r="AM60" s="263">
        <f t="shared" si="16"/>
        <v>180.73454156788478</v>
      </c>
      <c r="AN60" s="263">
        <f>AN63+AN62-AN59</f>
        <v>1807.3454156788478</v>
      </c>
      <c r="AO60" s="218" t="s">
        <v>379</v>
      </c>
    </row>
    <row r="61" spans="1:41">
      <c r="B61" s="239" t="s">
        <v>135</v>
      </c>
      <c r="C61" s="230"/>
      <c r="D61" s="230"/>
      <c r="F61" s="231"/>
      <c r="G61" s="231"/>
      <c r="H61" s="231"/>
      <c r="I61" s="231"/>
      <c r="J61" s="236"/>
      <c r="K61" s="231"/>
      <c r="L61" s="231"/>
      <c r="M61" s="231"/>
      <c r="N61" s="231"/>
      <c r="O61" s="231"/>
      <c r="P61" s="231"/>
      <c r="Q61" s="231"/>
      <c r="R61" s="231"/>
      <c r="S61" s="231"/>
      <c r="T61" s="231"/>
      <c r="U61" s="231"/>
      <c r="V61" s="231"/>
      <c r="W61" s="240"/>
      <c r="X61" s="388"/>
      <c r="Y61" s="236"/>
      <c r="Z61" s="236"/>
      <c r="AA61" s="218"/>
    </row>
    <row r="62" spans="1:41">
      <c r="A62" s="218" t="str">
        <f>$A$1&amp;"Residential"&amp;B62</f>
        <v>PIERCE EA UTCResidentialRECBINONLYR</v>
      </c>
      <c r="B62" s="230" t="s">
        <v>380</v>
      </c>
      <c r="C62" s="230" t="s">
        <v>136</v>
      </c>
      <c r="D62" s="230" t="s">
        <v>381</v>
      </c>
      <c r="E62" s="380">
        <v>32100</v>
      </c>
      <c r="F62" s="231">
        <v>6.07</v>
      </c>
      <c r="G62" s="231">
        <v>6.07</v>
      </c>
      <c r="H62" s="231">
        <v>7.63</v>
      </c>
      <c r="I62" s="231">
        <v>7.65</v>
      </c>
      <c r="J62" s="231"/>
      <c r="K62" s="231"/>
      <c r="L62" s="231">
        <v>0</v>
      </c>
      <c r="M62" s="231">
        <v>0</v>
      </c>
      <c r="N62" s="231">
        <v>0</v>
      </c>
      <c r="O62" s="231">
        <v>0</v>
      </c>
      <c r="P62" s="231">
        <v>0</v>
      </c>
      <c r="Q62" s="231">
        <v>0</v>
      </c>
      <c r="R62" s="231">
        <v>0</v>
      </c>
      <c r="S62" s="231">
        <v>0</v>
      </c>
      <c r="T62" s="231">
        <v>0</v>
      </c>
      <c r="U62" s="231">
        <v>0</v>
      </c>
      <c r="V62" s="231">
        <v>0</v>
      </c>
      <c r="W62" s="240"/>
      <c r="X62" s="388">
        <f>SUM(K62:V62)</f>
        <v>0</v>
      </c>
      <c r="Y62" s="389"/>
      <c r="Z62" s="389"/>
      <c r="AA62" s="233"/>
      <c r="AB62" s="233"/>
      <c r="AC62" s="233">
        <f t="shared" ref="AC62:AD64" si="17">IFERROR(N62/$G62,0)</f>
        <v>0</v>
      </c>
      <c r="AD62" s="233">
        <f t="shared" si="17"/>
        <v>0</v>
      </c>
      <c r="AE62" s="233">
        <f t="shared" ref="AE62:AK64" si="18">IFERROR(P62/$H62,0)</f>
        <v>0</v>
      </c>
      <c r="AF62" s="233">
        <f t="shared" si="18"/>
        <v>0</v>
      </c>
      <c r="AG62" s="233">
        <f t="shared" si="18"/>
        <v>0</v>
      </c>
      <c r="AH62" s="233">
        <f t="shared" si="18"/>
        <v>0</v>
      </c>
      <c r="AI62" s="233">
        <f t="shared" si="18"/>
        <v>0</v>
      </c>
      <c r="AJ62" s="233">
        <f t="shared" si="18"/>
        <v>0</v>
      </c>
      <c r="AK62" s="233">
        <f t="shared" si="18"/>
        <v>0</v>
      </c>
      <c r="AL62" s="233">
        <f>IFERROR(#REF!/$H62,0)</f>
        <v>0</v>
      </c>
      <c r="AM62" s="234">
        <f>AVERAGE(Z62:AL62)</f>
        <v>0</v>
      </c>
      <c r="AN62" s="234">
        <f>+SUM(AA62:AK62)</f>
        <v>0</v>
      </c>
    </row>
    <row r="63" spans="1:41">
      <c r="A63" s="218" t="str">
        <f>$A$1&amp;"Residential"&amp;B63</f>
        <v>PIERCE EA UTCResidentialRECPROGADJ-RES</v>
      </c>
      <c r="B63" s="230" t="s">
        <v>382</v>
      </c>
      <c r="C63" s="230" t="s">
        <v>383</v>
      </c>
      <c r="D63" s="230" t="s">
        <v>381</v>
      </c>
      <c r="E63" s="380">
        <v>32100</v>
      </c>
      <c r="F63" s="231">
        <v>5.07</v>
      </c>
      <c r="G63" s="231">
        <v>5.07</v>
      </c>
      <c r="H63" s="231">
        <v>6.63</v>
      </c>
      <c r="I63" s="231">
        <v>6.65</v>
      </c>
      <c r="J63" s="231"/>
      <c r="K63" s="231"/>
      <c r="L63" s="231">
        <v>0</v>
      </c>
      <c r="M63" s="231">
        <v>0</v>
      </c>
      <c r="N63" s="231">
        <v>1106.075</v>
      </c>
      <c r="O63" s="231">
        <v>1101.425</v>
      </c>
      <c r="P63" s="231">
        <v>1437.9549999999999</v>
      </c>
      <c r="Q63" s="231">
        <v>1407.9650000000001</v>
      </c>
      <c r="R63" s="231">
        <v>1490.5</v>
      </c>
      <c r="S63" s="231">
        <v>1478.1499999999999</v>
      </c>
      <c r="T63" s="231">
        <v>1510.385</v>
      </c>
      <c r="U63" s="231">
        <v>1511.355</v>
      </c>
      <c r="V63" s="231">
        <v>1514.9750000000001</v>
      </c>
      <c r="W63" s="240"/>
      <c r="X63" s="388">
        <f>SUM(K63:V63)</f>
        <v>12558.785</v>
      </c>
      <c r="Y63" s="389"/>
      <c r="Z63" s="389"/>
      <c r="AA63" s="233"/>
      <c r="AB63" s="233"/>
      <c r="AC63" s="233">
        <f t="shared" si="17"/>
        <v>218.16074950690336</v>
      </c>
      <c r="AD63" s="233">
        <f t="shared" si="17"/>
        <v>217.24358974358972</v>
      </c>
      <c r="AE63" s="233">
        <f t="shared" si="18"/>
        <v>216.88612368024133</v>
      </c>
      <c r="AF63" s="233">
        <f t="shared" si="18"/>
        <v>212.36274509803926</v>
      </c>
      <c r="AG63" s="233">
        <f t="shared" si="18"/>
        <v>224.81146304675715</v>
      </c>
      <c r="AH63" s="233">
        <f t="shared" si="18"/>
        <v>222.94871794871793</v>
      </c>
      <c r="AI63" s="233">
        <f t="shared" si="18"/>
        <v>227.8107088989442</v>
      </c>
      <c r="AJ63" s="233">
        <f t="shared" si="18"/>
        <v>227.95701357466064</v>
      </c>
      <c r="AK63" s="233">
        <f t="shared" si="18"/>
        <v>228.50301659125191</v>
      </c>
      <c r="AL63" s="233">
        <f>IFERROR(#REF!/$H63,0)</f>
        <v>0</v>
      </c>
      <c r="AM63" s="234">
        <f>AVERAGE(Z63:AL63)</f>
        <v>199.66841280891055</v>
      </c>
      <c r="AN63" s="234">
        <f>+SUM(AA63:AK63)</f>
        <v>1996.6841280891053</v>
      </c>
    </row>
    <row r="64" spans="1:41">
      <c r="A64" s="218" t="str">
        <f>$A$1&amp;"Residential"&amp;B64</f>
        <v>PIERCE EA UTCResidentialRTRNCART96REC-RES</v>
      </c>
      <c r="B64" s="230" t="s">
        <v>384</v>
      </c>
      <c r="C64" s="230" t="s">
        <v>770</v>
      </c>
      <c r="D64" s="230"/>
      <c r="F64" s="231">
        <v>9.5</v>
      </c>
      <c r="G64" s="231">
        <v>9.5</v>
      </c>
      <c r="H64" s="231">
        <v>9.41</v>
      </c>
      <c r="I64" s="231">
        <v>9.44</v>
      </c>
      <c r="J64" s="231"/>
      <c r="K64" s="231"/>
      <c r="L64" s="231">
        <v>0</v>
      </c>
      <c r="M64" s="231">
        <v>0</v>
      </c>
      <c r="N64" s="231">
        <v>0</v>
      </c>
      <c r="O64" s="231">
        <v>0</v>
      </c>
      <c r="P64" s="231">
        <v>0</v>
      </c>
      <c r="Q64" s="231">
        <v>0</v>
      </c>
      <c r="R64" s="231">
        <v>0</v>
      </c>
      <c r="S64" s="231">
        <v>0</v>
      </c>
      <c r="T64" s="231">
        <v>0</v>
      </c>
      <c r="U64" s="231">
        <v>0</v>
      </c>
      <c r="V64" s="231">
        <v>0</v>
      </c>
      <c r="W64" s="240"/>
      <c r="X64" s="388">
        <f>SUM(K64:V64)</f>
        <v>0</v>
      </c>
      <c r="Y64" s="389"/>
      <c r="Z64" s="389"/>
      <c r="AA64" s="233"/>
      <c r="AB64" s="233"/>
      <c r="AC64" s="233">
        <f t="shared" si="17"/>
        <v>0</v>
      </c>
      <c r="AD64" s="233">
        <f t="shared" si="17"/>
        <v>0</v>
      </c>
      <c r="AE64" s="233">
        <f t="shared" si="18"/>
        <v>0</v>
      </c>
      <c r="AF64" s="233">
        <f t="shared" si="18"/>
        <v>0</v>
      </c>
      <c r="AG64" s="233">
        <f t="shared" si="18"/>
        <v>0</v>
      </c>
      <c r="AH64" s="233">
        <f t="shared" si="18"/>
        <v>0</v>
      </c>
      <c r="AI64" s="233">
        <f t="shared" si="18"/>
        <v>0</v>
      </c>
      <c r="AJ64" s="233">
        <f t="shared" si="18"/>
        <v>0</v>
      </c>
      <c r="AK64" s="233">
        <f t="shared" si="18"/>
        <v>0</v>
      </c>
      <c r="AL64" s="233">
        <f>IFERROR(#REF!/$H64,0)</f>
        <v>0</v>
      </c>
      <c r="AM64" s="234">
        <f>AVERAGE(Z64:AL64)</f>
        <v>0</v>
      </c>
      <c r="AN64" s="234">
        <f>+SUM(AA64:AK64)</f>
        <v>0</v>
      </c>
    </row>
    <row r="65" spans="1:51">
      <c r="B65" s="230"/>
      <c r="C65" s="230"/>
      <c r="D65" s="230"/>
      <c r="F65" s="231"/>
      <c r="G65" s="231"/>
      <c r="H65" s="231"/>
      <c r="I65" s="231"/>
      <c r="J65" s="231"/>
      <c r="K65" s="231"/>
      <c r="L65" s="231"/>
      <c r="M65" s="231"/>
      <c r="N65" s="231"/>
      <c r="O65" s="231"/>
      <c r="P65" s="231"/>
      <c r="Q65" s="231"/>
      <c r="R65" s="231"/>
      <c r="S65" s="231"/>
      <c r="T65" s="231"/>
      <c r="U65" s="231"/>
      <c r="V65" s="231"/>
      <c r="W65" s="240"/>
      <c r="X65" s="388"/>
      <c r="Y65" s="389"/>
      <c r="Z65" s="389"/>
      <c r="AB65" s="233"/>
      <c r="AC65" s="232"/>
      <c r="AD65" s="232"/>
      <c r="AE65" s="232"/>
      <c r="AF65" s="232"/>
      <c r="AG65" s="232"/>
      <c r="AH65" s="232"/>
      <c r="AI65" s="232"/>
      <c r="AJ65" s="232"/>
      <c r="AK65" s="232"/>
      <c r="AL65" s="232"/>
      <c r="AM65" s="385"/>
      <c r="AN65" s="385"/>
    </row>
    <row r="66" spans="1:51">
      <c r="B66" s="230"/>
      <c r="C66" s="235" t="s">
        <v>137</v>
      </c>
      <c r="D66" s="230"/>
      <c r="F66" s="231"/>
      <c r="G66" s="231"/>
      <c r="H66" s="231"/>
      <c r="I66" s="231"/>
      <c r="J66" s="236"/>
      <c r="K66" s="237"/>
      <c r="L66" s="237">
        <f t="shared" ref="L66:V66" si="19">SUM(L62:L65)</f>
        <v>0</v>
      </c>
      <c r="M66" s="237">
        <f t="shared" si="19"/>
        <v>0</v>
      </c>
      <c r="N66" s="237">
        <f t="shared" si="19"/>
        <v>1106.075</v>
      </c>
      <c r="O66" s="237">
        <f t="shared" si="19"/>
        <v>1101.425</v>
      </c>
      <c r="P66" s="237">
        <f t="shared" si="19"/>
        <v>1437.9549999999999</v>
      </c>
      <c r="Q66" s="237">
        <f t="shared" si="19"/>
        <v>1407.9650000000001</v>
      </c>
      <c r="R66" s="237">
        <f t="shared" si="19"/>
        <v>1490.5</v>
      </c>
      <c r="S66" s="237">
        <f t="shared" si="19"/>
        <v>1478.1499999999999</v>
      </c>
      <c r="T66" s="237">
        <f t="shared" si="19"/>
        <v>1510.385</v>
      </c>
      <c r="U66" s="237">
        <f t="shared" si="19"/>
        <v>1511.355</v>
      </c>
      <c r="V66" s="237">
        <f t="shared" si="19"/>
        <v>1514.9750000000001</v>
      </c>
      <c r="W66" s="240"/>
      <c r="X66" s="237">
        <f>SUM(X62:X65)</f>
        <v>12558.785</v>
      </c>
      <c r="Y66" s="241"/>
      <c r="Z66" s="241"/>
      <c r="AA66" s="393"/>
      <c r="AB66" s="393"/>
      <c r="AC66" s="393">
        <f t="shared" ref="AC66:AN66" si="20">+AC62+AC63</f>
        <v>218.16074950690336</v>
      </c>
      <c r="AD66" s="393">
        <f t="shared" si="20"/>
        <v>217.24358974358972</v>
      </c>
      <c r="AE66" s="393">
        <f t="shared" si="20"/>
        <v>216.88612368024133</v>
      </c>
      <c r="AF66" s="393">
        <f t="shared" si="20"/>
        <v>212.36274509803926</v>
      </c>
      <c r="AG66" s="393">
        <f t="shared" si="20"/>
        <v>224.81146304675715</v>
      </c>
      <c r="AH66" s="393">
        <f t="shared" si="20"/>
        <v>222.94871794871793</v>
      </c>
      <c r="AI66" s="393">
        <f t="shared" si="20"/>
        <v>227.8107088989442</v>
      </c>
      <c r="AJ66" s="393">
        <f t="shared" si="20"/>
        <v>227.95701357466064</v>
      </c>
      <c r="AK66" s="393">
        <f t="shared" si="20"/>
        <v>228.50301659125191</v>
      </c>
      <c r="AL66" s="393">
        <f t="shared" si="20"/>
        <v>0</v>
      </c>
      <c r="AM66" s="394">
        <f t="shared" si="20"/>
        <v>199.66841280891055</v>
      </c>
      <c r="AN66" s="394">
        <f t="shared" si="20"/>
        <v>1996.6841280891053</v>
      </c>
    </row>
    <row r="67" spans="1:51">
      <c r="B67" s="230"/>
      <c r="C67" s="235"/>
      <c r="D67" s="230"/>
      <c r="F67" s="231"/>
      <c r="G67" s="231"/>
      <c r="H67" s="231"/>
      <c r="I67" s="231"/>
      <c r="J67" s="236"/>
      <c r="K67" s="240"/>
      <c r="L67" s="240"/>
      <c r="M67" s="240"/>
      <c r="N67" s="240"/>
      <c r="O67" s="240"/>
      <c r="P67" s="240"/>
      <c r="Q67" s="240"/>
      <c r="R67" s="240"/>
      <c r="S67" s="240"/>
      <c r="T67" s="240"/>
      <c r="U67" s="240"/>
      <c r="V67" s="240"/>
      <c r="W67" s="240"/>
      <c r="X67" s="395"/>
      <c r="Y67" s="241"/>
      <c r="Z67" s="241"/>
      <c r="AA67" s="233"/>
      <c r="AB67" s="233"/>
      <c r="AC67" s="232"/>
      <c r="AD67" s="232"/>
      <c r="AE67" s="232"/>
      <c r="AF67" s="232"/>
      <c r="AG67" s="232"/>
      <c r="AH67" s="232"/>
      <c r="AI67" s="232"/>
      <c r="AJ67" s="232"/>
      <c r="AK67" s="232"/>
      <c r="AL67" s="232"/>
      <c r="AM67" s="385"/>
      <c r="AN67" s="385"/>
    </row>
    <row r="68" spans="1:51">
      <c r="A68" s="218" t="str">
        <f>$A$1&amp;"Residential"&amp;B68</f>
        <v>PIERCE EA UTCResidentialRECVALRES</v>
      </c>
      <c r="B68" s="230" t="s">
        <v>386</v>
      </c>
      <c r="C68" s="230" t="s">
        <v>387</v>
      </c>
      <c r="D68" s="230" t="s">
        <v>385</v>
      </c>
      <c r="E68" s="380">
        <v>35527</v>
      </c>
      <c r="F68" s="231">
        <v>1.92</v>
      </c>
      <c r="G68" s="231">
        <v>2.15</v>
      </c>
      <c r="H68" s="231">
        <v>2.15</v>
      </c>
      <c r="I68" s="231">
        <v>2.15</v>
      </c>
      <c r="J68" s="231"/>
      <c r="K68" s="231"/>
      <c r="L68" s="231"/>
      <c r="M68" s="231"/>
      <c r="N68" s="231"/>
      <c r="O68" s="231"/>
      <c r="P68" s="231"/>
      <c r="Q68" s="231"/>
      <c r="R68" s="231"/>
      <c r="S68" s="231"/>
      <c r="T68" s="231"/>
      <c r="U68" s="231"/>
      <c r="V68" s="231"/>
      <c r="W68" s="240"/>
      <c r="X68" s="388">
        <f>SUM(K68:V68)</f>
        <v>0</v>
      </c>
      <c r="Y68" s="389"/>
      <c r="Z68" s="389"/>
      <c r="AA68" s="233"/>
      <c r="AB68" s="233"/>
      <c r="AC68" s="233">
        <f t="shared" ref="AC68:AK68" si="21">IFERROR(N68/$H68,0)</f>
        <v>0</v>
      </c>
      <c r="AD68" s="233">
        <f t="shared" si="21"/>
        <v>0</v>
      </c>
      <c r="AE68" s="233">
        <f t="shared" si="21"/>
        <v>0</v>
      </c>
      <c r="AF68" s="233">
        <f t="shared" si="21"/>
        <v>0</v>
      </c>
      <c r="AG68" s="233">
        <f t="shared" si="21"/>
        <v>0</v>
      </c>
      <c r="AH68" s="233">
        <f t="shared" si="21"/>
        <v>0</v>
      </c>
      <c r="AI68" s="233">
        <f t="shared" si="21"/>
        <v>0</v>
      </c>
      <c r="AJ68" s="233">
        <f t="shared" si="21"/>
        <v>0</v>
      </c>
      <c r="AK68" s="233">
        <f t="shared" si="21"/>
        <v>0</v>
      </c>
      <c r="AL68" s="233">
        <f>IFERROR(#REF!/$H68,0)</f>
        <v>0</v>
      </c>
      <c r="AM68" s="385"/>
      <c r="AN68" s="385"/>
      <c r="AO68" s="381"/>
      <c r="AP68" s="396"/>
      <c r="AQ68" s="381"/>
      <c r="AR68" s="381"/>
      <c r="AS68" s="381"/>
      <c r="AT68" s="381"/>
      <c r="AU68" s="381"/>
      <c r="AV68" s="381"/>
      <c r="AW68" s="381"/>
      <c r="AX68" s="381"/>
      <c r="AY68" s="381"/>
    </row>
    <row r="69" spans="1:51">
      <c r="B69" s="230"/>
      <c r="C69" s="235"/>
      <c r="D69" s="230"/>
      <c r="F69" s="231"/>
      <c r="G69" s="231"/>
      <c r="H69" s="231"/>
      <c r="I69" s="231"/>
      <c r="J69" s="236"/>
      <c r="K69" s="231"/>
      <c r="L69" s="231"/>
      <c r="M69" s="231"/>
      <c r="N69" s="231"/>
      <c r="O69" s="231"/>
      <c r="P69" s="231"/>
      <c r="Q69" s="231"/>
      <c r="R69" s="231"/>
      <c r="S69" s="231"/>
      <c r="T69" s="231"/>
      <c r="U69" s="231"/>
      <c r="V69" s="231"/>
      <c r="W69" s="240"/>
      <c r="X69" s="388"/>
      <c r="Y69" s="236"/>
      <c r="Z69" s="236"/>
      <c r="AA69" s="233"/>
      <c r="AB69" s="233"/>
      <c r="AD69" s="232"/>
      <c r="AE69" s="232"/>
      <c r="AF69" s="232"/>
      <c r="AG69" s="232"/>
      <c r="AH69" s="232"/>
      <c r="AI69" s="232"/>
      <c r="AJ69" s="232"/>
      <c r="AK69" s="232"/>
      <c r="AL69" s="232"/>
      <c r="AM69" s="385"/>
      <c r="AN69" s="385"/>
      <c r="AO69" s="381"/>
      <c r="AP69" s="396"/>
      <c r="AQ69" s="381"/>
      <c r="AR69" s="381"/>
      <c r="AS69" s="381"/>
      <c r="AT69" s="381"/>
      <c r="AU69" s="381"/>
      <c r="AV69" s="381"/>
      <c r="AW69" s="381"/>
      <c r="AX69" s="381"/>
      <c r="AY69" s="381"/>
    </row>
    <row r="70" spans="1:51">
      <c r="B70" s="239" t="s">
        <v>138</v>
      </c>
      <c r="C70" s="230"/>
      <c r="D70" s="230"/>
      <c r="F70" s="231"/>
      <c r="G70" s="231"/>
      <c r="H70" s="231"/>
      <c r="I70" s="231"/>
      <c r="J70" s="236"/>
      <c r="K70" s="231"/>
      <c r="L70" s="231"/>
      <c r="M70" s="231"/>
      <c r="N70" s="231"/>
      <c r="O70" s="231"/>
      <c r="P70" s="231"/>
      <c r="Q70" s="231"/>
      <c r="R70" s="231"/>
      <c r="S70" s="231"/>
      <c r="T70" s="231"/>
      <c r="U70" s="231"/>
      <c r="V70" s="231"/>
      <c r="W70" s="240"/>
      <c r="X70" s="388"/>
      <c r="Y70" s="236"/>
      <c r="Z70" s="236"/>
      <c r="AA70" s="233"/>
      <c r="AB70" s="233"/>
      <c r="AC70" s="232"/>
      <c r="AD70" s="232"/>
      <c r="AE70" s="232"/>
      <c r="AF70" s="232"/>
      <c r="AG70" s="232"/>
      <c r="AH70" s="232"/>
      <c r="AI70" s="232"/>
      <c r="AJ70" s="232"/>
      <c r="AK70" s="232"/>
      <c r="AL70" s="232"/>
      <c r="AM70" s="385"/>
      <c r="AN70" s="385"/>
      <c r="AO70" s="381"/>
      <c r="AP70" s="397"/>
      <c r="AQ70" s="381"/>
      <c r="AR70" s="381"/>
      <c r="AS70" s="381"/>
      <c r="AT70" s="381"/>
      <c r="AU70" s="381"/>
      <c r="AV70" s="381"/>
      <c r="AW70" s="381"/>
      <c r="AX70" s="381"/>
      <c r="AY70" s="381"/>
    </row>
    <row r="71" spans="1:51">
      <c r="A71" s="218" t="str">
        <f>$A$1&amp;"Residential"&amp;B71</f>
        <v>PIERCE EA UTCResidentialGWRES</v>
      </c>
      <c r="B71" s="230" t="s">
        <v>388</v>
      </c>
      <c r="C71" s="230" t="s">
        <v>389</v>
      </c>
      <c r="D71" s="230" t="s">
        <v>390</v>
      </c>
      <c r="E71" s="380">
        <v>32110</v>
      </c>
      <c r="F71" s="231">
        <v>5.53</v>
      </c>
      <c r="G71" s="231">
        <v>5.53</v>
      </c>
      <c r="H71" s="231">
        <v>0</v>
      </c>
      <c r="I71" s="231">
        <v>0</v>
      </c>
      <c r="J71" s="231"/>
      <c r="K71" s="231"/>
      <c r="L71" s="231">
        <v>0</v>
      </c>
      <c r="M71" s="231">
        <v>0</v>
      </c>
      <c r="N71" s="231">
        <v>0</v>
      </c>
      <c r="O71" s="231">
        <v>0</v>
      </c>
      <c r="P71" s="231">
        <v>0</v>
      </c>
      <c r="Q71" s="231">
        <v>0</v>
      </c>
      <c r="R71" s="231">
        <v>0</v>
      </c>
      <c r="S71" s="231">
        <v>0</v>
      </c>
      <c r="T71" s="231">
        <v>0</v>
      </c>
      <c r="U71" s="231">
        <v>0</v>
      </c>
      <c r="V71" s="231">
        <v>0</v>
      </c>
      <c r="W71" s="240"/>
      <c r="X71" s="388">
        <f>SUM(K71:V71)</f>
        <v>0</v>
      </c>
      <c r="Y71" s="389"/>
      <c r="Z71" s="389"/>
      <c r="AA71" s="233"/>
      <c r="AB71" s="233"/>
      <c r="AC71" s="233">
        <f>IFERROR(N71/$G71,0)</f>
        <v>0</v>
      </c>
      <c r="AD71" s="233">
        <f>IFERROR(O71/$G71,0)</f>
        <v>0</v>
      </c>
      <c r="AE71" s="233">
        <f t="shared" ref="AE71:AK72" si="22">IFERROR(P71/$H71,0)</f>
        <v>0</v>
      </c>
      <c r="AF71" s="233">
        <f t="shared" si="22"/>
        <v>0</v>
      </c>
      <c r="AG71" s="233">
        <f t="shared" si="22"/>
        <v>0</v>
      </c>
      <c r="AH71" s="233">
        <f t="shared" si="22"/>
        <v>0</v>
      </c>
      <c r="AI71" s="233">
        <f t="shared" si="22"/>
        <v>0</v>
      </c>
      <c r="AJ71" s="233">
        <f t="shared" si="22"/>
        <v>0</v>
      </c>
      <c r="AK71" s="233">
        <f t="shared" si="22"/>
        <v>0</v>
      </c>
      <c r="AL71" s="233">
        <f>IFERROR(#REF!/$H71,0)</f>
        <v>0</v>
      </c>
      <c r="AM71" s="234">
        <f>AVERAGE(Z71:AL71)</f>
        <v>0</v>
      </c>
      <c r="AN71" s="234">
        <f>+SUM(AA71:AK71)</f>
        <v>0</v>
      </c>
      <c r="AO71" s="381"/>
      <c r="AP71" s="381"/>
      <c r="AQ71" s="381"/>
      <c r="AR71" s="381"/>
      <c r="AS71" s="381"/>
      <c r="AT71" s="381"/>
      <c r="AU71" s="381"/>
      <c r="AV71" s="381"/>
      <c r="AW71" s="381"/>
      <c r="AX71" s="381"/>
      <c r="AY71" s="381"/>
    </row>
    <row r="72" spans="1:51">
      <c r="A72" s="218" t="str">
        <f>A1&amp;"Commercial"&amp;B72</f>
        <v>PIERCE EA UTCCommercialGWCOMM</v>
      </c>
      <c r="B72" s="230" t="s">
        <v>503</v>
      </c>
      <c r="C72" s="230" t="s">
        <v>504</v>
      </c>
      <c r="D72" s="230" t="s">
        <v>397</v>
      </c>
      <c r="E72" s="380">
        <v>33000</v>
      </c>
      <c r="F72" s="231">
        <v>5.53</v>
      </c>
      <c r="G72" s="231">
        <v>5.53</v>
      </c>
      <c r="H72" s="231">
        <v>0</v>
      </c>
      <c r="I72" s="231">
        <v>0</v>
      </c>
      <c r="J72" s="231"/>
      <c r="K72" s="231"/>
      <c r="L72" s="231">
        <v>0</v>
      </c>
      <c r="M72" s="231">
        <v>0</v>
      </c>
      <c r="N72" s="231">
        <v>0</v>
      </c>
      <c r="O72" s="231">
        <v>0</v>
      </c>
      <c r="P72" s="231">
        <v>0</v>
      </c>
      <c r="Q72" s="231">
        <v>0</v>
      </c>
      <c r="R72" s="231">
        <v>0</v>
      </c>
      <c r="S72" s="231">
        <v>0</v>
      </c>
      <c r="T72" s="231">
        <v>0</v>
      </c>
      <c r="U72" s="231">
        <v>0</v>
      </c>
      <c r="V72" s="231">
        <v>0</v>
      </c>
      <c r="W72" s="240"/>
      <c r="X72" s="388">
        <f>SUM(K72:V72)</f>
        <v>0</v>
      </c>
      <c r="Y72" s="232"/>
      <c r="Z72" s="232"/>
      <c r="AA72" s="233"/>
      <c r="AB72" s="233"/>
      <c r="AC72" s="233">
        <f>IFERROR(N72/$G72,0)</f>
        <v>0</v>
      </c>
      <c r="AD72" s="233">
        <f>IFERROR(O72/$G72,0)</f>
        <v>0</v>
      </c>
      <c r="AE72" s="232">
        <f t="shared" si="22"/>
        <v>0</v>
      </c>
      <c r="AF72" s="232">
        <f t="shared" si="22"/>
        <v>0</v>
      </c>
      <c r="AG72" s="232">
        <f t="shared" si="22"/>
        <v>0</v>
      </c>
      <c r="AH72" s="232">
        <f t="shared" si="22"/>
        <v>0</v>
      </c>
      <c r="AI72" s="232">
        <f t="shared" si="22"/>
        <v>0</v>
      </c>
      <c r="AJ72" s="232">
        <f t="shared" si="22"/>
        <v>0</v>
      </c>
      <c r="AK72" s="232">
        <f t="shared" si="22"/>
        <v>0</v>
      </c>
      <c r="AL72" s="232">
        <f>IFERROR(#REF!/$H72,0)</f>
        <v>0</v>
      </c>
      <c r="AM72" s="234">
        <f>AVERAGE(Z72:AL72)</f>
        <v>0</v>
      </c>
      <c r="AN72" s="234">
        <f>+SUM(AA72:AK72)</f>
        <v>0</v>
      </c>
    </row>
    <row r="73" spans="1:51">
      <c r="A73" s="218" t="str">
        <f>$A$1&amp;"Residential"&amp;B73</f>
        <v>PIERCE EA UTCResidentialEXTRAGWC-RES</v>
      </c>
      <c r="B73" s="230" t="s">
        <v>391</v>
      </c>
      <c r="C73" s="230" t="s">
        <v>392</v>
      </c>
      <c r="D73" s="230" t="s">
        <v>390</v>
      </c>
      <c r="E73" s="380">
        <v>32111</v>
      </c>
      <c r="F73" s="231">
        <v>2</v>
      </c>
      <c r="G73" s="231">
        <v>2</v>
      </c>
      <c r="H73" s="231">
        <v>0</v>
      </c>
      <c r="I73" s="231">
        <v>0</v>
      </c>
      <c r="J73" s="231"/>
      <c r="K73" s="231"/>
      <c r="L73" s="231">
        <v>0</v>
      </c>
      <c r="M73" s="231">
        <v>0</v>
      </c>
      <c r="N73" s="231">
        <v>0</v>
      </c>
      <c r="O73" s="231">
        <v>0</v>
      </c>
      <c r="P73" s="231">
        <v>0</v>
      </c>
      <c r="Q73" s="231">
        <v>0</v>
      </c>
      <c r="R73" s="231">
        <v>0</v>
      </c>
      <c r="S73" s="231">
        <v>0</v>
      </c>
      <c r="T73" s="231">
        <v>0</v>
      </c>
      <c r="U73" s="231">
        <v>0</v>
      </c>
      <c r="V73" s="231">
        <v>0</v>
      </c>
      <c r="W73" s="240"/>
      <c r="X73" s="388">
        <f>SUM(K73:V73)</f>
        <v>0</v>
      </c>
      <c r="Y73" s="389"/>
      <c r="Z73" s="389"/>
      <c r="AA73" s="233"/>
      <c r="AB73" s="233"/>
      <c r="AC73" s="233"/>
      <c r="AD73" s="233"/>
      <c r="AE73" s="233"/>
      <c r="AF73" s="233"/>
      <c r="AG73" s="233"/>
      <c r="AH73" s="233"/>
      <c r="AI73" s="233"/>
      <c r="AJ73" s="233"/>
      <c r="AK73" s="233"/>
      <c r="AL73" s="233"/>
      <c r="AM73" s="234"/>
      <c r="AN73" s="234"/>
      <c r="AO73" s="381"/>
      <c r="AP73" s="381"/>
      <c r="AQ73" s="381"/>
      <c r="AR73" s="381"/>
      <c r="AS73" s="381"/>
      <c r="AT73" s="381"/>
      <c r="AU73" s="381"/>
      <c r="AV73" s="381"/>
      <c r="AW73" s="381"/>
      <c r="AX73" s="381"/>
      <c r="AY73" s="381"/>
    </row>
    <row r="74" spans="1:51">
      <c r="A74" s="218" t="str">
        <f>$A$1&amp;"Residential"&amp;B74</f>
        <v>PIERCE EA UTCResidentialEP96GWC-RES</v>
      </c>
      <c r="B74" s="230" t="s">
        <v>393</v>
      </c>
      <c r="C74" s="230" t="s">
        <v>394</v>
      </c>
      <c r="D74" s="230" t="s">
        <v>344</v>
      </c>
      <c r="E74" s="380">
        <v>32001</v>
      </c>
      <c r="F74" s="231">
        <v>3.8</v>
      </c>
      <c r="G74" s="231">
        <v>3.8</v>
      </c>
      <c r="H74" s="231">
        <v>0</v>
      </c>
      <c r="I74" s="231">
        <v>0</v>
      </c>
      <c r="J74" s="231"/>
      <c r="K74" s="231"/>
      <c r="L74" s="231">
        <v>0</v>
      </c>
      <c r="M74" s="231">
        <v>0</v>
      </c>
      <c r="N74" s="231">
        <v>0</v>
      </c>
      <c r="O74" s="231">
        <v>0</v>
      </c>
      <c r="P74" s="231">
        <v>0</v>
      </c>
      <c r="Q74" s="231">
        <v>0</v>
      </c>
      <c r="R74" s="231">
        <v>0</v>
      </c>
      <c r="S74" s="231">
        <v>0</v>
      </c>
      <c r="T74" s="231">
        <v>0</v>
      </c>
      <c r="U74" s="231">
        <v>0</v>
      </c>
      <c r="V74" s="231">
        <v>0</v>
      </c>
      <c r="W74" s="240"/>
      <c r="X74" s="388">
        <f>SUM(K74:V74)</f>
        <v>0</v>
      </c>
      <c r="Y74" s="389"/>
      <c r="Z74" s="389"/>
      <c r="AA74" s="233"/>
      <c r="AB74" s="233"/>
      <c r="AC74" s="233"/>
      <c r="AD74" s="233"/>
      <c r="AE74" s="233"/>
      <c r="AF74" s="233"/>
      <c r="AG74" s="233"/>
      <c r="AH74" s="233"/>
      <c r="AI74" s="233"/>
      <c r="AJ74" s="233"/>
      <c r="AK74" s="233"/>
      <c r="AL74" s="233"/>
      <c r="AM74" s="234"/>
      <c r="AN74" s="234"/>
    </row>
    <row r="75" spans="1:51">
      <c r="B75" s="230"/>
      <c r="C75" s="235" t="s">
        <v>139</v>
      </c>
      <c r="D75" s="230"/>
      <c r="F75" s="231"/>
      <c r="G75" s="231"/>
      <c r="H75" s="231"/>
      <c r="I75" s="231"/>
      <c r="J75" s="236"/>
      <c r="K75" s="237"/>
      <c r="L75" s="237">
        <f t="shared" ref="L75:V75" si="23">SUM(L71:L74)</f>
        <v>0</v>
      </c>
      <c r="M75" s="237">
        <f t="shared" si="23"/>
        <v>0</v>
      </c>
      <c r="N75" s="237">
        <f t="shared" si="23"/>
        <v>0</v>
      </c>
      <c r="O75" s="237">
        <f t="shared" si="23"/>
        <v>0</v>
      </c>
      <c r="P75" s="237">
        <f t="shared" si="23"/>
        <v>0</v>
      </c>
      <c r="Q75" s="237">
        <f t="shared" si="23"/>
        <v>0</v>
      </c>
      <c r="R75" s="237">
        <f t="shared" si="23"/>
        <v>0</v>
      </c>
      <c r="S75" s="237">
        <f t="shared" si="23"/>
        <v>0</v>
      </c>
      <c r="T75" s="237">
        <f t="shared" si="23"/>
        <v>0</v>
      </c>
      <c r="U75" s="237">
        <f t="shared" si="23"/>
        <v>0</v>
      </c>
      <c r="V75" s="237">
        <f t="shared" si="23"/>
        <v>0</v>
      </c>
      <c r="W75" s="240"/>
      <c r="X75" s="237">
        <f>SUM(X71:X74)</f>
        <v>0</v>
      </c>
      <c r="Y75" s="241"/>
      <c r="Z75" s="241"/>
      <c r="AA75" s="237"/>
      <c r="AB75" s="237"/>
      <c r="AC75" s="237">
        <f t="shared" ref="AC75:AL75" si="24">SUM(AC71:AC74)</f>
        <v>0</v>
      </c>
      <c r="AD75" s="237">
        <f t="shared" si="24"/>
        <v>0</v>
      </c>
      <c r="AE75" s="237">
        <f t="shared" si="24"/>
        <v>0</v>
      </c>
      <c r="AF75" s="237">
        <f t="shared" si="24"/>
        <v>0</v>
      </c>
      <c r="AG75" s="237">
        <f t="shared" si="24"/>
        <v>0</v>
      </c>
      <c r="AH75" s="237">
        <f t="shared" si="24"/>
        <v>0</v>
      </c>
      <c r="AI75" s="237">
        <f t="shared" si="24"/>
        <v>0</v>
      </c>
      <c r="AJ75" s="237">
        <f t="shared" si="24"/>
        <v>0</v>
      </c>
      <c r="AK75" s="237">
        <f t="shared" si="24"/>
        <v>0</v>
      </c>
      <c r="AL75" s="237">
        <f t="shared" si="24"/>
        <v>0</v>
      </c>
      <c r="AM75" s="237">
        <f>SUM(AM71:AM72)</f>
        <v>0</v>
      </c>
      <c r="AN75" s="237">
        <f>SUM(AN71:AN72)</f>
        <v>0</v>
      </c>
    </row>
    <row r="76" spans="1:51">
      <c r="F76" s="231"/>
      <c r="G76" s="231"/>
      <c r="H76" s="231"/>
      <c r="I76" s="231"/>
      <c r="K76" s="231"/>
      <c r="L76" s="231"/>
      <c r="M76" s="231"/>
      <c r="N76" s="231"/>
      <c r="O76" s="231"/>
      <c r="P76" s="231"/>
      <c r="Q76" s="231"/>
      <c r="R76" s="231"/>
      <c r="S76" s="231"/>
      <c r="T76" s="231"/>
      <c r="U76" s="231"/>
      <c r="V76" s="231"/>
      <c r="W76" s="398"/>
      <c r="X76" s="388"/>
      <c r="Y76" s="230"/>
      <c r="Z76" s="230"/>
      <c r="AA76" s="233"/>
      <c r="AB76" s="233"/>
      <c r="AC76" s="232"/>
      <c r="AD76" s="232"/>
      <c r="AE76" s="232"/>
      <c r="AF76" s="232"/>
      <c r="AG76" s="232"/>
      <c r="AH76" s="232"/>
      <c r="AI76" s="232"/>
      <c r="AJ76" s="232"/>
      <c r="AK76" s="232"/>
      <c r="AL76" s="232"/>
      <c r="AM76" s="399"/>
      <c r="AN76" s="399"/>
    </row>
    <row r="77" spans="1:51" s="216" customFormat="1" ht="13.5" thickBot="1">
      <c r="A77" s="400"/>
      <c r="B77" s="400" t="s">
        <v>395</v>
      </c>
      <c r="C77" s="400"/>
      <c r="D77" s="400"/>
      <c r="E77" s="401"/>
      <c r="F77" s="402"/>
      <c r="G77" s="402"/>
      <c r="H77" s="402"/>
      <c r="I77" s="402"/>
      <c r="J77" s="400"/>
      <c r="K77" s="403"/>
      <c r="L77" s="403">
        <f t="shared" ref="L77:V77" si="25">+L58+L66+L75+L68</f>
        <v>0</v>
      </c>
      <c r="M77" s="403">
        <f t="shared" si="25"/>
        <v>0</v>
      </c>
      <c r="N77" s="403">
        <f t="shared" si="25"/>
        <v>5650.8649999999998</v>
      </c>
      <c r="O77" s="403">
        <f t="shared" si="25"/>
        <v>5791.5749999999998</v>
      </c>
      <c r="P77" s="403">
        <f t="shared" si="25"/>
        <v>5983.6699999999992</v>
      </c>
      <c r="Q77" s="403">
        <f t="shared" si="25"/>
        <v>5967.8599999999988</v>
      </c>
      <c r="R77" s="403">
        <f t="shared" si="25"/>
        <v>6317.31</v>
      </c>
      <c r="S77" s="403">
        <f t="shared" si="25"/>
        <v>6243.4799999999987</v>
      </c>
      <c r="T77" s="403">
        <f t="shared" si="25"/>
        <v>6419.93</v>
      </c>
      <c r="U77" s="403">
        <f t="shared" si="25"/>
        <v>6408.7800000000007</v>
      </c>
      <c r="V77" s="403">
        <f t="shared" si="25"/>
        <v>6464.8900000000012</v>
      </c>
      <c r="W77" s="404"/>
      <c r="X77" s="405">
        <f>+X58+X66+X75+X68</f>
        <v>55248.36</v>
      </c>
      <c r="Y77" s="406"/>
      <c r="Z77" s="406"/>
      <c r="AA77" s="407"/>
      <c r="AB77" s="407"/>
      <c r="AC77" s="408"/>
      <c r="AD77" s="408"/>
      <c r="AE77" s="408"/>
      <c r="AF77" s="408"/>
      <c r="AG77" s="408"/>
      <c r="AH77" s="408"/>
      <c r="AI77" s="408"/>
      <c r="AJ77" s="408"/>
      <c r="AK77" s="408"/>
      <c r="AL77" s="408"/>
      <c r="AM77" s="409"/>
      <c r="AN77" s="409"/>
      <c r="AO77" s="410"/>
    </row>
    <row r="78" spans="1:51" s="216" customFormat="1">
      <c r="E78" s="223"/>
      <c r="F78" s="231"/>
      <c r="G78" s="231"/>
      <c r="H78" s="231"/>
      <c r="I78" s="231"/>
      <c r="K78" s="244"/>
      <c r="L78" s="244"/>
      <c r="M78" s="244"/>
      <c r="N78" s="244"/>
      <c r="O78" s="244"/>
      <c r="P78" s="244"/>
      <c r="Q78" s="244"/>
      <c r="R78" s="244"/>
      <c r="S78" s="244"/>
      <c r="T78" s="244"/>
      <c r="U78" s="244"/>
      <c r="V78" s="244"/>
      <c r="W78" s="244"/>
      <c r="X78" s="411"/>
      <c r="Y78" s="412"/>
      <c r="Z78" s="412"/>
      <c r="AA78" s="233"/>
      <c r="AB78" s="233"/>
      <c r="AC78" s="232"/>
      <c r="AD78" s="232"/>
      <c r="AE78" s="232"/>
      <c r="AF78" s="232"/>
      <c r="AG78" s="232"/>
      <c r="AH78" s="232"/>
      <c r="AI78" s="232"/>
      <c r="AJ78" s="232"/>
      <c r="AK78" s="232"/>
      <c r="AL78" s="232"/>
      <c r="AM78" s="399"/>
      <c r="AN78" s="399"/>
    </row>
    <row r="79" spans="1:51" s="216" customFormat="1">
      <c r="E79" s="223"/>
      <c r="F79" s="231"/>
      <c r="G79" s="231"/>
      <c r="H79" s="231"/>
      <c r="I79" s="231"/>
      <c r="J79" s="245"/>
      <c r="K79" s="231"/>
      <c r="L79" s="231"/>
      <c r="M79" s="231"/>
      <c r="N79" s="231"/>
      <c r="O79" s="231"/>
      <c r="P79" s="231"/>
      <c r="Q79" s="231"/>
      <c r="R79" s="231"/>
      <c r="S79" s="231"/>
      <c r="T79" s="231"/>
      <c r="U79" s="231"/>
      <c r="V79" s="231"/>
      <c r="W79" s="231"/>
      <c r="X79" s="388"/>
      <c r="Y79" s="413"/>
      <c r="Z79" s="413"/>
      <c r="AA79" s="233"/>
      <c r="AB79" s="233"/>
      <c r="AC79" s="232"/>
      <c r="AD79" s="232"/>
      <c r="AE79" s="232"/>
      <c r="AF79" s="232"/>
      <c r="AG79" s="232"/>
      <c r="AH79" s="232"/>
      <c r="AI79" s="232"/>
      <c r="AJ79" s="232"/>
      <c r="AK79" s="232"/>
      <c r="AL79" s="232"/>
      <c r="AM79" s="399"/>
      <c r="AN79" s="399"/>
    </row>
    <row r="80" spans="1:51">
      <c r="B80" s="225" t="s">
        <v>396</v>
      </c>
      <c r="C80" s="226"/>
      <c r="D80" s="226"/>
      <c r="F80" s="231"/>
      <c r="G80" s="231"/>
      <c r="H80" s="231"/>
      <c r="I80" s="231"/>
      <c r="J80" s="227"/>
      <c r="K80" s="231"/>
      <c r="L80" s="231"/>
      <c r="M80" s="231"/>
      <c r="N80" s="231"/>
      <c r="O80" s="231"/>
      <c r="P80" s="231"/>
      <c r="Q80" s="231"/>
      <c r="R80" s="231"/>
      <c r="S80" s="231"/>
      <c r="T80" s="231"/>
      <c r="U80" s="231"/>
      <c r="V80" s="231"/>
      <c r="W80" s="231"/>
      <c r="X80" s="388"/>
      <c r="Y80" s="414"/>
      <c r="Z80" s="414"/>
      <c r="AA80" s="233"/>
      <c r="AB80" s="233"/>
      <c r="AC80" s="232"/>
      <c r="AD80" s="232"/>
      <c r="AE80" s="232"/>
      <c r="AF80" s="232"/>
      <c r="AG80" s="232"/>
      <c r="AH80" s="232"/>
      <c r="AI80" s="232"/>
      <c r="AJ80" s="232"/>
      <c r="AK80" s="232"/>
      <c r="AL80" s="232"/>
      <c r="AM80" s="399"/>
      <c r="AN80" s="399"/>
    </row>
    <row r="81" spans="1:41">
      <c r="B81" s="225"/>
      <c r="C81" s="226"/>
      <c r="D81" s="226"/>
      <c r="F81" s="231"/>
      <c r="G81" s="231"/>
      <c r="H81" s="231"/>
      <c r="I81" s="231"/>
      <c r="J81" s="227"/>
      <c r="K81" s="231"/>
      <c r="L81" s="231"/>
      <c r="M81" s="231"/>
      <c r="N81" s="231"/>
      <c r="O81" s="231"/>
      <c r="P81" s="231"/>
      <c r="Q81" s="231"/>
      <c r="R81" s="231"/>
      <c r="S81" s="231"/>
      <c r="T81" s="231"/>
      <c r="U81" s="231"/>
      <c r="V81" s="231"/>
      <c r="W81" s="231"/>
      <c r="X81" s="388"/>
      <c r="Y81" s="414"/>
      <c r="Z81" s="414"/>
      <c r="AA81" s="233"/>
      <c r="AB81" s="233"/>
      <c r="AC81" s="232"/>
      <c r="AD81" s="232"/>
      <c r="AE81" s="232"/>
      <c r="AF81" s="232"/>
      <c r="AG81" s="232"/>
      <c r="AH81" s="232"/>
      <c r="AI81" s="232"/>
      <c r="AJ81" s="232"/>
      <c r="AK81" s="232"/>
      <c r="AL81" s="232"/>
      <c r="AM81" s="399"/>
      <c r="AN81" s="399"/>
    </row>
    <row r="82" spans="1:41">
      <c r="B82" s="229" t="s">
        <v>140</v>
      </c>
      <c r="C82" s="226"/>
      <c r="D82" s="226"/>
      <c r="F82" s="231"/>
      <c r="G82" s="231"/>
      <c r="H82" s="231"/>
      <c r="I82" s="231"/>
      <c r="J82" s="227"/>
      <c r="K82" s="231"/>
      <c r="L82" s="231"/>
      <c r="M82" s="231"/>
      <c r="N82" s="231"/>
      <c r="O82" s="231"/>
      <c r="P82" s="231"/>
      <c r="Q82" s="231"/>
      <c r="R82" s="231"/>
      <c r="S82" s="231"/>
      <c r="T82" s="231"/>
      <c r="U82" s="231"/>
      <c r="V82" s="231"/>
      <c r="W82" s="231"/>
      <c r="X82" s="388"/>
      <c r="Y82" s="414"/>
      <c r="Z82" s="414"/>
      <c r="AA82" s="233"/>
      <c r="AB82" s="233"/>
      <c r="AC82" s="232"/>
      <c r="AD82" s="232"/>
      <c r="AE82" s="232"/>
      <c r="AF82" s="232"/>
      <c r="AG82" s="232"/>
      <c r="AH82" s="232"/>
      <c r="AI82" s="232"/>
      <c r="AJ82" s="232"/>
      <c r="AK82" s="232"/>
      <c r="AL82" s="232"/>
      <c r="AM82" s="399"/>
      <c r="AN82" s="399"/>
    </row>
    <row r="83" spans="1:41">
      <c r="A83" s="218" t="str">
        <f>$A$1&amp;"Commercial"&amp;B83</f>
        <v>PIERCE EA UTCCommercialFL001.0YEO001</v>
      </c>
      <c r="B83" s="230" t="s">
        <v>490</v>
      </c>
      <c r="C83" s="230" t="s">
        <v>664</v>
      </c>
      <c r="D83" s="230"/>
      <c r="F83" s="231">
        <v>53.48</v>
      </c>
      <c r="G83" s="231">
        <v>53.96</v>
      </c>
      <c r="H83" s="231">
        <v>53.45</v>
      </c>
      <c r="I83" s="231">
        <v>53.6</v>
      </c>
      <c r="J83" s="231"/>
      <c r="K83" s="231"/>
      <c r="L83" s="231">
        <v>0</v>
      </c>
      <c r="M83" s="231">
        <v>0</v>
      </c>
      <c r="N83" s="231">
        <v>881.35</v>
      </c>
      <c r="O83" s="231">
        <v>863.36</v>
      </c>
      <c r="P83" s="231">
        <v>908.65</v>
      </c>
      <c r="Q83" s="231">
        <v>855.2</v>
      </c>
      <c r="R83" s="231">
        <v>828.48</v>
      </c>
      <c r="S83" s="231">
        <v>857.6</v>
      </c>
      <c r="T83" s="231">
        <v>804</v>
      </c>
      <c r="U83" s="231">
        <v>804</v>
      </c>
      <c r="V83" s="231">
        <v>857.6</v>
      </c>
      <c r="W83" s="231"/>
      <c r="X83" s="388">
        <f t="shared" ref="X83:X114" si="26">SUM(K83:V83)</f>
        <v>7660.2400000000016</v>
      </c>
      <c r="Y83" s="389"/>
      <c r="Z83" s="389"/>
      <c r="AA83" s="233"/>
      <c r="AB83" s="233"/>
      <c r="AC83" s="233">
        <f t="shared" ref="AC83:AC114" si="27">IFERROR(N83/$G83,0)</f>
        <v>16.333395107487028</v>
      </c>
      <c r="AD83" s="233">
        <f t="shared" ref="AD83:AD114" si="28">IFERROR(O83/$G83,0)</f>
        <v>16</v>
      </c>
      <c r="AE83" s="232">
        <f t="shared" ref="AE83:AE114" si="29">IFERROR(P83/$H83,0)</f>
        <v>17</v>
      </c>
      <c r="AF83" s="232">
        <f t="shared" ref="AF83:AF114" si="30">IFERROR(Q83/$H83,0)</f>
        <v>16</v>
      </c>
      <c r="AG83" s="232">
        <f t="shared" ref="AG83:AG114" si="31">IFERROR(R83/$H83,0)</f>
        <v>15.500093545369504</v>
      </c>
      <c r="AH83" s="232">
        <f t="shared" ref="AH83:AH114" si="32">IFERROR(S83/$H83,0)</f>
        <v>16.044901777362021</v>
      </c>
      <c r="AI83" s="232">
        <f t="shared" ref="AI83:AI114" si="33">IFERROR(T83/$H83,0)</f>
        <v>15.042095416276894</v>
      </c>
      <c r="AJ83" s="232">
        <f t="shared" ref="AJ83:AJ114" si="34">IFERROR(U83/$H83,0)</f>
        <v>15.042095416276894</v>
      </c>
      <c r="AK83" s="232">
        <f t="shared" ref="AK83:AK114" si="35">IFERROR(V83/$H83,0)</f>
        <v>16.044901777362021</v>
      </c>
      <c r="AL83" s="232">
        <f>IFERROR(#REF!/$H83,0)</f>
        <v>0</v>
      </c>
      <c r="AM83" s="234">
        <f t="shared" ref="AM83:AM114" si="36">AVERAGE(Z83:AL83)</f>
        <v>14.300748304013435</v>
      </c>
      <c r="AN83" s="234">
        <f t="shared" ref="AN83:AN146" si="37">+SUM(AA83:AK83)</f>
        <v>143.00748304013436</v>
      </c>
      <c r="AO83" s="218" t="str">
        <f>+VLOOKUP($B83,Mapping!$C$31:$C$81,1,FALSE)</f>
        <v>FL001.0YEO001</v>
      </c>
    </row>
    <row r="84" spans="1:41">
      <c r="A84" s="218" t="str">
        <f>$A$1&amp;"Commercial"&amp;B84</f>
        <v>PIERCE EA UTCCommercialFL001.0Y1W001</v>
      </c>
      <c r="B84" s="230" t="s">
        <v>210</v>
      </c>
      <c r="C84" s="230" t="s">
        <v>211</v>
      </c>
      <c r="D84" s="230" t="s">
        <v>397</v>
      </c>
      <c r="E84" s="380">
        <v>33000</v>
      </c>
      <c r="F84" s="231">
        <v>93.63</v>
      </c>
      <c r="G84" s="231">
        <v>94.59</v>
      </c>
      <c r="H84" s="231">
        <v>93.69</v>
      </c>
      <c r="I84" s="231">
        <v>93.94</v>
      </c>
      <c r="J84" s="231"/>
      <c r="K84" s="231"/>
      <c r="L84" s="231">
        <v>0</v>
      </c>
      <c r="M84" s="231">
        <v>0</v>
      </c>
      <c r="N84" s="231">
        <v>737.62</v>
      </c>
      <c r="O84" s="231">
        <v>756.72</v>
      </c>
      <c r="P84" s="231">
        <v>749.52</v>
      </c>
      <c r="Q84" s="231">
        <v>768.26</v>
      </c>
      <c r="R84" s="231">
        <v>866.64</v>
      </c>
      <c r="S84" s="231">
        <v>868.9</v>
      </c>
      <c r="T84" s="231">
        <v>939.4</v>
      </c>
      <c r="U84" s="231">
        <v>939.41</v>
      </c>
      <c r="V84" s="231">
        <v>845.46</v>
      </c>
      <c r="W84" s="231"/>
      <c r="X84" s="388">
        <f t="shared" si="26"/>
        <v>7471.9299999999994</v>
      </c>
      <c r="Y84" s="389"/>
      <c r="Z84" s="389"/>
      <c r="AA84" s="233"/>
      <c r="AB84" s="233"/>
      <c r="AC84" s="233">
        <f t="shared" si="27"/>
        <v>7.7980759065440317</v>
      </c>
      <c r="AD84" s="233">
        <f t="shared" si="28"/>
        <v>8</v>
      </c>
      <c r="AE84" s="232">
        <f t="shared" si="29"/>
        <v>8</v>
      </c>
      <c r="AF84" s="232">
        <f t="shared" si="30"/>
        <v>8.2000213469954097</v>
      </c>
      <c r="AG84" s="232">
        <f t="shared" si="31"/>
        <v>9.2500800512327892</v>
      </c>
      <c r="AH84" s="232">
        <f t="shared" si="32"/>
        <v>9.2742021560465364</v>
      </c>
      <c r="AI84" s="232">
        <f t="shared" si="33"/>
        <v>10.026683744262995</v>
      </c>
      <c r="AJ84" s="232">
        <f t="shared" si="34"/>
        <v>10.026790479240047</v>
      </c>
      <c r="AK84" s="232">
        <f t="shared" si="35"/>
        <v>9.0240153698366967</v>
      </c>
      <c r="AL84" s="232">
        <f>IFERROR(#REF!/$H84,0)</f>
        <v>0</v>
      </c>
      <c r="AM84" s="234">
        <f t="shared" si="36"/>
        <v>7.9599869054158487</v>
      </c>
      <c r="AN84" s="234">
        <f t="shared" si="37"/>
        <v>79.599869054158489</v>
      </c>
      <c r="AO84" s="218" t="str">
        <f>+VLOOKUP($B84,Mapping!$C$31:$C$81,1,FALSE)</f>
        <v>FL001.0Y1W001</v>
      </c>
    </row>
    <row r="85" spans="1:41">
      <c r="A85" s="218" t="str">
        <f>$A$1&amp;"Commercial"&amp;B85</f>
        <v>PIERCE EA UTCCommercialFL001.0Y2W001</v>
      </c>
      <c r="B85" s="230" t="s">
        <v>212</v>
      </c>
      <c r="C85" s="230" t="s">
        <v>213</v>
      </c>
      <c r="D85" s="230" t="s">
        <v>397</v>
      </c>
      <c r="E85" s="380">
        <v>33000</v>
      </c>
      <c r="F85" s="231">
        <v>174.13</v>
      </c>
      <c r="G85" s="231">
        <v>176.03</v>
      </c>
      <c r="H85" s="231">
        <v>174.36</v>
      </c>
      <c r="I85" s="231">
        <v>174.83</v>
      </c>
      <c r="J85" s="231"/>
      <c r="K85" s="231"/>
      <c r="L85" s="231">
        <v>0</v>
      </c>
      <c r="M85" s="231">
        <v>0</v>
      </c>
      <c r="N85" s="231">
        <v>0</v>
      </c>
      <c r="O85" s="231">
        <v>0</v>
      </c>
      <c r="P85" s="231">
        <v>0</v>
      </c>
      <c r="Q85" s="231">
        <v>0</v>
      </c>
      <c r="R85" s="231">
        <v>0</v>
      </c>
      <c r="S85" s="231">
        <v>0</v>
      </c>
      <c r="T85" s="231">
        <v>0</v>
      </c>
      <c r="U85" s="231">
        <v>0</v>
      </c>
      <c r="V85" s="231">
        <v>0</v>
      </c>
      <c r="W85" s="231"/>
      <c r="X85" s="388">
        <f t="shared" si="26"/>
        <v>0</v>
      </c>
      <c r="Y85" s="389"/>
      <c r="Z85" s="389"/>
      <c r="AA85" s="233"/>
      <c r="AB85" s="233"/>
      <c r="AC85" s="233">
        <f t="shared" si="27"/>
        <v>0</v>
      </c>
      <c r="AD85" s="233">
        <f t="shared" si="28"/>
        <v>0</v>
      </c>
      <c r="AE85" s="232">
        <f t="shared" si="29"/>
        <v>0</v>
      </c>
      <c r="AF85" s="232">
        <f t="shared" si="30"/>
        <v>0</v>
      </c>
      <c r="AG85" s="232">
        <f t="shared" si="31"/>
        <v>0</v>
      </c>
      <c r="AH85" s="232">
        <f t="shared" si="32"/>
        <v>0</v>
      </c>
      <c r="AI85" s="232">
        <f t="shared" si="33"/>
        <v>0</v>
      </c>
      <c r="AJ85" s="232">
        <f t="shared" si="34"/>
        <v>0</v>
      </c>
      <c r="AK85" s="232">
        <f t="shared" si="35"/>
        <v>0</v>
      </c>
      <c r="AL85" s="232">
        <f>IFERROR(#REF!/$H85,0)</f>
        <v>0</v>
      </c>
      <c r="AM85" s="234">
        <f t="shared" si="36"/>
        <v>0</v>
      </c>
      <c r="AN85" s="234">
        <f t="shared" si="37"/>
        <v>0</v>
      </c>
      <c r="AO85" s="218" t="str">
        <f>+VLOOKUP($B85,Mapping!$C$31:$C$81,1,FALSE)</f>
        <v>FL001.0Y2W001</v>
      </c>
    </row>
    <row r="86" spans="1:41">
      <c r="A86" s="218" t="str">
        <f>$A$1&amp;"Commercial"&amp;B86</f>
        <v>PIERCE EA UTCCommercialFL001.0Y3W001</v>
      </c>
      <c r="B86" s="230" t="s">
        <v>214</v>
      </c>
      <c r="C86" s="230" t="s">
        <v>215</v>
      </c>
      <c r="D86" s="230" t="s">
        <v>397</v>
      </c>
      <c r="E86" s="380">
        <v>33000</v>
      </c>
      <c r="F86" s="231">
        <v>254.62</v>
      </c>
      <c r="G86" s="231">
        <v>257.48</v>
      </c>
      <c r="H86" s="231">
        <v>255.02</v>
      </c>
      <c r="I86" s="231">
        <v>255.71</v>
      </c>
      <c r="J86" s="231"/>
      <c r="K86" s="231"/>
      <c r="L86" s="231">
        <v>0</v>
      </c>
      <c r="M86" s="231">
        <v>0</v>
      </c>
      <c r="N86" s="231">
        <v>0</v>
      </c>
      <c r="O86" s="231">
        <v>0</v>
      </c>
      <c r="P86" s="231">
        <v>0</v>
      </c>
      <c r="Q86" s="231">
        <v>0</v>
      </c>
      <c r="R86" s="231">
        <v>0</v>
      </c>
      <c r="S86" s="231">
        <v>0</v>
      </c>
      <c r="T86" s="231">
        <v>0</v>
      </c>
      <c r="U86" s="231">
        <v>0</v>
      </c>
      <c r="V86" s="231">
        <v>0</v>
      </c>
      <c r="W86" s="231"/>
      <c r="X86" s="388">
        <f t="shared" si="26"/>
        <v>0</v>
      </c>
      <c r="Y86" s="389"/>
      <c r="Z86" s="389"/>
      <c r="AA86" s="233"/>
      <c r="AB86" s="233"/>
      <c r="AC86" s="233">
        <f t="shared" si="27"/>
        <v>0</v>
      </c>
      <c r="AD86" s="233">
        <f t="shared" si="28"/>
        <v>0</v>
      </c>
      <c r="AE86" s="232">
        <f t="shared" si="29"/>
        <v>0</v>
      </c>
      <c r="AF86" s="232">
        <f t="shared" si="30"/>
        <v>0</v>
      </c>
      <c r="AG86" s="232">
        <f t="shared" si="31"/>
        <v>0</v>
      </c>
      <c r="AH86" s="232">
        <f t="shared" si="32"/>
        <v>0</v>
      </c>
      <c r="AI86" s="232">
        <f t="shared" si="33"/>
        <v>0</v>
      </c>
      <c r="AJ86" s="232">
        <f t="shared" si="34"/>
        <v>0</v>
      </c>
      <c r="AK86" s="232">
        <f t="shared" si="35"/>
        <v>0</v>
      </c>
      <c r="AL86" s="232">
        <f>IFERROR(#REF!/$H86,0)</f>
        <v>0</v>
      </c>
      <c r="AM86" s="234">
        <f t="shared" si="36"/>
        <v>0</v>
      </c>
      <c r="AN86" s="234">
        <f t="shared" si="37"/>
        <v>0</v>
      </c>
      <c r="AO86" s="218" t="str">
        <f>+VLOOKUP($B86,Mapping!$C$31:$C$81,1,FALSE)</f>
        <v>FL001.0Y3W001</v>
      </c>
    </row>
    <row r="87" spans="1:41">
      <c r="A87" s="218" t="str">
        <f>$A$1&amp;"Commercial"&amp;B87</f>
        <v>PIERCE EA UTCCommercialFL001.5Y1W001</v>
      </c>
      <c r="B87" s="230" t="s">
        <v>216</v>
      </c>
      <c r="C87" s="230" t="s">
        <v>217</v>
      </c>
      <c r="D87" s="230" t="s">
        <v>397</v>
      </c>
      <c r="E87" s="380">
        <v>33000</v>
      </c>
      <c r="F87" s="231">
        <v>128.24</v>
      </c>
      <c r="G87" s="231">
        <v>129.58000000000001</v>
      </c>
      <c r="H87" s="231">
        <v>128.37</v>
      </c>
      <c r="I87" s="231">
        <v>128.72</v>
      </c>
      <c r="J87" s="231"/>
      <c r="K87" s="231"/>
      <c r="L87" s="231">
        <v>0</v>
      </c>
      <c r="M87" s="231">
        <v>0</v>
      </c>
      <c r="N87" s="231">
        <v>388.74</v>
      </c>
      <c r="O87" s="231">
        <v>388.74</v>
      </c>
      <c r="P87" s="231">
        <v>385.11</v>
      </c>
      <c r="Q87" s="231">
        <v>385.11</v>
      </c>
      <c r="R87" s="231">
        <v>706.04</v>
      </c>
      <c r="S87" s="231">
        <v>952.53</v>
      </c>
      <c r="T87" s="231">
        <v>997.58</v>
      </c>
      <c r="U87" s="231">
        <v>836.68</v>
      </c>
      <c r="V87" s="231">
        <v>643.6</v>
      </c>
      <c r="W87" s="231"/>
      <c r="X87" s="388">
        <f t="shared" si="26"/>
        <v>5684.130000000001</v>
      </c>
      <c r="Y87" s="389"/>
      <c r="Z87" s="389"/>
      <c r="AA87" s="233"/>
      <c r="AB87" s="233"/>
      <c r="AC87" s="233">
        <f t="shared" si="27"/>
        <v>3</v>
      </c>
      <c r="AD87" s="233">
        <f t="shared" si="28"/>
        <v>3</v>
      </c>
      <c r="AE87" s="232">
        <f t="shared" si="29"/>
        <v>3</v>
      </c>
      <c r="AF87" s="232">
        <f t="shared" si="30"/>
        <v>3</v>
      </c>
      <c r="AG87" s="232">
        <f t="shared" si="31"/>
        <v>5.5000389499104143</v>
      </c>
      <c r="AH87" s="232">
        <f t="shared" si="32"/>
        <v>7.4201916335592424</v>
      </c>
      <c r="AI87" s="232">
        <f t="shared" si="33"/>
        <v>7.7711303264002494</v>
      </c>
      <c r="AJ87" s="232">
        <f t="shared" si="34"/>
        <v>6.5177222092389178</v>
      </c>
      <c r="AK87" s="232">
        <f t="shared" si="35"/>
        <v>5.013632468645322</v>
      </c>
      <c r="AL87" s="232">
        <f>IFERROR(#REF!/$H87,0)</f>
        <v>0</v>
      </c>
      <c r="AM87" s="234">
        <f t="shared" si="36"/>
        <v>4.4222715587754147</v>
      </c>
      <c r="AN87" s="234">
        <f t="shared" si="37"/>
        <v>44.222715587754145</v>
      </c>
      <c r="AO87" s="218" t="str">
        <f>+VLOOKUP($B87,Mapping!$C$31:$C$81,1,FALSE)</f>
        <v>FL001.5Y1W001</v>
      </c>
    </row>
    <row r="88" spans="1:41">
      <c r="A88" s="218" t="str">
        <f>$A$1&amp;"Commercial"&amp;B88</f>
        <v>PIERCE EA UTCCommercialFL001.5Y2W001</v>
      </c>
      <c r="B88" s="230" t="s">
        <v>218</v>
      </c>
      <c r="C88" s="230" t="s">
        <v>219</v>
      </c>
      <c r="D88" s="230" t="s">
        <v>397</v>
      </c>
      <c r="E88" s="380">
        <v>33000</v>
      </c>
      <c r="F88" s="231">
        <v>238.52</v>
      </c>
      <c r="G88" s="231">
        <v>241.2</v>
      </c>
      <c r="H88" s="231">
        <v>238.96</v>
      </c>
      <c r="I88" s="231">
        <v>239.61</v>
      </c>
      <c r="J88" s="231"/>
      <c r="K88" s="231"/>
      <c r="L88" s="231">
        <v>0</v>
      </c>
      <c r="M88" s="231">
        <v>0</v>
      </c>
      <c r="N88" s="231">
        <v>0</v>
      </c>
      <c r="O88" s="231">
        <v>0</v>
      </c>
      <c r="P88" s="231">
        <v>0</v>
      </c>
      <c r="Q88" s="231">
        <v>0</v>
      </c>
      <c r="R88" s="231">
        <v>0</v>
      </c>
      <c r="S88" s="231">
        <v>0</v>
      </c>
      <c r="T88" s="231">
        <v>0</v>
      </c>
      <c r="U88" s="231">
        <v>0</v>
      </c>
      <c r="V88" s="231">
        <v>0</v>
      </c>
      <c r="W88" s="231"/>
      <c r="X88" s="388">
        <f t="shared" si="26"/>
        <v>0</v>
      </c>
      <c r="Y88" s="389"/>
      <c r="Z88" s="389"/>
      <c r="AA88" s="233"/>
      <c r="AB88" s="233"/>
      <c r="AC88" s="233">
        <f t="shared" si="27"/>
        <v>0</v>
      </c>
      <c r="AD88" s="233">
        <f t="shared" si="28"/>
        <v>0</v>
      </c>
      <c r="AE88" s="232">
        <f t="shared" si="29"/>
        <v>0</v>
      </c>
      <c r="AF88" s="232">
        <f t="shared" si="30"/>
        <v>0</v>
      </c>
      <c r="AG88" s="232">
        <f t="shared" si="31"/>
        <v>0</v>
      </c>
      <c r="AH88" s="232">
        <f t="shared" si="32"/>
        <v>0</v>
      </c>
      <c r="AI88" s="232">
        <f t="shared" si="33"/>
        <v>0</v>
      </c>
      <c r="AJ88" s="232">
        <f t="shared" si="34"/>
        <v>0</v>
      </c>
      <c r="AK88" s="232">
        <f t="shared" si="35"/>
        <v>0</v>
      </c>
      <c r="AL88" s="232">
        <f>IFERROR(#REF!/$H88,0)</f>
        <v>0</v>
      </c>
      <c r="AM88" s="234">
        <f t="shared" si="36"/>
        <v>0</v>
      </c>
      <c r="AN88" s="234">
        <f t="shared" si="37"/>
        <v>0</v>
      </c>
      <c r="AO88" s="218" t="str">
        <f>+VLOOKUP($B88,Mapping!$C$31:$C$81,1,FALSE)</f>
        <v>FL001.5Y2W001</v>
      </c>
    </row>
    <row r="89" spans="1:41">
      <c r="A89" s="218" t="str">
        <f>$A$1&amp;"Commercial"&amp;B89</f>
        <v>PIERCE EA UTCCommercialFL001.5Y3W001</v>
      </c>
      <c r="B89" s="230" t="s">
        <v>220</v>
      </c>
      <c r="C89" s="230" t="s">
        <v>221</v>
      </c>
      <c r="D89" s="230" t="s">
        <v>397</v>
      </c>
      <c r="E89" s="380">
        <v>33000</v>
      </c>
      <c r="F89" s="231">
        <v>348.81</v>
      </c>
      <c r="G89" s="231">
        <v>352.83</v>
      </c>
      <c r="H89" s="231">
        <v>349.54</v>
      </c>
      <c r="I89" s="231">
        <v>350.5</v>
      </c>
      <c r="J89" s="231"/>
      <c r="K89" s="231"/>
      <c r="L89" s="231">
        <v>0</v>
      </c>
      <c r="M89" s="231">
        <v>0</v>
      </c>
      <c r="N89" s="231">
        <v>0</v>
      </c>
      <c r="O89" s="231">
        <v>0</v>
      </c>
      <c r="P89" s="231">
        <v>0</v>
      </c>
      <c r="Q89" s="231">
        <v>0</v>
      </c>
      <c r="R89" s="231">
        <v>0</v>
      </c>
      <c r="S89" s="231">
        <v>0</v>
      </c>
      <c r="T89" s="231">
        <v>0</v>
      </c>
      <c r="U89" s="231">
        <v>0</v>
      </c>
      <c r="V89" s="231">
        <v>0</v>
      </c>
      <c r="W89" s="231"/>
      <c r="X89" s="388">
        <f t="shared" si="26"/>
        <v>0</v>
      </c>
      <c r="Y89" s="389"/>
      <c r="Z89" s="389"/>
      <c r="AA89" s="233"/>
      <c r="AB89" s="233"/>
      <c r="AC89" s="233">
        <f t="shared" si="27"/>
        <v>0</v>
      </c>
      <c r="AD89" s="233">
        <f t="shared" si="28"/>
        <v>0</v>
      </c>
      <c r="AE89" s="232">
        <f t="shared" si="29"/>
        <v>0</v>
      </c>
      <c r="AF89" s="232">
        <f t="shared" si="30"/>
        <v>0</v>
      </c>
      <c r="AG89" s="232">
        <f t="shared" si="31"/>
        <v>0</v>
      </c>
      <c r="AH89" s="232">
        <f t="shared" si="32"/>
        <v>0</v>
      </c>
      <c r="AI89" s="232">
        <f t="shared" si="33"/>
        <v>0</v>
      </c>
      <c r="AJ89" s="232">
        <f t="shared" si="34"/>
        <v>0</v>
      </c>
      <c r="AK89" s="232">
        <f t="shared" si="35"/>
        <v>0</v>
      </c>
      <c r="AL89" s="232">
        <f>IFERROR(#REF!/$H89,0)</f>
        <v>0</v>
      </c>
      <c r="AM89" s="234">
        <f t="shared" si="36"/>
        <v>0</v>
      </c>
      <c r="AN89" s="234">
        <f t="shared" si="37"/>
        <v>0</v>
      </c>
      <c r="AO89" s="218" t="str">
        <f>+VLOOKUP($B89,Mapping!$C$31:$C$81,1,FALSE)</f>
        <v>FL001.5Y3W001</v>
      </c>
    </row>
    <row r="90" spans="1:41">
      <c r="A90" s="218" t="str">
        <f>$A$1&amp;"Commercial"&amp;B90</f>
        <v>PIERCE EA UTCCommercialFL002.0Y1W001</v>
      </c>
      <c r="B90" s="230" t="s">
        <v>222</v>
      </c>
      <c r="C90" s="230" t="s">
        <v>223</v>
      </c>
      <c r="D90" s="230" t="s">
        <v>397</v>
      </c>
      <c r="E90" s="380">
        <v>33000</v>
      </c>
      <c r="F90" s="231">
        <v>164.24</v>
      </c>
      <c r="G90" s="231">
        <v>165.97</v>
      </c>
      <c r="H90" s="231">
        <v>164.4</v>
      </c>
      <c r="I90" s="231">
        <v>164.85</v>
      </c>
      <c r="J90" s="231"/>
      <c r="K90" s="231"/>
      <c r="L90" s="231">
        <v>0</v>
      </c>
      <c r="M90" s="231">
        <v>0</v>
      </c>
      <c r="N90" s="231">
        <v>3350.92</v>
      </c>
      <c r="O90" s="231">
        <v>2024.82</v>
      </c>
      <c r="P90" s="231">
        <v>1724.6299999999999</v>
      </c>
      <c r="Q90" s="231">
        <v>2860.56</v>
      </c>
      <c r="R90" s="231">
        <v>3904.5</v>
      </c>
      <c r="S90" s="231">
        <v>4582.1099999999997</v>
      </c>
      <c r="T90" s="231">
        <v>4835.6000000000004</v>
      </c>
      <c r="U90" s="231">
        <v>4657.01</v>
      </c>
      <c r="V90" s="231">
        <v>3824.5200000000004</v>
      </c>
      <c r="W90" s="231"/>
      <c r="X90" s="388">
        <f t="shared" si="26"/>
        <v>31764.670000000002</v>
      </c>
      <c r="Y90" s="389"/>
      <c r="Z90" s="389"/>
      <c r="AA90" s="233"/>
      <c r="AB90" s="233"/>
      <c r="AC90" s="233">
        <f t="shared" si="27"/>
        <v>20.189913839850576</v>
      </c>
      <c r="AD90" s="233">
        <f t="shared" si="28"/>
        <v>12.199915647406158</v>
      </c>
      <c r="AE90" s="232">
        <f t="shared" si="29"/>
        <v>10.490450121654501</v>
      </c>
      <c r="AF90" s="232">
        <f t="shared" si="30"/>
        <v>17.399999999999999</v>
      </c>
      <c r="AG90" s="232">
        <f t="shared" si="31"/>
        <v>23.75</v>
      </c>
      <c r="AH90" s="232">
        <f t="shared" si="32"/>
        <v>27.87171532846715</v>
      </c>
      <c r="AI90" s="232">
        <f t="shared" si="33"/>
        <v>29.413625304136254</v>
      </c>
      <c r="AJ90" s="232">
        <f t="shared" si="34"/>
        <v>28.327311435523114</v>
      </c>
      <c r="AK90" s="232">
        <f t="shared" si="35"/>
        <v>23.263503649635037</v>
      </c>
      <c r="AL90" s="232">
        <f>IFERROR(#REF!/$H90,0)</f>
        <v>0</v>
      </c>
      <c r="AM90" s="234">
        <f t="shared" si="36"/>
        <v>19.290643532667278</v>
      </c>
      <c r="AN90" s="234">
        <f t="shared" si="37"/>
        <v>192.90643532667278</v>
      </c>
      <c r="AO90" s="218" t="str">
        <f>+VLOOKUP($B90,Mapping!$C$31:$C$81,1,FALSE)</f>
        <v>FL002.0Y1W001</v>
      </c>
    </row>
    <row r="91" spans="1:41">
      <c r="A91" s="218" t="str">
        <f>$A$1&amp;"Commercial"&amp;B91</f>
        <v>PIERCE EA UTCCommercialFL002.0Y2W001</v>
      </c>
      <c r="B91" s="230" t="s">
        <v>224</v>
      </c>
      <c r="C91" s="230" t="s">
        <v>225</v>
      </c>
      <c r="D91" s="230" t="s">
        <v>397</v>
      </c>
      <c r="E91" s="380">
        <v>33000</v>
      </c>
      <c r="F91" s="231">
        <v>309.47000000000003</v>
      </c>
      <c r="G91" s="231">
        <v>312.93</v>
      </c>
      <c r="H91" s="231">
        <v>309.98</v>
      </c>
      <c r="I91" s="231">
        <v>310.82</v>
      </c>
      <c r="J91" s="231"/>
      <c r="K91" s="231"/>
      <c r="L91" s="231">
        <v>0</v>
      </c>
      <c r="M91" s="231">
        <v>0</v>
      </c>
      <c r="N91" s="231">
        <v>0</v>
      </c>
      <c r="O91" s="231">
        <v>0</v>
      </c>
      <c r="P91" s="231">
        <v>0</v>
      </c>
      <c r="Q91" s="231">
        <v>0</v>
      </c>
      <c r="R91" s="231">
        <v>0</v>
      </c>
      <c r="S91" s="231">
        <v>0</v>
      </c>
      <c r="T91" s="231">
        <v>0</v>
      </c>
      <c r="U91" s="231">
        <v>0</v>
      </c>
      <c r="V91" s="231">
        <v>0</v>
      </c>
      <c r="W91" s="231"/>
      <c r="X91" s="388">
        <f t="shared" si="26"/>
        <v>0</v>
      </c>
      <c r="Y91" s="389"/>
      <c r="Z91" s="389"/>
      <c r="AA91" s="233"/>
      <c r="AB91" s="233"/>
      <c r="AC91" s="233">
        <f t="shared" si="27"/>
        <v>0</v>
      </c>
      <c r="AD91" s="233">
        <f t="shared" si="28"/>
        <v>0</v>
      </c>
      <c r="AE91" s="232">
        <f t="shared" si="29"/>
        <v>0</v>
      </c>
      <c r="AF91" s="232">
        <f t="shared" si="30"/>
        <v>0</v>
      </c>
      <c r="AG91" s="232">
        <f t="shared" si="31"/>
        <v>0</v>
      </c>
      <c r="AH91" s="232">
        <f t="shared" si="32"/>
        <v>0</v>
      </c>
      <c r="AI91" s="232">
        <f t="shared" si="33"/>
        <v>0</v>
      </c>
      <c r="AJ91" s="232">
        <f t="shared" si="34"/>
        <v>0</v>
      </c>
      <c r="AK91" s="232">
        <f t="shared" si="35"/>
        <v>0</v>
      </c>
      <c r="AL91" s="232">
        <f>IFERROR(#REF!/$H91,0)</f>
        <v>0</v>
      </c>
      <c r="AM91" s="234">
        <f t="shared" si="36"/>
        <v>0</v>
      </c>
      <c r="AN91" s="234">
        <f t="shared" si="37"/>
        <v>0</v>
      </c>
      <c r="AO91" s="218" t="str">
        <f>+VLOOKUP($B91,Mapping!$C$31:$C$81,1,FALSE)</f>
        <v>FL002.0Y2W001</v>
      </c>
    </row>
    <row r="92" spans="1:41">
      <c r="A92" s="218" t="str">
        <f>$A$1&amp;"Commercial"&amp;B92</f>
        <v>PIERCE EA UTCCommercialFL002.0Y3W001</v>
      </c>
      <c r="B92" s="230" t="s">
        <v>226</v>
      </c>
      <c r="C92" s="230" t="s">
        <v>227</v>
      </c>
      <c r="D92" s="230" t="s">
        <v>397</v>
      </c>
      <c r="E92" s="380">
        <v>33000</v>
      </c>
      <c r="F92" s="231">
        <v>454.69</v>
      </c>
      <c r="G92" s="231">
        <v>459.89</v>
      </c>
      <c r="H92" s="231">
        <v>455.55</v>
      </c>
      <c r="I92" s="231">
        <v>456.78</v>
      </c>
      <c r="J92" s="231"/>
      <c r="K92" s="231"/>
      <c r="L92" s="231">
        <v>0</v>
      </c>
      <c r="M92" s="231">
        <v>0</v>
      </c>
      <c r="N92" s="231">
        <v>0</v>
      </c>
      <c r="O92" s="231">
        <v>0</v>
      </c>
      <c r="P92" s="231">
        <v>0</v>
      </c>
      <c r="Q92" s="231">
        <v>0</v>
      </c>
      <c r="R92" s="231">
        <v>0</v>
      </c>
      <c r="S92" s="231">
        <v>0</v>
      </c>
      <c r="T92" s="231">
        <v>0</v>
      </c>
      <c r="U92" s="231">
        <v>0</v>
      </c>
      <c r="V92" s="231">
        <v>0</v>
      </c>
      <c r="W92" s="231"/>
      <c r="X92" s="388">
        <f t="shared" si="26"/>
        <v>0</v>
      </c>
      <c r="Y92" s="389"/>
      <c r="Z92" s="389"/>
      <c r="AA92" s="233"/>
      <c r="AB92" s="233"/>
      <c r="AC92" s="233">
        <f t="shared" si="27"/>
        <v>0</v>
      </c>
      <c r="AD92" s="233">
        <f t="shared" si="28"/>
        <v>0</v>
      </c>
      <c r="AE92" s="232">
        <f t="shared" si="29"/>
        <v>0</v>
      </c>
      <c r="AF92" s="232">
        <f t="shared" si="30"/>
        <v>0</v>
      </c>
      <c r="AG92" s="232">
        <f t="shared" si="31"/>
        <v>0</v>
      </c>
      <c r="AH92" s="232">
        <f t="shared" si="32"/>
        <v>0</v>
      </c>
      <c r="AI92" s="232">
        <f t="shared" si="33"/>
        <v>0</v>
      </c>
      <c r="AJ92" s="232">
        <f t="shared" si="34"/>
        <v>0</v>
      </c>
      <c r="AK92" s="232">
        <f t="shared" si="35"/>
        <v>0</v>
      </c>
      <c r="AL92" s="232">
        <f>IFERROR(#REF!/$H92,0)</f>
        <v>0</v>
      </c>
      <c r="AM92" s="234">
        <f t="shared" si="36"/>
        <v>0</v>
      </c>
      <c r="AN92" s="234">
        <f t="shared" si="37"/>
        <v>0</v>
      </c>
      <c r="AO92" s="218" t="str">
        <f>+VLOOKUP($B92,Mapping!$C$31:$C$81,1,FALSE)</f>
        <v>FL002.0Y3W001</v>
      </c>
    </row>
    <row r="93" spans="1:41">
      <c r="A93" s="218" t="str">
        <f>$A$1&amp;"Commercial"&amp;B93</f>
        <v>PIERCE EA UTCCommercialFL003.0Y1W001</v>
      </c>
      <c r="B93" s="230" t="s">
        <v>228</v>
      </c>
      <c r="C93" s="230" t="s">
        <v>229</v>
      </c>
      <c r="D93" s="230" t="s">
        <v>397</v>
      </c>
      <c r="E93" s="380">
        <v>33000</v>
      </c>
      <c r="F93" s="231">
        <v>229.55</v>
      </c>
      <c r="G93" s="231">
        <v>232.11</v>
      </c>
      <c r="H93" s="231">
        <v>229.94</v>
      </c>
      <c r="I93" s="231">
        <v>230.57</v>
      </c>
      <c r="J93" s="231"/>
      <c r="K93" s="231"/>
      <c r="L93" s="231">
        <v>0</v>
      </c>
      <c r="M93" s="231">
        <v>0</v>
      </c>
      <c r="N93" s="231">
        <v>0</v>
      </c>
      <c r="O93" s="231">
        <v>0</v>
      </c>
      <c r="P93" s="231">
        <v>0</v>
      </c>
      <c r="Q93" s="231">
        <v>0</v>
      </c>
      <c r="R93" s="231">
        <v>0</v>
      </c>
      <c r="S93" s="231">
        <v>0</v>
      </c>
      <c r="T93" s="231">
        <v>0</v>
      </c>
      <c r="U93" s="231">
        <v>0</v>
      </c>
      <c r="V93" s="231">
        <v>0</v>
      </c>
      <c r="W93" s="231"/>
      <c r="X93" s="388">
        <f t="shared" si="26"/>
        <v>0</v>
      </c>
      <c r="Y93" s="389"/>
      <c r="Z93" s="389"/>
      <c r="AA93" s="233"/>
      <c r="AB93" s="233"/>
      <c r="AC93" s="233">
        <f t="shared" si="27"/>
        <v>0</v>
      </c>
      <c r="AD93" s="233">
        <f t="shared" si="28"/>
        <v>0</v>
      </c>
      <c r="AE93" s="232">
        <f t="shared" si="29"/>
        <v>0</v>
      </c>
      <c r="AF93" s="232">
        <f t="shared" si="30"/>
        <v>0</v>
      </c>
      <c r="AG93" s="232">
        <f t="shared" si="31"/>
        <v>0</v>
      </c>
      <c r="AH93" s="232">
        <f t="shared" si="32"/>
        <v>0</v>
      </c>
      <c r="AI93" s="232">
        <f t="shared" si="33"/>
        <v>0</v>
      </c>
      <c r="AJ93" s="232">
        <f t="shared" si="34"/>
        <v>0</v>
      </c>
      <c r="AK93" s="232">
        <f t="shared" si="35"/>
        <v>0</v>
      </c>
      <c r="AL93" s="232">
        <f>IFERROR(#REF!/$H93,0)</f>
        <v>0</v>
      </c>
      <c r="AM93" s="234">
        <f t="shared" si="36"/>
        <v>0</v>
      </c>
      <c r="AN93" s="234">
        <f t="shared" si="37"/>
        <v>0</v>
      </c>
      <c r="AO93" s="218" t="str">
        <f>+VLOOKUP($B93,Mapping!$C$31:$C$81,1,FALSE)</f>
        <v>FL003.0Y1W001</v>
      </c>
    </row>
    <row r="94" spans="1:41">
      <c r="A94" s="218" t="str">
        <f>$A$1&amp;"Commercial"&amp;B94</f>
        <v>PIERCE EA UTCCommercialFL003.0Y2W001</v>
      </c>
      <c r="B94" s="230" t="s">
        <v>230</v>
      </c>
      <c r="C94" s="230" t="s">
        <v>231</v>
      </c>
      <c r="D94" s="230" t="s">
        <v>397</v>
      </c>
      <c r="E94" s="380">
        <v>33000</v>
      </c>
      <c r="F94" s="231">
        <v>435.36</v>
      </c>
      <c r="G94" s="231">
        <v>440.47</v>
      </c>
      <c r="H94" s="231">
        <v>436.35</v>
      </c>
      <c r="I94" s="231">
        <v>437.55</v>
      </c>
      <c r="J94" s="231"/>
      <c r="K94" s="231"/>
      <c r="L94" s="231">
        <v>0</v>
      </c>
      <c r="M94" s="231">
        <v>0</v>
      </c>
      <c r="N94" s="231">
        <v>0</v>
      </c>
      <c r="O94" s="231">
        <v>0</v>
      </c>
      <c r="P94" s="231">
        <v>0</v>
      </c>
      <c r="Q94" s="231">
        <v>0</v>
      </c>
      <c r="R94" s="231">
        <v>0</v>
      </c>
      <c r="S94" s="231">
        <v>0</v>
      </c>
      <c r="T94" s="231">
        <v>0</v>
      </c>
      <c r="U94" s="231">
        <v>0</v>
      </c>
      <c r="V94" s="231">
        <v>0</v>
      </c>
      <c r="W94" s="231"/>
      <c r="X94" s="388">
        <f t="shared" si="26"/>
        <v>0</v>
      </c>
      <c r="Y94" s="389"/>
      <c r="Z94" s="389"/>
      <c r="AA94" s="233"/>
      <c r="AB94" s="233"/>
      <c r="AC94" s="233">
        <f t="shared" si="27"/>
        <v>0</v>
      </c>
      <c r="AD94" s="233">
        <f t="shared" si="28"/>
        <v>0</v>
      </c>
      <c r="AE94" s="232">
        <f t="shared" si="29"/>
        <v>0</v>
      </c>
      <c r="AF94" s="232">
        <f t="shared" si="30"/>
        <v>0</v>
      </c>
      <c r="AG94" s="232">
        <f t="shared" si="31"/>
        <v>0</v>
      </c>
      <c r="AH94" s="232">
        <f t="shared" si="32"/>
        <v>0</v>
      </c>
      <c r="AI94" s="232">
        <f t="shared" si="33"/>
        <v>0</v>
      </c>
      <c r="AJ94" s="232">
        <f t="shared" si="34"/>
        <v>0</v>
      </c>
      <c r="AK94" s="232">
        <f t="shared" si="35"/>
        <v>0</v>
      </c>
      <c r="AL94" s="232">
        <f>IFERROR(#REF!/$H94,0)</f>
        <v>0</v>
      </c>
      <c r="AM94" s="234">
        <f t="shared" si="36"/>
        <v>0</v>
      </c>
      <c r="AN94" s="234">
        <f t="shared" si="37"/>
        <v>0</v>
      </c>
      <c r="AO94" s="218" t="str">
        <f>+VLOOKUP($B94,Mapping!$C$31:$C$81,1,FALSE)</f>
        <v>FL003.0Y2W001</v>
      </c>
    </row>
    <row r="95" spans="1:41">
      <c r="A95" s="218" t="str">
        <f>$A$1&amp;"Commercial"&amp;B95</f>
        <v>PIERCE EA UTCCommercialFL003.0Y3W001</v>
      </c>
      <c r="B95" s="230" t="s">
        <v>232</v>
      </c>
      <c r="C95" s="230" t="s">
        <v>233</v>
      </c>
      <c r="D95" s="230" t="s">
        <v>397</v>
      </c>
      <c r="E95" s="380">
        <v>33000</v>
      </c>
      <c r="F95" s="231">
        <v>641.16</v>
      </c>
      <c r="G95" s="231">
        <v>648.83000000000004</v>
      </c>
      <c r="H95" s="231">
        <v>642.76</v>
      </c>
      <c r="I95" s="231">
        <v>644.52</v>
      </c>
      <c r="J95" s="231"/>
      <c r="K95" s="231"/>
      <c r="L95" s="231">
        <v>0</v>
      </c>
      <c r="M95" s="231">
        <v>0</v>
      </c>
      <c r="N95" s="231">
        <v>0</v>
      </c>
      <c r="O95" s="231">
        <v>0</v>
      </c>
      <c r="P95" s="231">
        <v>0</v>
      </c>
      <c r="Q95" s="231">
        <v>0</v>
      </c>
      <c r="R95" s="231">
        <v>0</v>
      </c>
      <c r="S95" s="231">
        <v>0</v>
      </c>
      <c r="T95" s="231">
        <v>0</v>
      </c>
      <c r="U95" s="231">
        <v>0</v>
      </c>
      <c r="V95" s="231">
        <v>0</v>
      </c>
      <c r="W95" s="231"/>
      <c r="X95" s="388">
        <f t="shared" si="26"/>
        <v>0</v>
      </c>
      <c r="Y95" s="389"/>
      <c r="Z95" s="389"/>
      <c r="AA95" s="233"/>
      <c r="AB95" s="233"/>
      <c r="AC95" s="233">
        <f t="shared" si="27"/>
        <v>0</v>
      </c>
      <c r="AD95" s="233">
        <f t="shared" si="28"/>
        <v>0</v>
      </c>
      <c r="AE95" s="232">
        <f t="shared" si="29"/>
        <v>0</v>
      </c>
      <c r="AF95" s="232">
        <f t="shared" si="30"/>
        <v>0</v>
      </c>
      <c r="AG95" s="232">
        <f t="shared" si="31"/>
        <v>0</v>
      </c>
      <c r="AH95" s="232">
        <f t="shared" si="32"/>
        <v>0</v>
      </c>
      <c r="AI95" s="232">
        <f t="shared" si="33"/>
        <v>0</v>
      </c>
      <c r="AJ95" s="232">
        <f t="shared" si="34"/>
        <v>0</v>
      </c>
      <c r="AK95" s="232">
        <f t="shared" si="35"/>
        <v>0</v>
      </c>
      <c r="AL95" s="232">
        <f>IFERROR(#REF!/$H95,0)</f>
        <v>0</v>
      </c>
      <c r="AM95" s="234">
        <f t="shared" si="36"/>
        <v>0</v>
      </c>
      <c r="AN95" s="234">
        <f t="shared" si="37"/>
        <v>0</v>
      </c>
      <c r="AO95" s="218" t="str">
        <f>+VLOOKUP($B95,Mapping!$C$31:$C$81,1,FALSE)</f>
        <v>FL003.0Y3W001</v>
      </c>
    </row>
    <row r="96" spans="1:41">
      <c r="A96" s="218" t="str">
        <f>$A$1&amp;"Commercial"&amp;B96</f>
        <v>PIERCE EA UTCCommercialFL003.0Y4W001</v>
      </c>
      <c r="B96" s="230" t="s">
        <v>491</v>
      </c>
      <c r="C96" s="230" t="s">
        <v>762</v>
      </c>
      <c r="D96" s="230"/>
      <c r="F96" s="231">
        <v>846.97</v>
      </c>
      <c r="G96" s="231">
        <v>857.19</v>
      </c>
      <c r="H96" s="231">
        <v>849.17</v>
      </c>
      <c r="I96" s="231">
        <v>851.5</v>
      </c>
      <c r="J96" s="231"/>
      <c r="K96" s="231"/>
      <c r="L96" s="231">
        <v>0</v>
      </c>
      <c r="M96" s="231">
        <v>0</v>
      </c>
      <c r="N96" s="231">
        <v>0</v>
      </c>
      <c r="O96" s="231">
        <v>0</v>
      </c>
      <c r="P96" s="231">
        <v>0</v>
      </c>
      <c r="Q96" s="231">
        <v>0</v>
      </c>
      <c r="R96" s="231">
        <v>0</v>
      </c>
      <c r="S96" s="231">
        <v>0</v>
      </c>
      <c r="T96" s="231">
        <v>0</v>
      </c>
      <c r="U96" s="231">
        <v>0</v>
      </c>
      <c r="V96" s="231">
        <v>0</v>
      </c>
      <c r="W96" s="231"/>
      <c r="X96" s="388">
        <f t="shared" si="26"/>
        <v>0</v>
      </c>
      <c r="Y96" s="389"/>
      <c r="Z96" s="389"/>
      <c r="AA96" s="233"/>
      <c r="AB96" s="233"/>
      <c r="AC96" s="233">
        <f t="shared" si="27"/>
        <v>0</v>
      </c>
      <c r="AD96" s="233">
        <f t="shared" si="28"/>
        <v>0</v>
      </c>
      <c r="AE96" s="232">
        <f t="shared" si="29"/>
        <v>0</v>
      </c>
      <c r="AF96" s="232">
        <f t="shared" si="30"/>
        <v>0</v>
      </c>
      <c r="AG96" s="232">
        <f t="shared" si="31"/>
        <v>0</v>
      </c>
      <c r="AH96" s="232">
        <f t="shared" si="32"/>
        <v>0</v>
      </c>
      <c r="AI96" s="232">
        <f t="shared" si="33"/>
        <v>0</v>
      </c>
      <c r="AJ96" s="232">
        <f t="shared" si="34"/>
        <v>0</v>
      </c>
      <c r="AK96" s="232">
        <f t="shared" si="35"/>
        <v>0</v>
      </c>
      <c r="AL96" s="232">
        <f>IFERROR(#REF!/$H96,0)</f>
        <v>0</v>
      </c>
      <c r="AM96" s="234">
        <f t="shared" si="36"/>
        <v>0</v>
      </c>
      <c r="AN96" s="234">
        <f t="shared" si="37"/>
        <v>0</v>
      </c>
      <c r="AO96" s="218" t="e">
        <f>+VLOOKUP($B96,Mapping!$C$31:$C$81,1,FALSE)</f>
        <v>#N/A</v>
      </c>
    </row>
    <row r="97" spans="1:41">
      <c r="A97" s="218" t="str">
        <f>$A$1&amp;"Commercial"&amp;B97</f>
        <v>PIERCE EA UTCCommercialFL004.0Y1W001</v>
      </c>
      <c r="B97" s="230" t="s">
        <v>234</v>
      </c>
      <c r="C97" s="230" t="s">
        <v>235</v>
      </c>
      <c r="D97" s="230" t="s">
        <v>397</v>
      </c>
      <c r="E97" s="380">
        <v>33000</v>
      </c>
      <c r="F97" s="231">
        <v>302.02999999999997</v>
      </c>
      <c r="G97" s="231">
        <v>305.32</v>
      </c>
      <c r="H97" s="231">
        <v>302.48</v>
      </c>
      <c r="I97" s="231">
        <v>303.33</v>
      </c>
      <c r="J97" s="231"/>
      <c r="K97" s="231"/>
      <c r="L97" s="231">
        <v>0</v>
      </c>
      <c r="M97" s="231">
        <v>0</v>
      </c>
      <c r="N97" s="231">
        <v>0</v>
      </c>
      <c r="O97" s="231">
        <v>0</v>
      </c>
      <c r="P97" s="231">
        <v>0</v>
      </c>
      <c r="Q97" s="231">
        <v>0</v>
      </c>
      <c r="R97" s="231">
        <v>0</v>
      </c>
      <c r="S97" s="231">
        <v>0</v>
      </c>
      <c r="T97" s="231">
        <v>0</v>
      </c>
      <c r="U97" s="231">
        <v>0</v>
      </c>
      <c r="V97" s="231">
        <v>0</v>
      </c>
      <c r="W97" s="231"/>
      <c r="X97" s="388">
        <f t="shared" si="26"/>
        <v>0</v>
      </c>
      <c r="Y97" s="389"/>
      <c r="Z97" s="389"/>
      <c r="AA97" s="233"/>
      <c r="AB97" s="233"/>
      <c r="AC97" s="233">
        <f t="shared" si="27"/>
        <v>0</v>
      </c>
      <c r="AD97" s="233">
        <f t="shared" si="28"/>
        <v>0</v>
      </c>
      <c r="AE97" s="232">
        <f t="shared" si="29"/>
        <v>0</v>
      </c>
      <c r="AF97" s="232">
        <f t="shared" si="30"/>
        <v>0</v>
      </c>
      <c r="AG97" s="232">
        <f t="shared" si="31"/>
        <v>0</v>
      </c>
      <c r="AH97" s="232">
        <f t="shared" si="32"/>
        <v>0</v>
      </c>
      <c r="AI97" s="232">
        <f t="shared" si="33"/>
        <v>0</v>
      </c>
      <c r="AJ97" s="232">
        <f t="shared" si="34"/>
        <v>0</v>
      </c>
      <c r="AK97" s="232">
        <f t="shared" si="35"/>
        <v>0</v>
      </c>
      <c r="AL97" s="232">
        <f>IFERROR(#REF!/$H97,0)</f>
        <v>0</v>
      </c>
      <c r="AM97" s="234">
        <f t="shared" si="36"/>
        <v>0</v>
      </c>
      <c r="AN97" s="234">
        <f t="shared" si="37"/>
        <v>0</v>
      </c>
      <c r="AO97" s="218" t="str">
        <f>+VLOOKUP($B97,Mapping!$C$31:$C$81,1,FALSE)</f>
        <v>FL004.0Y1W001</v>
      </c>
    </row>
    <row r="98" spans="1:41">
      <c r="A98" s="218" t="str">
        <f>$A$1&amp;"Commercial"&amp;B98</f>
        <v>PIERCE EA UTCCommercialFL004.0Y2W001</v>
      </c>
      <c r="B98" s="230" t="s">
        <v>236</v>
      </c>
      <c r="C98" s="230" t="s">
        <v>237</v>
      </c>
      <c r="D98" s="230" t="s">
        <v>397</v>
      </c>
      <c r="E98" s="380">
        <v>33000</v>
      </c>
      <c r="F98" s="231">
        <v>578.71</v>
      </c>
      <c r="G98" s="231">
        <v>585.29999999999995</v>
      </c>
      <c r="H98" s="231">
        <v>579.86</v>
      </c>
      <c r="I98" s="231">
        <v>581.49</v>
      </c>
      <c r="J98" s="231"/>
      <c r="K98" s="231"/>
      <c r="L98" s="231">
        <v>0</v>
      </c>
      <c r="M98" s="231">
        <v>0</v>
      </c>
      <c r="N98" s="231">
        <v>0</v>
      </c>
      <c r="O98" s="231">
        <v>0</v>
      </c>
      <c r="P98" s="231">
        <v>0</v>
      </c>
      <c r="Q98" s="231">
        <v>0</v>
      </c>
      <c r="R98" s="231">
        <v>0</v>
      </c>
      <c r="S98" s="231">
        <v>0</v>
      </c>
      <c r="T98" s="231">
        <v>0</v>
      </c>
      <c r="U98" s="231">
        <v>0</v>
      </c>
      <c r="V98" s="231">
        <v>0</v>
      </c>
      <c r="W98" s="231"/>
      <c r="X98" s="388">
        <f t="shared" si="26"/>
        <v>0</v>
      </c>
      <c r="Y98" s="389"/>
      <c r="Z98" s="389"/>
      <c r="AA98" s="233"/>
      <c r="AB98" s="233"/>
      <c r="AC98" s="233">
        <f t="shared" si="27"/>
        <v>0</v>
      </c>
      <c r="AD98" s="233">
        <f t="shared" si="28"/>
        <v>0</v>
      </c>
      <c r="AE98" s="232">
        <f t="shared" si="29"/>
        <v>0</v>
      </c>
      <c r="AF98" s="232">
        <f t="shared" si="30"/>
        <v>0</v>
      </c>
      <c r="AG98" s="232">
        <f t="shared" si="31"/>
        <v>0</v>
      </c>
      <c r="AH98" s="232">
        <f t="shared" si="32"/>
        <v>0</v>
      </c>
      <c r="AI98" s="232">
        <f t="shared" si="33"/>
        <v>0</v>
      </c>
      <c r="AJ98" s="232">
        <f t="shared" si="34"/>
        <v>0</v>
      </c>
      <c r="AK98" s="232">
        <f t="shared" si="35"/>
        <v>0</v>
      </c>
      <c r="AL98" s="232">
        <f>IFERROR(#REF!/$H98,0)</f>
        <v>0</v>
      </c>
      <c r="AM98" s="234">
        <f t="shared" si="36"/>
        <v>0</v>
      </c>
      <c r="AN98" s="234">
        <f t="shared" si="37"/>
        <v>0</v>
      </c>
      <c r="AO98" s="218" t="str">
        <f>+VLOOKUP($B98,Mapping!$C$31:$C$81,1,FALSE)</f>
        <v>FL004.0Y2W001</v>
      </c>
    </row>
    <row r="99" spans="1:41">
      <c r="A99" s="218" t="str">
        <f>$A$1&amp;"Commercial"&amp;B99</f>
        <v>PIERCE EA UTCCommercialFL004.0Y3W001</v>
      </c>
      <c r="B99" s="230" t="s">
        <v>238</v>
      </c>
      <c r="C99" s="230" t="s">
        <v>239</v>
      </c>
      <c r="D99" s="230" t="s">
        <v>397</v>
      </c>
      <c r="E99" s="380">
        <v>33000</v>
      </c>
      <c r="F99" s="231">
        <v>855.4</v>
      </c>
      <c r="G99" s="231">
        <v>865.27</v>
      </c>
      <c r="H99" s="231">
        <v>857.24</v>
      </c>
      <c r="I99" s="231">
        <v>859.65</v>
      </c>
      <c r="J99" s="231"/>
      <c r="K99" s="231"/>
      <c r="L99" s="231">
        <v>0</v>
      </c>
      <c r="M99" s="231">
        <v>0</v>
      </c>
      <c r="N99" s="231">
        <v>0</v>
      </c>
      <c r="O99" s="231">
        <v>0</v>
      </c>
      <c r="P99" s="231">
        <v>0</v>
      </c>
      <c r="Q99" s="231">
        <v>0</v>
      </c>
      <c r="R99" s="231">
        <v>0</v>
      </c>
      <c r="S99" s="231">
        <v>0</v>
      </c>
      <c r="T99" s="231">
        <v>0</v>
      </c>
      <c r="U99" s="231">
        <v>0</v>
      </c>
      <c r="V99" s="231">
        <v>0</v>
      </c>
      <c r="W99" s="231"/>
      <c r="X99" s="388">
        <f t="shared" si="26"/>
        <v>0</v>
      </c>
      <c r="Y99" s="389"/>
      <c r="Z99" s="389"/>
      <c r="AA99" s="233"/>
      <c r="AB99" s="233"/>
      <c r="AC99" s="233">
        <f t="shared" si="27"/>
        <v>0</v>
      </c>
      <c r="AD99" s="233">
        <f t="shared" si="28"/>
        <v>0</v>
      </c>
      <c r="AE99" s="232">
        <f t="shared" si="29"/>
        <v>0</v>
      </c>
      <c r="AF99" s="232">
        <f t="shared" si="30"/>
        <v>0</v>
      </c>
      <c r="AG99" s="232">
        <f t="shared" si="31"/>
        <v>0</v>
      </c>
      <c r="AH99" s="232">
        <f t="shared" si="32"/>
        <v>0</v>
      </c>
      <c r="AI99" s="232">
        <f t="shared" si="33"/>
        <v>0</v>
      </c>
      <c r="AJ99" s="232">
        <f t="shared" si="34"/>
        <v>0</v>
      </c>
      <c r="AK99" s="232">
        <f t="shared" si="35"/>
        <v>0</v>
      </c>
      <c r="AL99" s="232">
        <f>IFERROR(#REF!/$H99,0)</f>
        <v>0</v>
      </c>
      <c r="AM99" s="234">
        <f t="shared" si="36"/>
        <v>0</v>
      </c>
      <c r="AN99" s="234">
        <f t="shared" si="37"/>
        <v>0</v>
      </c>
      <c r="AO99" s="218" t="str">
        <f>+VLOOKUP($B99,Mapping!$C$31:$C$81,1,FALSE)</f>
        <v>FL004.0Y3W001</v>
      </c>
    </row>
    <row r="100" spans="1:41">
      <c r="A100" s="218" t="str">
        <f>$A$1&amp;"Commercial"&amp;B100</f>
        <v>PIERCE EA UTCCommercialFL004.0Y4W001</v>
      </c>
      <c r="B100" s="230" t="s">
        <v>240</v>
      </c>
      <c r="C100" s="230" t="s">
        <v>241</v>
      </c>
      <c r="D100" s="230" t="s">
        <v>397</v>
      </c>
      <c r="E100" s="380">
        <v>33000</v>
      </c>
      <c r="F100" s="231">
        <v>1132.0899999999999</v>
      </c>
      <c r="G100" s="231">
        <v>1145.25</v>
      </c>
      <c r="H100" s="231">
        <v>1134.6199999999999</v>
      </c>
      <c r="I100" s="231">
        <v>1137.81</v>
      </c>
      <c r="J100" s="231"/>
      <c r="K100" s="231"/>
      <c r="L100" s="231">
        <v>0</v>
      </c>
      <c r="M100" s="231">
        <v>0</v>
      </c>
      <c r="N100" s="231">
        <v>0</v>
      </c>
      <c r="O100" s="231">
        <v>0</v>
      </c>
      <c r="P100" s="231">
        <v>0</v>
      </c>
      <c r="Q100" s="231">
        <v>0</v>
      </c>
      <c r="R100" s="231">
        <v>0</v>
      </c>
      <c r="S100" s="231">
        <v>0</v>
      </c>
      <c r="T100" s="231">
        <v>0</v>
      </c>
      <c r="U100" s="231">
        <v>0</v>
      </c>
      <c r="V100" s="231">
        <v>0</v>
      </c>
      <c r="W100" s="231"/>
      <c r="X100" s="388">
        <f t="shared" si="26"/>
        <v>0</v>
      </c>
      <c r="Y100" s="389"/>
      <c r="Z100" s="389"/>
      <c r="AA100" s="233"/>
      <c r="AB100" s="233"/>
      <c r="AC100" s="233">
        <f t="shared" si="27"/>
        <v>0</v>
      </c>
      <c r="AD100" s="233">
        <f t="shared" si="28"/>
        <v>0</v>
      </c>
      <c r="AE100" s="232">
        <f t="shared" si="29"/>
        <v>0</v>
      </c>
      <c r="AF100" s="232">
        <f t="shared" si="30"/>
        <v>0</v>
      </c>
      <c r="AG100" s="232">
        <f t="shared" si="31"/>
        <v>0</v>
      </c>
      <c r="AH100" s="232">
        <f t="shared" si="32"/>
        <v>0</v>
      </c>
      <c r="AI100" s="232">
        <f t="shared" si="33"/>
        <v>0</v>
      </c>
      <c r="AJ100" s="232">
        <f t="shared" si="34"/>
        <v>0</v>
      </c>
      <c r="AK100" s="232">
        <f t="shared" si="35"/>
        <v>0</v>
      </c>
      <c r="AL100" s="232">
        <f>IFERROR(#REF!/$H100,0)</f>
        <v>0</v>
      </c>
      <c r="AM100" s="234">
        <f t="shared" si="36"/>
        <v>0</v>
      </c>
      <c r="AN100" s="234">
        <f t="shared" si="37"/>
        <v>0</v>
      </c>
      <c r="AO100" s="218" t="str">
        <f>+VLOOKUP($B100,Mapping!$C$31:$C$81,1,FALSE)</f>
        <v>FL004.0Y4W001</v>
      </c>
    </row>
    <row r="101" spans="1:41">
      <c r="A101" s="218" t="str">
        <f>$A$1&amp;"Commercial"&amp;B101</f>
        <v>PIERCE EA UTCCommercialFL004.0Y5W001</v>
      </c>
      <c r="B101" s="230" t="s">
        <v>242</v>
      </c>
      <c r="C101" s="230" t="s">
        <v>243</v>
      </c>
      <c r="D101" s="230" t="s">
        <v>397</v>
      </c>
      <c r="E101" s="380">
        <v>33000</v>
      </c>
      <c r="F101" s="231">
        <v>1408.78</v>
      </c>
      <c r="G101" s="231">
        <v>1425.23</v>
      </c>
      <c r="H101" s="231">
        <v>1412</v>
      </c>
      <c r="I101" s="231">
        <v>1415.97</v>
      </c>
      <c r="J101" s="231"/>
      <c r="K101" s="231"/>
      <c r="L101" s="231">
        <v>0</v>
      </c>
      <c r="M101" s="231">
        <v>0</v>
      </c>
      <c r="N101" s="231">
        <v>0</v>
      </c>
      <c r="O101" s="231">
        <v>0</v>
      </c>
      <c r="P101" s="231">
        <v>0</v>
      </c>
      <c r="Q101" s="231">
        <v>0</v>
      </c>
      <c r="R101" s="231">
        <v>0</v>
      </c>
      <c r="S101" s="231">
        <v>0</v>
      </c>
      <c r="T101" s="231">
        <v>0</v>
      </c>
      <c r="U101" s="231">
        <v>0</v>
      </c>
      <c r="V101" s="231">
        <v>0</v>
      </c>
      <c r="W101" s="231"/>
      <c r="X101" s="388">
        <f t="shared" si="26"/>
        <v>0</v>
      </c>
      <c r="Y101" s="389"/>
      <c r="Z101" s="389"/>
      <c r="AA101" s="233"/>
      <c r="AB101" s="233"/>
      <c r="AC101" s="233">
        <f t="shared" si="27"/>
        <v>0</v>
      </c>
      <c r="AD101" s="233">
        <f t="shared" si="28"/>
        <v>0</v>
      </c>
      <c r="AE101" s="232">
        <f t="shared" si="29"/>
        <v>0</v>
      </c>
      <c r="AF101" s="232">
        <f t="shared" si="30"/>
        <v>0</v>
      </c>
      <c r="AG101" s="232">
        <f t="shared" si="31"/>
        <v>0</v>
      </c>
      <c r="AH101" s="232">
        <f t="shared" si="32"/>
        <v>0</v>
      </c>
      <c r="AI101" s="232">
        <f t="shared" si="33"/>
        <v>0</v>
      </c>
      <c r="AJ101" s="232">
        <f t="shared" si="34"/>
        <v>0</v>
      </c>
      <c r="AK101" s="232">
        <f t="shared" si="35"/>
        <v>0</v>
      </c>
      <c r="AL101" s="232">
        <f>IFERROR(#REF!/$H101,0)</f>
        <v>0</v>
      </c>
      <c r="AM101" s="234">
        <f t="shared" si="36"/>
        <v>0</v>
      </c>
      <c r="AN101" s="234">
        <f t="shared" si="37"/>
        <v>0</v>
      </c>
      <c r="AO101" s="218" t="e">
        <f>+VLOOKUP($B101,Mapping!$C$31:$C$81,1,FALSE)</f>
        <v>#N/A</v>
      </c>
    </row>
    <row r="102" spans="1:41">
      <c r="A102" s="218" t="str">
        <f>$A$1&amp;"Commercial"&amp;B102</f>
        <v>PIERCE EA UTCCommercialFL006.0Y1W001</v>
      </c>
      <c r="B102" s="230" t="s">
        <v>244</v>
      </c>
      <c r="C102" s="230" t="s">
        <v>245</v>
      </c>
      <c r="D102" s="230" t="s">
        <v>397</v>
      </c>
      <c r="E102" s="380">
        <v>33000</v>
      </c>
      <c r="F102" s="231">
        <v>413.59</v>
      </c>
      <c r="G102" s="231">
        <v>418.13</v>
      </c>
      <c r="H102" s="231">
        <v>414.24</v>
      </c>
      <c r="I102" s="231">
        <v>415.4</v>
      </c>
      <c r="J102" s="231"/>
      <c r="K102" s="231"/>
      <c r="L102" s="231">
        <v>0</v>
      </c>
      <c r="M102" s="231">
        <v>0</v>
      </c>
      <c r="N102" s="231">
        <v>0</v>
      </c>
      <c r="O102" s="231">
        <v>0</v>
      </c>
      <c r="P102" s="231">
        <v>0</v>
      </c>
      <c r="Q102" s="231">
        <v>0</v>
      </c>
      <c r="R102" s="231">
        <v>0</v>
      </c>
      <c r="S102" s="231">
        <v>0</v>
      </c>
      <c r="T102" s="231">
        <v>0</v>
      </c>
      <c r="U102" s="231">
        <v>0</v>
      </c>
      <c r="V102" s="231">
        <v>0</v>
      </c>
      <c r="W102" s="231"/>
      <c r="X102" s="388">
        <f t="shared" si="26"/>
        <v>0</v>
      </c>
      <c r="Y102" s="389"/>
      <c r="Z102" s="389"/>
      <c r="AA102" s="233"/>
      <c r="AB102" s="233"/>
      <c r="AC102" s="233">
        <f t="shared" si="27"/>
        <v>0</v>
      </c>
      <c r="AD102" s="233">
        <f t="shared" si="28"/>
        <v>0</v>
      </c>
      <c r="AE102" s="232">
        <f t="shared" si="29"/>
        <v>0</v>
      </c>
      <c r="AF102" s="232">
        <f t="shared" si="30"/>
        <v>0</v>
      </c>
      <c r="AG102" s="232">
        <f t="shared" si="31"/>
        <v>0</v>
      </c>
      <c r="AH102" s="232">
        <f t="shared" si="32"/>
        <v>0</v>
      </c>
      <c r="AI102" s="232">
        <f t="shared" si="33"/>
        <v>0</v>
      </c>
      <c r="AJ102" s="232">
        <f t="shared" si="34"/>
        <v>0</v>
      </c>
      <c r="AK102" s="232">
        <f t="shared" si="35"/>
        <v>0</v>
      </c>
      <c r="AL102" s="232">
        <f>IFERROR(#REF!/$H102,0)</f>
        <v>0</v>
      </c>
      <c r="AM102" s="234">
        <f t="shared" si="36"/>
        <v>0</v>
      </c>
      <c r="AN102" s="234">
        <f t="shared" si="37"/>
        <v>0</v>
      </c>
      <c r="AO102" s="218" t="str">
        <f>+VLOOKUP($B102,Mapping!$C$31:$C$81,1,FALSE)</f>
        <v>FL006.0Y1W001</v>
      </c>
    </row>
    <row r="103" spans="1:41">
      <c r="A103" s="218" t="str">
        <f>$A$1&amp;"Commercial"&amp;B103</f>
        <v>PIERCE EA UTCCommercialFL006.0Y2W001</v>
      </c>
      <c r="B103" s="230" t="s">
        <v>246</v>
      </c>
      <c r="C103" s="230" t="s">
        <v>247</v>
      </c>
      <c r="D103" s="230" t="s">
        <v>397</v>
      </c>
      <c r="E103" s="380">
        <v>33000</v>
      </c>
      <c r="F103" s="231">
        <v>795.49</v>
      </c>
      <c r="G103" s="231">
        <v>804.59</v>
      </c>
      <c r="H103" s="231">
        <v>797.1</v>
      </c>
      <c r="I103" s="231">
        <v>799.34</v>
      </c>
      <c r="J103" s="231"/>
      <c r="K103" s="231"/>
      <c r="L103" s="231">
        <v>0</v>
      </c>
      <c r="M103" s="231">
        <v>0</v>
      </c>
      <c r="N103" s="231">
        <v>0</v>
      </c>
      <c r="O103" s="231">
        <v>0</v>
      </c>
      <c r="P103" s="231">
        <v>0</v>
      </c>
      <c r="Q103" s="231">
        <v>0</v>
      </c>
      <c r="R103" s="231">
        <v>0</v>
      </c>
      <c r="S103" s="231">
        <v>0</v>
      </c>
      <c r="T103" s="231">
        <v>0</v>
      </c>
      <c r="U103" s="231">
        <v>0</v>
      </c>
      <c r="V103" s="231">
        <v>0</v>
      </c>
      <c r="W103" s="231"/>
      <c r="X103" s="388">
        <f t="shared" si="26"/>
        <v>0</v>
      </c>
      <c r="Y103" s="389"/>
      <c r="Z103" s="389"/>
      <c r="AA103" s="233"/>
      <c r="AB103" s="233"/>
      <c r="AC103" s="233">
        <f t="shared" si="27"/>
        <v>0</v>
      </c>
      <c r="AD103" s="233">
        <f t="shared" si="28"/>
        <v>0</v>
      </c>
      <c r="AE103" s="232">
        <f t="shared" si="29"/>
        <v>0</v>
      </c>
      <c r="AF103" s="232">
        <f t="shared" si="30"/>
        <v>0</v>
      </c>
      <c r="AG103" s="232">
        <f t="shared" si="31"/>
        <v>0</v>
      </c>
      <c r="AH103" s="232">
        <f t="shared" si="32"/>
        <v>0</v>
      </c>
      <c r="AI103" s="232">
        <f t="shared" si="33"/>
        <v>0</v>
      </c>
      <c r="AJ103" s="232">
        <f t="shared" si="34"/>
        <v>0</v>
      </c>
      <c r="AK103" s="232">
        <f t="shared" si="35"/>
        <v>0</v>
      </c>
      <c r="AL103" s="232">
        <f>IFERROR(#REF!/$H103,0)</f>
        <v>0</v>
      </c>
      <c r="AM103" s="234">
        <f t="shared" si="36"/>
        <v>0</v>
      </c>
      <c r="AN103" s="234">
        <f t="shared" si="37"/>
        <v>0</v>
      </c>
      <c r="AO103" s="218" t="str">
        <f>+VLOOKUP($B103,Mapping!$C$31:$C$81,1,FALSE)</f>
        <v>FL006.0Y2W001</v>
      </c>
    </row>
    <row r="104" spans="1:41">
      <c r="A104" s="218" t="str">
        <f>$A$1&amp;"Commercial"&amp;B104</f>
        <v>PIERCE EA UTCCommercialFL006.0Y3W001</v>
      </c>
      <c r="B104" s="230" t="s">
        <v>248</v>
      </c>
      <c r="C104" s="230" t="s">
        <v>249</v>
      </c>
      <c r="D104" s="230" t="s">
        <v>397</v>
      </c>
      <c r="E104" s="380">
        <v>33000</v>
      </c>
      <c r="F104" s="231">
        <v>1177.4000000000001</v>
      </c>
      <c r="G104" s="231">
        <v>1191.04</v>
      </c>
      <c r="H104" s="231">
        <v>1179.96</v>
      </c>
      <c r="I104" s="231">
        <v>1183.28</v>
      </c>
      <c r="J104" s="231"/>
      <c r="K104" s="231"/>
      <c r="L104" s="231">
        <v>0</v>
      </c>
      <c r="M104" s="231">
        <v>0</v>
      </c>
      <c r="N104" s="231">
        <v>0</v>
      </c>
      <c r="O104" s="231">
        <v>0</v>
      </c>
      <c r="P104" s="231">
        <v>0</v>
      </c>
      <c r="Q104" s="231">
        <v>0</v>
      </c>
      <c r="R104" s="231">
        <v>0</v>
      </c>
      <c r="S104" s="231">
        <v>0</v>
      </c>
      <c r="T104" s="231">
        <v>0</v>
      </c>
      <c r="U104" s="231">
        <v>0</v>
      </c>
      <c r="V104" s="231">
        <v>0</v>
      </c>
      <c r="W104" s="231"/>
      <c r="X104" s="388">
        <f t="shared" si="26"/>
        <v>0</v>
      </c>
      <c r="Y104" s="389"/>
      <c r="Z104" s="389"/>
      <c r="AA104" s="233"/>
      <c r="AB104" s="233"/>
      <c r="AC104" s="233">
        <f t="shared" si="27"/>
        <v>0</v>
      </c>
      <c r="AD104" s="233">
        <f t="shared" si="28"/>
        <v>0</v>
      </c>
      <c r="AE104" s="232">
        <f t="shared" si="29"/>
        <v>0</v>
      </c>
      <c r="AF104" s="232">
        <f t="shared" si="30"/>
        <v>0</v>
      </c>
      <c r="AG104" s="232">
        <f t="shared" si="31"/>
        <v>0</v>
      </c>
      <c r="AH104" s="232">
        <f t="shared" si="32"/>
        <v>0</v>
      </c>
      <c r="AI104" s="232">
        <f t="shared" si="33"/>
        <v>0</v>
      </c>
      <c r="AJ104" s="232">
        <f t="shared" si="34"/>
        <v>0</v>
      </c>
      <c r="AK104" s="232">
        <f t="shared" si="35"/>
        <v>0</v>
      </c>
      <c r="AL104" s="232">
        <f>IFERROR(#REF!/$H104,0)</f>
        <v>0</v>
      </c>
      <c r="AM104" s="234">
        <f t="shared" si="36"/>
        <v>0</v>
      </c>
      <c r="AN104" s="234">
        <f t="shared" si="37"/>
        <v>0</v>
      </c>
      <c r="AO104" s="218" t="str">
        <f>+VLOOKUP($B104,Mapping!$C$31:$C$81,1,FALSE)</f>
        <v>FL006.0Y3W001</v>
      </c>
    </row>
    <row r="105" spans="1:41">
      <c r="A105" s="218" t="str">
        <f>$A$1&amp;"Commercial"&amp;B105</f>
        <v>PIERCE EA UTCCommercialFL006.0Y4W001</v>
      </c>
      <c r="B105" s="230" t="s">
        <v>250</v>
      </c>
      <c r="C105" s="230" t="s">
        <v>251</v>
      </c>
      <c r="D105" s="230" t="s">
        <v>397</v>
      </c>
      <c r="E105" s="380">
        <v>33000</v>
      </c>
      <c r="F105" s="231">
        <v>1559.3</v>
      </c>
      <c r="G105" s="231">
        <v>1577.49</v>
      </c>
      <c r="H105" s="231">
        <v>1562.81</v>
      </c>
      <c r="I105" s="231">
        <v>1567.22</v>
      </c>
      <c r="J105" s="231"/>
      <c r="K105" s="231"/>
      <c r="L105" s="231">
        <v>0</v>
      </c>
      <c r="M105" s="231">
        <v>0</v>
      </c>
      <c r="N105" s="231">
        <v>0</v>
      </c>
      <c r="O105" s="231">
        <v>0</v>
      </c>
      <c r="P105" s="231">
        <v>0</v>
      </c>
      <c r="Q105" s="231">
        <v>0</v>
      </c>
      <c r="R105" s="231">
        <v>0</v>
      </c>
      <c r="S105" s="231">
        <v>0</v>
      </c>
      <c r="T105" s="231">
        <v>0</v>
      </c>
      <c r="U105" s="231">
        <v>0</v>
      </c>
      <c r="V105" s="231">
        <v>0</v>
      </c>
      <c r="W105" s="231"/>
      <c r="X105" s="388">
        <f t="shared" si="26"/>
        <v>0</v>
      </c>
      <c r="Y105" s="389"/>
      <c r="Z105" s="389"/>
      <c r="AA105" s="233"/>
      <c r="AB105" s="233"/>
      <c r="AC105" s="233">
        <f t="shared" si="27"/>
        <v>0</v>
      </c>
      <c r="AD105" s="233">
        <f t="shared" si="28"/>
        <v>0</v>
      </c>
      <c r="AE105" s="232">
        <f t="shared" si="29"/>
        <v>0</v>
      </c>
      <c r="AF105" s="232">
        <f t="shared" si="30"/>
        <v>0</v>
      </c>
      <c r="AG105" s="232">
        <f t="shared" si="31"/>
        <v>0</v>
      </c>
      <c r="AH105" s="232">
        <f t="shared" si="32"/>
        <v>0</v>
      </c>
      <c r="AI105" s="232">
        <f t="shared" si="33"/>
        <v>0</v>
      </c>
      <c r="AJ105" s="232">
        <f t="shared" si="34"/>
        <v>0</v>
      </c>
      <c r="AK105" s="232">
        <f t="shared" si="35"/>
        <v>0</v>
      </c>
      <c r="AL105" s="232">
        <f>IFERROR(#REF!/$H105,0)</f>
        <v>0</v>
      </c>
      <c r="AM105" s="234">
        <f t="shared" si="36"/>
        <v>0</v>
      </c>
      <c r="AN105" s="234">
        <f t="shared" si="37"/>
        <v>0</v>
      </c>
      <c r="AO105" s="218" t="str">
        <f>+VLOOKUP($B105,Mapping!$C$31:$C$81,1,FALSE)</f>
        <v>FL006.0Y4W001</v>
      </c>
    </row>
    <row r="106" spans="1:41">
      <c r="A106" s="218" t="str">
        <f>$A$1&amp;"Commercial"&amp;B106</f>
        <v>PIERCE EA UTCCommercialFL002.0Y1W001CMP</v>
      </c>
      <c r="B106" s="230" t="s">
        <v>252</v>
      </c>
      <c r="C106" s="230" t="s">
        <v>253</v>
      </c>
      <c r="D106" s="230" t="s">
        <v>397</v>
      </c>
      <c r="E106" s="380">
        <v>33000</v>
      </c>
      <c r="F106" s="231">
        <v>446.9</v>
      </c>
      <c r="G106" s="231">
        <v>452.14</v>
      </c>
      <c r="H106" s="231">
        <v>447.94</v>
      </c>
      <c r="I106" s="231">
        <v>449.19</v>
      </c>
      <c r="J106" s="231"/>
      <c r="K106" s="231"/>
      <c r="L106" s="231">
        <v>0</v>
      </c>
      <c r="M106" s="231">
        <v>0</v>
      </c>
      <c r="N106" s="231">
        <v>0</v>
      </c>
      <c r="O106" s="231">
        <v>0</v>
      </c>
      <c r="P106" s="231">
        <v>0</v>
      </c>
      <c r="Q106" s="231">
        <v>0</v>
      </c>
      <c r="R106" s="231">
        <v>0</v>
      </c>
      <c r="S106" s="231">
        <v>0</v>
      </c>
      <c r="T106" s="231">
        <v>0</v>
      </c>
      <c r="U106" s="231">
        <v>0</v>
      </c>
      <c r="V106" s="231">
        <v>0</v>
      </c>
      <c r="W106" s="231"/>
      <c r="X106" s="388">
        <f t="shared" si="26"/>
        <v>0</v>
      </c>
      <c r="Y106" s="389"/>
      <c r="Z106" s="389"/>
      <c r="AA106" s="233"/>
      <c r="AB106" s="233"/>
      <c r="AC106" s="233">
        <f t="shared" si="27"/>
        <v>0</v>
      </c>
      <c r="AD106" s="233">
        <f t="shared" si="28"/>
        <v>0</v>
      </c>
      <c r="AE106" s="232">
        <f t="shared" si="29"/>
        <v>0</v>
      </c>
      <c r="AF106" s="232">
        <f t="shared" si="30"/>
        <v>0</v>
      </c>
      <c r="AG106" s="232">
        <f t="shared" si="31"/>
        <v>0</v>
      </c>
      <c r="AH106" s="232">
        <f t="shared" si="32"/>
        <v>0</v>
      </c>
      <c r="AI106" s="232">
        <f t="shared" si="33"/>
        <v>0</v>
      </c>
      <c r="AJ106" s="232">
        <f t="shared" si="34"/>
        <v>0</v>
      </c>
      <c r="AK106" s="232">
        <f t="shared" si="35"/>
        <v>0</v>
      </c>
      <c r="AL106" s="232">
        <f>IFERROR(#REF!/$H106,0)</f>
        <v>0</v>
      </c>
      <c r="AM106" s="234">
        <f t="shared" si="36"/>
        <v>0</v>
      </c>
      <c r="AN106" s="234">
        <f t="shared" si="37"/>
        <v>0</v>
      </c>
      <c r="AO106" s="218" t="str">
        <f>+VLOOKUP($B106,Mapping!$C$31:$C$81,1,FALSE)</f>
        <v>FL002.0Y1W001CMP</v>
      </c>
    </row>
    <row r="107" spans="1:41">
      <c r="A107" s="218" t="str">
        <f>$A$1&amp;"Commercial"&amp;B107</f>
        <v>PIERCE EA UTCCommercialFL003.0Y2W001CMP</v>
      </c>
      <c r="B107" s="230" t="s">
        <v>254</v>
      </c>
      <c r="C107" s="230" t="s">
        <v>255</v>
      </c>
      <c r="D107" s="230" t="s">
        <v>397</v>
      </c>
      <c r="E107" s="380">
        <v>33000</v>
      </c>
      <c r="F107" s="231">
        <v>1255.53</v>
      </c>
      <c r="G107" s="231">
        <v>1270.8599999999999</v>
      </c>
      <c r="H107" s="231">
        <v>1258.99</v>
      </c>
      <c r="I107" s="231">
        <v>1262.45</v>
      </c>
      <c r="J107" s="231"/>
      <c r="K107" s="231"/>
      <c r="L107" s="231">
        <v>0</v>
      </c>
      <c r="M107" s="231">
        <v>0</v>
      </c>
      <c r="N107" s="231">
        <v>0</v>
      </c>
      <c r="O107" s="231">
        <v>0</v>
      </c>
      <c r="P107" s="231">
        <v>0</v>
      </c>
      <c r="Q107" s="231">
        <v>0</v>
      </c>
      <c r="R107" s="231">
        <v>0</v>
      </c>
      <c r="S107" s="231">
        <v>0</v>
      </c>
      <c r="T107" s="231">
        <v>0</v>
      </c>
      <c r="U107" s="231">
        <v>0</v>
      </c>
      <c r="V107" s="231">
        <v>0</v>
      </c>
      <c r="W107" s="231"/>
      <c r="X107" s="388">
        <f t="shared" si="26"/>
        <v>0</v>
      </c>
      <c r="Y107" s="389"/>
      <c r="Z107" s="389"/>
      <c r="AA107" s="233"/>
      <c r="AB107" s="233"/>
      <c r="AC107" s="233">
        <f t="shared" si="27"/>
        <v>0</v>
      </c>
      <c r="AD107" s="233">
        <f t="shared" si="28"/>
        <v>0</v>
      </c>
      <c r="AE107" s="232">
        <f t="shared" si="29"/>
        <v>0</v>
      </c>
      <c r="AF107" s="232">
        <f t="shared" si="30"/>
        <v>0</v>
      </c>
      <c r="AG107" s="232">
        <f t="shared" si="31"/>
        <v>0</v>
      </c>
      <c r="AH107" s="232">
        <f t="shared" si="32"/>
        <v>0</v>
      </c>
      <c r="AI107" s="232">
        <f t="shared" si="33"/>
        <v>0</v>
      </c>
      <c r="AJ107" s="232">
        <f t="shared" si="34"/>
        <v>0</v>
      </c>
      <c r="AK107" s="232">
        <f t="shared" si="35"/>
        <v>0</v>
      </c>
      <c r="AL107" s="232">
        <f>IFERROR(#REF!/$H107,0)</f>
        <v>0</v>
      </c>
      <c r="AM107" s="234">
        <f t="shared" si="36"/>
        <v>0</v>
      </c>
      <c r="AN107" s="234">
        <f t="shared" si="37"/>
        <v>0</v>
      </c>
      <c r="AO107" s="218" t="str">
        <f>+VLOOKUP($B107,Mapping!$C$31:$C$81,1,FALSE)</f>
        <v>FL003.0Y2W001CMP</v>
      </c>
    </row>
    <row r="108" spans="1:41">
      <c r="A108" s="218" t="str">
        <f>$A$1&amp;"Commercial"&amp;B108</f>
        <v>PIERCE EA UTCCommercialFL004.0Y1W001CMP</v>
      </c>
      <c r="B108" s="230" t="s">
        <v>256</v>
      </c>
      <c r="C108" s="230" t="s">
        <v>257</v>
      </c>
      <c r="D108" s="230" t="s">
        <v>397</v>
      </c>
      <c r="E108" s="380">
        <v>33000</v>
      </c>
      <c r="F108" s="231">
        <v>826.99</v>
      </c>
      <c r="G108" s="231">
        <v>836.9</v>
      </c>
      <c r="H108" s="231">
        <v>829.11</v>
      </c>
      <c r="I108" s="231">
        <v>831.4</v>
      </c>
      <c r="J108" s="231"/>
      <c r="K108" s="231"/>
      <c r="L108" s="231">
        <v>0</v>
      </c>
      <c r="M108" s="231">
        <v>0</v>
      </c>
      <c r="N108" s="231">
        <v>0</v>
      </c>
      <c r="O108" s="231">
        <v>0</v>
      </c>
      <c r="P108" s="231">
        <v>0</v>
      </c>
      <c r="Q108" s="231">
        <v>0</v>
      </c>
      <c r="R108" s="231">
        <v>0</v>
      </c>
      <c r="S108" s="231">
        <v>0</v>
      </c>
      <c r="T108" s="231">
        <v>0</v>
      </c>
      <c r="U108" s="231">
        <v>0</v>
      </c>
      <c r="V108" s="231">
        <v>0</v>
      </c>
      <c r="W108" s="231"/>
      <c r="X108" s="388">
        <f t="shared" si="26"/>
        <v>0</v>
      </c>
      <c r="Y108" s="389"/>
      <c r="Z108" s="389"/>
      <c r="AA108" s="233"/>
      <c r="AB108" s="233"/>
      <c r="AC108" s="233">
        <f t="shared" si="27"/>
        <v>0</v>
      </c>
      <c r="AD108" s="233">
        <f t="shared" si="28"/>
        <v>0</v>
      </c>
      <c r="AE108" s="232">
        <f t="shared" si="29"/>
        <v>0</v>
      </c>
      <c r="AF108" s="232">
        <f t="shared" si="30"/>
        <v>0</v>
      </c>
      <c r="AG108" s="232">
        <f t="shared" si="31"/>
        <v>0</v>
      </c>
      <c r="AH108" s="232">
        <f t="shared" si="32"/>
        <v>0</v>
      </c>
      <c r="AI108" s="232">
        <f t="shared" si="33"/>
        <v>0</v>
      </c>
      <c r="AJ108" s="232">
        <f t="shared" si="34"/>
        <v>0</v>
      </c>
      <c r="AK108" s="232">
        <f t="shared" si="35"/>
        <v>0</v>
      </c>
      <c r="AL108" s="232">
        <f>IFERROR(#REF!/$H108,0)</f>
        <v>0</v>
      </c>
      <c r="AM108" s="234">
        <f t="shared" si="36"/>
        <v>0</v>
      </c>
      <c r="AN108" s="234">
        <f t="shared" si="37"/>
        <v>0</v>
      </c>
      <c r="AO108" s="218" t="str">
        <f>+VLOOKUP($B108,Mapping!$C$31:$C$81,1,FALSE)</f>
        <v>FL004.0Y1W001CMP</v>
      </c>
    </row>
    <row r="109" spans="1:41">
      <c r="A109" s="218" t="str">
        <f>$A$1&amp;"Commercial"&amp;B109</f>
        <v>PIERCE EA UTCCommercialFL004.0Y2W001CMP</v>
      </c>
      <c r="B109" s="230" t="s">
        <v>258</v>
      </c>
      <c r="C109" s="230" t="s">
        <v>259</v>
      </c>
      <c r="D109" s="230" t="s">
        <v>397</v>
      </c>
      <c r="E109" s="380">
        <v>33000</v>
      </c>
      <c r="F109" s="231">
        <v>1653.97</v>
      </c>
      <c r="G109" s="231">
        <v>1673.8</v>
      </c>
      <c r="H109" s="231">
        <v>1658.22</v>
      </c>
      <c r="I109" s="231">
        <v>1662.81</v>
      </c>
      <c r="J109" s="231"/>
      <c r="K109" s="231"/>
      <c r="L109" s="231">
        <v>0</v>
      </c>
      <c r="M109" s="231">
        <v>0</v>
      </c>
      <c r="N109" s="231">
        <v>0</v>
      </c>
      <c r="O109" s="231">
        <v>0</v>
      </c>
      <c r="P109" s="231">
        <v>0</v>
      </c>
      <c r="Q109" s="231">
        <v>0</v>
      </c>
      <c r="R109" s="231">
        <v>0</v>
      </c>
      <c r="S109" s="231">
        <v>0</v>
      </c>
      <c r="T109" s="231">
        <v>0</v>
      </c>
      <c r="U109" s="231">
        <v>0</v>
      </c>
      <c r="V109" s="231">
        <v>0</v>
      </c>
      <c r="W109" s="231"/>
      <c r="X109" s="388">
        <f t="shared" si="26"/>
        <v>0</v>
      </c>
      <c r="Y109" s="389"/>
      <c r="Z109" s="389"/>
      <c r="AA109" s="233"/>
      <c r="AB109" s="233"/>
      <c r="AC109" s="233">
        <f t="shared" si="27"/>
        <v>0</v>
      </c>
      <c r="AD109" s="233">
        <f t="shared" si="28"/>
        <v>0</v>
      </c>
      <c r="AE109" s="232">
        <f t="shared" si="29"/>
        <v>0</v>
      </c>
      <c r="AF109" s="232">
        <f t="shared" si="30"/>
        <v>0</v>
      </c>
      <c r="AG109" s="232">
        <f t="shared" si="31"/>
        <v>0</v>
      </c>
      <c r="AH109" s="232">
        <f t="shared" si="32"/>
        <v>0</v>
      </c>
      <c r="AI109" s="232">
        <f t="shared" si="33"/>
        <v>0</v>
      </c>
      <c r="AJ109" s="232">
        <f t="shared" si="34"/>
        <v>0</v>
      </c>
      <c r="AK109" s="232">
        <f t="shared" si="35"/>
        <v>0</v>
      </c>
      <c r="AL109" s="232">
        <f>IFERROR(#REF!/$H109,0)</f>
        <v>0</v>
      </c>
      <c r="AM109" s="234">
        <f t="shared" si="36"/>
        <v>0</v>
      </c>
      <c r="AN109" s="234">
        <f t="shared" si="37"/>
        <v>0</v>
      </c>
      <c r="AO109" s="218" t="str">
        <f>+VLOOKUP($B109,Mapping!$C$31:$C$81,1,FALSE)</f>
        <v>FL004.0Y2W001CMP</v>
      </c>
    </row>
    <row r="110" spans="1:41">
      <c r="A110" s="218" t="str">
        <f>$A$1&amp;"Commercial"&amp;B110</f>
        <v>PIERCE EA UTCCommercialFL006.0Y2W001CMP</v>
      </c>
      <c r="B110" s="230" t="s">
        <v>492</v>
      </c>
      <c r="C110" s="230" t="s">
        <v>665</v>
      </c>
      <c r="D110" s="230"/>
      <c r="F110" s="231">
        <v>2270.13</v>
      </c>
      <c r="G110" s="231">
        <v>2297.3200000000002</v>
      </c>
      <c r="H110" s="231">
        <v>2275.85</v>
      </c>
      <c r="I110" s="231">
        <v>2282.17</v>
      </c>
      <c r="J110" s="231"/>
      <c r="K110" s="231"/>
      <c r="L110" s="231">
        <v>0</v>
      </c>
      <c r="M110" s="231">
        <v>0</v>
      </c>
      <c r="N110" s="231">
        <v>0</v>
      </c>
      <c r="O110" s="231">
        <v>0</v>
      </c>
      <c r="P110" s="231">
        <v>0</v>
      </c>
      <c r="Q110" s="231">
        <v>0</v>
      </c>
      <c r="R110" s="231">
        <v>0</v>
      </c>
      <c r="S110" s="231">
        <v>0</v>
      </c>
      <c r="T110" s="231">
        <v>0</v>
      </c>
      <c r="U110" s="231">
        <v>0</v>
      </c>
      <c r="V110" s="231">
        <v>0</v>
      </c>
      <c r="W110" s="231"/>
      <c r="X110" s="388">
        <f t="shared" si="26"/>
        <v>0</v>
      </c>
      <c r="Y110" s="389"/>
      <c r="Z110" s="389"/>
      <c r="AA110" s="233"/>
      <c r="AB110" s="233"/>
      <c r="AC110" s="233">
        <f t="shared" si="27"/>
        <v>0</v>
      </c>
      <c r="AD110" s="233">
        <f t="shared" si="28"/>
        <v>0</v>
      </c>
      <c r="AE110" s="232">
        <f t="shared" si="29"/>
        <v>0</v>
      </c>
      <c r="AF110" s="232">
        <f t="shared" si="30"/>
        <v>0</v>
      </c>
      <c r="AG110" s="232">
        <f t="shared" si="31"/>
        <v>0</v>
      </c>
      <c r="AH110" s="232">
        <f t="shared" si="32"/>
        <v>0</v>
      </c>
      <c r="AI110" s="232">
        <f t="shared" si="33"/>
        <v>0</v>
      </c>
      <c r="AJ110" s="232">
        <f t="shared" si="34"/>
        <v>0</v>
      </c>
      <c r="AK110" s="232">
        <f t="shared" si="35"/>
        <v>0</v>
      </c>
      <c r="AL110" s="232">
        <f>IFERROR(#REF!/$H110,0)</f>
        <v>0</v>
      </c>
      <c r="AM110" s="234">
        <f t="shared" si="36"/>
        <v>0</v>
      </c>
      <c r="AN110" s="234">
        <f t="shared" si="37"/>
        <v>0</v>
      </c>
      <c r="AO110" s="218" t="str">
        <f>+VLOOKUP($B110,Mapping!$C$31:$C$81,1,FALSE)</f>
        <v>FL006.0Y2W001CMP</v>
      </c>
    </row>
    <row r="111" spans="1:41">
      <c r="A111" s="218" t="str">
        <f>$A$1&amp;"Commercial"&amp;B111</f>
        <v>PIERCE EA UTCCommercialRL032.0G1W001NORECC</v>
      </c>
      <c r="B111" s="230" t="s">
        <v>260</v>
      </c>
      <c r="C111" s="230" t="s">
        <v>261</v>
      </c>
      <c r="D111" s="230" t="s">
        <v>397</v>
      </c>
      <c r="E111" s="380">
        <v>33000</v>
      </c>
      <c r="F111" s="231">
        <v>17.809999999999999</v>
      </c>
      <c r="G111" s="231">
        <v>17.97</v>
      </c>
      <c r="H111" s="231">
        <v>0</v>
      </c>
      <c r="I111" s="231">
        <v>0</v>
      </c>
      <c r="J111" s="231"/>
      <c r="K111" s="231"/>
      <c r="L111" s="231">
        <v>0</v>
      </c>
      <c r="M111" s="231">
        <v>0</v>
      </c>
      <c r="N111" s="231">
        <v>0</v>
      </c>
      <c r="O111" s="231">
        <v>0</v>
      </c>
      <c r="P111" s="231">
        <v>0</v>
      </c>
      <c r="Q111" s="231">
        <v>0</v>
      </c>
      <c r="R111" s="231">
        <v>0</v>
      </c>
      <c r="S111" s="231">
        <v>0</v>
      </c>
      <c r="T111" s="231">
        <v>0</v>
      </c>
      <c r="U111" s="231">
        <v>0</v>
      </c>
      <c r="V111" s="231">
        <v>0</v>
      </c>
      <c r="W111" s="231"/>
      <c r="X111" s="388">
        <f t="shared" si="26"/>
        <v>0</v>
      </c>
      <c r="Y111" s="389"/>
      <c r="Z111" s="389"/>
      <c r="AA111" s="233"/>
      <c r="AB111" s="233"/>
      <c r="AC111" s="233">
        <f t="shared" si="27"/>
        <v>0</v>
      </c>
      <c r="AD111" s="233">
        <f t="shared" si="28"/>
        <v>0</v>
      </c>
      <c r="AE111" s="232">
        <f t="shared" si="29"/>
        <v>0</v>
      </c>
      <c r="AF111" s="232">
        <f t="shared" si="30"/>
        <v>0</v>
      </c>
      <c r="AG111" s="232">
        <f t="shared" si="31"/>
        <v>0</v>
      </c>
      <c r="AH111" s="232">
        <f t="shared" si="32"/>
        <v>0</v>
      </c>
      <c r="AI111" s="232">
        <f t="shared" si="33"/>
        <v>0</v>
      </c>
      <c r="AJ111" s="232">
        <f t="shared" si="34"/>
        <v>0</v>
      </c>
      <c r="AK111" s="232">
        <f t="shared" si="35"/>
        <v>0</v>
      </c>
      <c r="AL111" s="232">
        <f>IFERROR(#REF!/$H111,0)</f>
        <v>0</v>
      </c>
      <c r="AM111" s="234">
        <f t="shared" si="36"/>
        <v>0</v>
      </c>
      <c r="AN111" s="234">
        <f t="shared" si="37"/>
        <v>0</v>
      </c>
      <c r="AO111" s="218" t="e">
        <f>+VLOOKUP($B111,Mapping!$C$31:$C$81,1,FALSE)</f>
        <v>#N/A</v>
      </c>
    </row>
    <row r="112" spans="1:41">
      <c r="A112" s="218" t="str">
        <f>$A$1&amp;"Commercial"&amp;B112</f>
        <v>PIERCE EA UTCCommercialRL032.0G1W001WRECC</v>
      </c>
      <c r="B112" s="230" t="s">
        <v>262</v>
      </c>
      <c r="C112" s="230" t="s">
        <v>263</v>
      </c>
      <c r="D112" s="230" t="s">
        <v>397</v>
      </c>
      <c r="E112" s="380">
        <v>33000</v>
      </c>
      <c r="F112" s="231">
        <v>17.809999999999999</v>
      </c>
      <c r="G112" s="231">
        <v>17.97</v>
      </c>
      <c r="H112" s="231">
        <v>0</v>
      </c>
      <c r="I112" s="231">
        <v>0</v>
      </c>
      <c r="J112" s="231"/>
      <c r="K112" s="231"/>
      <c r="L112" s="231">
        <v>0</v>
      </c>
      <c r="M112" s="231">
        <v>0</v>
      </c>
      <c r="N112" s="231">
        <v>0</v>
      </c>
      <c r="O112" s="231">
        <v>0</v>
      </c>
      <c r="P112" s="231">
        <v>0</v>
      </c>
      <c r="Q112" s="231">
        <v>0</v>
      </c>
      <c r="R112" s="231">
        <v>0</v>
      </c>
      <c r="S112" s="231">
        <v>0</v>
      </c>
      <c r="T112" s="231">
        <v>0</v>
      </c>
      <c r="U112" s="231">
        <v>0</v>
      </c>
      <c r="V112" s="231">
        <v>0</v>
      </c>
      <c r="W112" s="231"/>
      <c r="X112" s="388">
        <f t="shared" si="26"/>
        <v>0</v>
      </c>
      <c r="Y112" s="389"/>
      <c r="Z112" s="389"/>
      <c r="AA112" s="233"/>
      <c r="AB112" s="233"/>
      <c r="AC112" s="233">
        <f t="shared" si="27"/>
        <v>0</v>
      </c>
      <c r="AD112" s="233">
        <f t="shared" si="28"/>
        <v>0</v>
      </c>
      <c r="AE112" s="232">
        <f t="shared" si="29"/>
        <v>0</v>
      </c>
      <c r="AF112" s="232">
        <f t="shared" si="30"/>
        <v>0</v>
      </c>
      <c r="AG112" s="232">
        <f t="shared" si="31"/>
        <v>0</v>
      </c>
      <c r="AH112" s="232">
        <f t="shared" si="32"/>
        <v>0</v>
      </c>
      <c r="AI112" s="232">
        <f t="shared" si="33"/>
        <v>0</v>
      </c>
      <c r="AJ112" s="232">
        <f t="shared" si="34"/>
        <v>0</v>
      </c>
      <c r="AK112" s="232">
        <f t="shared" si="35"/>
        <v>0</v>
      </c>
      <c r="AL112" s="232">
        <f>IFERROR(#REF!/$H112,0)</f>
        <v>0</v>
      </c>
      <c r="AM112" s="234">
        <f t="shared" si="36"/>
        <v>0</v>
      </c>
      <c r="AN112" s="234">
        <f t="shared" si="37"/>
        <v>0</v>
      </c>
      <c r="AO112" s="218" t="e">
        <f>+VLOOKUP($B112,Mapping!$C$31:$C$81,1,FALSE)</f>
        <v>#N/A</v>
      </c>
    </row>
    <row r="113" spans="1:41">
      <c r="A113" s="218" t="str">
        <f>$A$1&amp;"Commercial"&amp;B113</f>
        <v>PIERCE EA UTCCommercialRL032.0G1W002NORECC</v>
      </c>
      <c r="B113" s="230" t="s">
        <v>264</v>
      </c>
      <c r="C113" s="230" t="s">
        <v>261</v>
      </c>
      <c r="D113" s="230" t="s">
        <v>397</v>
      </c>
      <c r="E113" s="380">
        <v>33000</v>
      </c>
      <c r="F113" s="231">
        <v>28.92</v>
      </c>
      <c r="G113" s="231">
        <v>29.27</v>
      </c>
      <c r="H113" s="231">
        <v>0</v>
      </c>
      <c r="I113" s="231">
        <v>0</v>
      </c>
      <c r="J113" s="231"/>
      <c r="K113" s="231"/>
      <c r="L113" s="231">
        <v>0</v>
      </c>
      <c r="M113" s="231">
        <v>0</v>
      </c>
      <c r="N113" s="231">
        <v>0</v>
      </c>
      <c r="O113" s="231">
        <v>0</v>
      </c>
      <c r="P113" s="231">
        <v>0</v>
      </c>
      <c r="Q113" s="231">
        <v>0</v>
      </c>
      <c r="R113" s="231">
        <v>0</v>
      </c>
      <c r="S113" s="231">
        <v>0</v>
      </c>
      <c r="T113" s="231">
        <v>0</v>
      </c>
      <c r="U113" s="231">
        <v>0</v>
      </c>
      <c r="V113" s="231">
        <v>0</v>
      </c>
      <c r="W113" s="231"/>
      <c r="X113" s="388">
        <f t="shared" si="26"/>
        <v>0</v>
      </c>
      <c r="Y113" s="389"/>
      <c r="Z113" s="389"/>
      <c r="AA113" s="233"/>
      <c r="AB113" s="233"/>
      <c r="AC113" s="233">
        <f t="shared" si="27"/>
        <v>0</v>
      </c>
      <c r="AD113" s="233">
        <f t="shared" si="28"/>
        <v>0</v>
      </c>
      <c r="AE113" s="232">
        <f t="shared" si="29"/>
        <v>0</v>
      </c>
      <c r="AF113" s="232">
        <f t="shared" si="30"/>
        <v>0</v>
      </c>
      <c r="AG113" s="232">
        <f t="shared" si="31"/>
        <v>0</v>
      </c>
      <c r="AH113" s="232">
        <f t="shared" si="32"/>
        <v>0</v>
      </c>
      <c r="AI113" s="232">
        <f t="shared" si="33"/>
        <v>0</v>
      </c>
      <c r="AJ113" s="232">
        <f t="shared" si="34"/>
        <v>0</v>
      </c>
      <c r="AK113" s="232">
        <f t="shared" si="35"/>
        <v>0</v>
      </c>
      <c r="AL113" s="232">
        <f>IFERROR(#REF!/$H113,0)</f>
        <v>0</v>
      </c>
      <c r="AM113" s="234">
        <f t="shared" si="36"/>
        <v>0</v>
      </c>
      <c r="AN113" s="234">
        <f t="shared" si="37"/>
        <v>0</v>
      </c>
      <c r="AO113" s="218" t="e">
        <f>+VLOOKUP($B113,Mapping!$C$31:$C$81,1,FALSE)</f>
        <v>#N/A</v>
      </c>
    </row>
    <row r="114" spans="1:41">
      <c r="A114" s="218" t="str">
        <f>$A$1&amp;"Commercial"&amp;B114</f>
        <v>PIERCE EA UTCCommercialRL032.0G1W002WRECC</v>
      </c>
      <c r="B114" s="230" t="s">
        <v>265</v>
      </c>
      <c r="C114" s="230" t="s">
        <v>266</v>
      </c>
      <c r="D114" s="230" t="s">
        <v>397</v>
      </c>
      <c r="E114" s="380">
        <v>33000</v>
      </c>
      <c r="F114" s="231">
        <v>28.92</v>
      </c>
      <c r="G114" s="231">
        <v>29.27</v>
      </c>
      <c r="H114" s="231">
        <v>0</v>
      </c>
      <c r="I114" s="231">
        <v>0</v>
      </c>
      <c r="J114" s="231"/>
      <c r="K114" s="231"/>
      <c r="L114" s="231">
        <v>0</v>
      </c>
      <c r="M114" s="231">
        <v>0</v>
      </c>
      <c r="N114" s="231">
        <v>0</v>
      </c>
      <c r="O114" s="231">
        <v>0</v>
      </c>
      <c r="P114" s="231">
        <v>0</v>
      </c>
      <c r="Q114" s="231">
        <v>0</v>
      </c>
      <c r="R114" s="231">
        <v>0</v>
      </c>
      <c r="S114" s="231">
        <v>0</v>
      </c>
      <c r="T114" s="231">
        <v>0</v>
      </c>
      <c r="U114" s="231">
        <v>0</v>
      </c>
      <c r="V114" s="231">
        <v>0</v>
      </c>
      <c r="W114" s="231"/>
      <c r="X114" s="388">
        <f t="shared" si="26"/>
        <v>0</v>
      </c>
      <c r="Y114" s="389"/>
      <c r="Z114" s="389"/>
      <c r="AA114" s="233"/>
      <c r="AB114" s="233"/>
      <c r="AC114" s="233">
        <f t="shared" si="27"/>
        <v>0</v>
      </c>
      <c r="AD114" s="233">
        <f t="shared" si="28"/>
        <v>0</v>
      </c>
      <c r="AE114" s="232">
        <f t="shared" si="29"/>
        <v>0</v>
      </c>
      <c r="AF114" s="232">
        <f t="shared" si="30"/>
        <v>0</v>
      </c>
      <c r="AG114" s="232">
        <f t="shared" si="31"/>
        <v>0</v>
      </c>
      <c r="AH114" s="232">
        <f t="shared" si="32"/>
        <v>0</v>
      </c>
      <c r="AI114" s="232">
        <f t="shared" si="33"/>
        <v>0</v>
      </c>
      <c r="AJ114" s="232">
        <f t="shared" si="34"/>
        <v>0</v>
      </c>
      <c r="AK114" s="232">
        <f t="shared" si="35"/>
        <v>0</v>
      </c>
      <c r="AL114" s="232">
        <f>IFERROR(#REF!/$H114,0)</f>
        <v>0</v>
      </c>
      <c r="AM114" s="234">
        <f t="shared" si="36"/>
        <v>0</v>
      </c>
      <c r="AN114" s="234">
        <f t="shared" si="37"/>
        <v>0</v>
      </c>
      <c r="AO114" s="218" t="e">
        <f>+VLOOKUP($B114,Mapping!$C$31:$C$81,1,FALSE)</f>
        <v>#N/A</v>
      </c>
    </row>
    <row r="115" spans="1:41">
      <c r="A115" s="218" t="str">
        <f>$A$1&amp;"Commercial"&amp;B115</f>
        <v>PIERCE EA UTCCommercialRL032.0G1W003WRECC</v>
      </c>
      <c r="B115" s="230" t="s">
        <v>267</v>
      </c>
      <c r="C115" s="230" t="s">
        <v>268</v>
      </c>
      <c r="D115" s="230" t="s">
        <v>397</v>
      </c>
      <c r="E115" s="380">
        <v>33000</v>
      </c>
      <c r="F115" s="231">
        <v>43.39</v>
      </c>
      <c r="G115" s="231">
        <v>43.91</v>
      </c>
      <c r="H115" s="231">
        <v>0</v>
      </c>
      <c r="I115" s="231">
        <v>0</v>
      </c>
      <c r="J115" s="231"/>
      <c r="K115" s="231"/>
      <c r="L115" s="231">
        <v>0</v>
      </c>
      <c r="M115" s="231">
        <v>0</v>
      </c>
      <c r="N115" s="231">
        <v>0</v>
      </c>
      <c r="O115" s="231">
        <v>0</v>
      </c>
      <c r="P115" s="231">
        <v>0</v>
      </c>
      <c r="Q115" s="231">
        <v>0</v>
      </c>
      <c r="R115" s="231">
        <v>0</v>
      </c>
      <c r="S115" s="231">
        <v>0</v>
      </c>
      <c r="T115" s="231">
        <v>0</v>
      </c>
      <c r="U115" s="231">
        <v>0</v>
      </c>
      <c r="V115" s="231">
        <v>0</v>
      </c>
      <c r="W115" s="231"/>
      <c r="X115" s="388">
        <f t="shared" ref="X115:X146" si="38">SUM(K115:V115)</f>
        <v>0</v>
      </c>
      <c r="Y115" s="389"/>
      <c r="Z115" s="389"/>
      <c r="AA115" s="233"/>
      <c r="AB115" s="233"/>
      <c r="AC115" s="233">
        <f t="shared" ref="AC115:AC146" si="39">IFERROR(N115/$G115,0)</f>
        <v>0</v>
      </c>
      <c r="AD115" s="233">
        <f t="shared" ref="AD115:AD146" si="40">IFERROR(O115/$G115,0)</f>
        <v>0</v>
      </c>
      <c r="AE115" s="232">
        <f t="shared" ref="AE115:AE146" si="41">IFERROR(P115/$H115,0)</f>
        <v>0</v>
      </c>
      <c r="AF115" s="232">
        <f t="shared" ref="AF115:AF146" si="42">IFERROR(Q115/$H115,0)</f>
        <v>0</v>
      </c>
      <c r="AG115" s="232">
        <f t="shared" ref="AG115:AG146" si="43">IFERROR(R115/$H115,0)</f>
        <v>0</v>
      </c>
      <c r="AH115" s="232">
        <f t="shared" ref="AH115:AH146" si="44">IFERROR(S115/$H115,0)</f>
        <v>0</v>
      </c>
      <c r="AI115" s="232">
        <f t="shared" ref="AI115:AI146" si="45">IFERROR(T115/$H115,0)</f>
        <v>0</v>
      </c>
      <c r="AJ115" s="232">
        <f t="shared" ref="AJ115:AJ146" si="46">IFERROR(U115/$H115,0)</f>
        <v>0</v>
      </c>
      <c r="AK115" s="232">
        <f t="shared" ref="AK115:AK146" si="47">IFERROR(V115/$H115,0)</f>
        <v>0</v>
      </c>
      <c r="AL115" s="232">
        <f>IFERROR(#REF!/$H115,0)</f>
        <v>0</v>
      </c>
      <c r="AM115" s="234">
        <f t="shared" ref="AM115:AM146" si="48">AVERAGE(Z115:AL115)</f>
        <v>0</v>
      </c>
      <c r="AN115" s="234">
        <f t="shared" si="37"/>
        <v>0</v>
      </c>
      <c r="AO115" s="218" t="e">
        <f>+VLOOKUP($B115,Mapping!$C$31:$C$81,1,FALSE)</f>
        <v>#N/A</v>
      </c>
    </row>
    <row r="116" spans="1:41">
      <c r="A116" s="218" t="str">
        <f>$A$1&amp;"Commercial"&amp;B116</f>
        <v>PIERCE EA UTCCommercialRL032.0G1W004WRECC</v>
      </c>
      <c r="B116" s="230" t="s">
        <v>269</v>
      </c>
      <c r="C116" s="230" t="s">
        <v>270</v>
      </c>
      <c r="D116" s="230" t="s">
        <v>397</v>
      </c>
      <c r="E116" s="380">
        <v>33000</v>
      </c>
      <c r="F116" s="231">
        <v>57.85</v>
      </c>
      <c r="G116" s="231">
        <v>58.54</v>
      </c>
      <c r="H116" s="231">
        <v>0</v>
      </c>
      <c r="I116" s="231">
        <v>0</v>
      </c>
      <c r="J116" s="231"/>
      <c r="K116" s="231"/>
      <c r="L116" s="231">
        <v>0</v>
      </c>
      <c r="M116" s="231">
        <v>0</v>
      </c>
      <c r="N116" s="231">
        <v>0</v>
      </c>
      <c r="O116" s="231">
        <v>0</v>
      </c>
      <c r="P116" s="231">
        <v>0</v>
      </c>
      <c r="Q116" s="231">
        <v>0</v>
      </c>
      <c r="R116" s="231">
        <v>0</v>
      </c>
      <c r="S116" s="231">
        <v>0</v>
      </c>
      <c r="T116" s="231">
        <v>0</v>
      </c>
      <c r="U116" s="231">
        <v>0</v>
      </c>
      <c r="V116" s="231">
        <v>0</v>
      </c>
      <c r="W116" s="231"/>
      <c r="X116" s="388">
        <f t="shared" si="38"/>
        <v>0</v>
      </c>
      <c r="Y116" s="389"/>
      <c r="Z116" s="389"/>
      <c r="AA116" s="233"/>
      <c r="AB116" s="233"/>
      <c r="AC116" s="233">
        <f t="shared" si="39"/>
        <v>0</v>
      </c>
      <c r="AD116" s="233">
        <f t="shared" si="40"/>
        <v>0</v>
      </c>
      <c r="AE116" s="232">
        <f t="shared" si="41"/>
        <v>0</v>
      </c>
      <c r="AF116" s="232">
        <f t="shared" si="42"/>
        <v>0</v>
      </c>
      <c r="AG116" s="232">
        <f t="shared" si="43"/>
        <v>0</v>
      </c>
      <c r="AH116" s="232">
        <f t="shared" si="44"/>
        <v>0</v>
      </c>
      <c r="AI116" s="232">
        <f t="shared" si="45"/>
        <v>0</v>
      </c>
      <c r="AJ116" s="232">
        <f t="shared" si="46"/>
        <v>0</v>
      </c>
      <c r="AK116" s="232">
        <f t="shared" si="47"/>
        <v>0</v>
      </c>
      <c r="AL116" s="232">
        <f>IFERROR(#REF!/$H116,0)</f>
        <v>0</v>
      </c>
      <c r="AM116" s="234">
        <f t="shared" si="48"/>
        <v>0</v>
      </c>
      <c r="AN116" s="234">
        <f t="shared" si="37"/>
        <v>0</v>
      </c>
      <c r="AO116" s="218" t="e">
        <f>+VLOOKUP($B116,Mapping!$C$31:$C$81,1,FALSE)</f>
        <v>#N/A</v>
      </c>
    </row>
    <row r="117" spans="1:41">
      <c r="A117" s="218" t="str">
        <f>$A$1&amp;"Commercial"&amp;B117</f>
        <v>PIERCE EA UTCCommercialRL035.0G1W001WRECC</v>
      </c>
      <c r="B117" s="230" t="s">
        <v>493</v>
      </c>
      <c r="C117" s="230" t="s">
        <v>763</v>
      </c>
      <c r="D117" s="230"/>
      <c r="F117" s="231">
        <v>17.809999999999999</v>
      </c>
      <c r="G117" s="231">
        <v>17.97</v>
      </c>
      <c r="H117" s="231">
        <v>0</v>
      </c>
      <c r="I117" s="231">
        <v>0</v>
      </c>
      <c r="J117" s="231"/>
      <c r="K117" s="231"/>
      <c r="L117" s="231">
        <v>0</v>
      </c>
      <c r="M117" s="231">
        <v>0</v>
      </c>
      <c r="N117" s="231">
        <v>0</v>
      </c>
      <c r="O117" s="231">
        <v>0</v>
      </c>
      <c r="P117" s="231">
        <v>0</v>
      </c>
      <c r="Q117" s="231">
        <v>0</v>
      </c>
      <c r="R117" s="231">
        <v>0</v>
      </c>
      <c r="S117" s="231">
        <v>0</v>
      </c>
      <c r="T117" s="231">
        <v>0</v>
      </c>
      <c r="U117" s="231">
        <v>0</v>
      </c>
      <c r="V117" s="231">
        <v>0</v>
      </c>
      <c r="W117" s="231"/>
      <c r="X117" s="388">
        <f t="shared" si="38"/>
        <v>0</v>
      </c>
      <c r="Y117" s="389"/>
      <c r="Z117" s="389"/>
      <c r="AA117" s="233"/>
      <c r="AB117" s="233"/>
      <c r="AC117" s="233">
        <f t="shared" si="39"/>
        <v>0</v>
      </c>
      <c r="AD117" s="233">
        <f t="shared" si="40"/>
        <v>0</v>
      </c>
      <c r="AE117" s="232">
        <f t="shared" si="41"/>
        <v>0</v>
      </c>
      <c r="AF117" s="232">
        <f t="shared" si="42"/>
        <v>0</v>
      </c>
      <c r="AG117" s="232">
        <f t="shared" si="43"/>
        <v>0</v>
      </c>
      <c r="AH117" s="232">
        <f t="shared" si="44"/>
        <v>0</v>
      </c>
      <c r="AI117" s="232">
        <f t="shared" si="45"/>
        <v>0</v>
      </c>
      <c r="AJ117" s="232">
        <f t="shared" si="46"/>
        <v>0</v>
      </c>
      <c r="AK117" s="232">
        <f t="shared" si="47"/>
        <v>0</v>
      </c>
      <c r="AL117" s="232">
        <f>IFERROR(#REF!/$H117,0)</f>
        <v>0</v>
      </c>
      <c r="AM117" s="234">
        <f t="shared" si="48"/>
        <v>0</v>
      </c>
      <c r="AN117" s="234">
        <f t="shared" si="37"/>
        <v>0</v>
      </c>
      <c r="AO117" s="218" t="e">
        <f>+VLOOKUP($B117,Mapping!$C$31:$C$81,1,FALSE)</f>
        <v>#N/A</v>
      </c>
    </row>
    <row r="118" spans="1:41">
      <c r="A118" s="218" t="str">
        <f>$A$1&amp;"Commercial"&amp;B118</f>
        <v>PIERCE EA UTCCommercialRL035.0G1W001NORECC</v>
      </c>
      <c r="B118" s="230" t="s">
        <v>707</v>
      </c>
      <c r="C118" s="230" t="s">
        <v>764</v>
      </c>
      <c r="D118" s="230"/>
      <c r="F118" s="231">
        <v>17.809999999999999</v>
      </c>
      <c r="G118" s="231">
        <v>17.97</v>
      </c>
      <c r="H118" s="231">
        <v>0</v>
      </c>
      <c r="I118" s="231">
        <v>0</v>
      </c>
      <c r="J118" s="231"/>
      <c r="K118" s="231"/>
      <c r="L118" s="231">
        <v>0</v>
      </c>
      <c r="M118" s="231">
        <v>0</v>
      </c>
      <c r="N118" s="231">
        <v>0</v>
      </c>
      <c r="O118" s="231">
        <v>0</v>
      </c>
      <c r="P118" s="231">
        <v>0</v>
      </c>
      <c r="Q118" s="231">
        <v>0</v>
      </c>
      <c r="R118" s="231">
        <v>0</v>
      </c>
      <c r="S118" s="231">
        <v>0</v>
      </c>
      <c r="T118" s="231">
        <v>0</v>
      </c>
      <c r="U118" s="231">
        <v>0</v>
      </c>
      <c r="V118" s="231">
        <v>0</v>
      </c>
      <c r="W118" s="231"/>
      <c r="X118" s="388">
        <f t="shared" si="38"/>
        <v>0</v>
      </c>
      <c r="Y118" s="389"/>
      <c r="Z118" s="389"/>
      <c r="AA118" s="233"/>
      <c r="AB118" s="233"/>
      <c r="AC118" s="233">
        <f t="shared" si="39"/>
        <v>0</v>
      </c>
      <c r="AD118" s="233">
        <f t="shared" si="40"/>
        <v>0</v>
      </c>
      <c r="AE118" s="232">
        <f t="shared" si="41"/>
        <v>0</v>
      </c>
      <c r="AF118" s="232">
        <f t="shared" si="42"/>
        <v>0</v>
      </c>
      <c r="AG118" s="232">
        <f t="shared" si="43"/>
        <v>0</v>
      </c>
      <c r="AH118" s="232">
        <f t="shared" si="44"/>
        <v>0</v>
      </c>
      <c r="AI118" s="232">
        <f t="shared" si="45"/>
        <v>0</v>
      </c>
      <c r="AJ118" s="232">
        <f t="shared" si="46"/>
        <v>0</v>
      </c>
      <c r="AK118" s="232">
        <f t="shared" si="47"/>
        <v>0</v>
      </c>
      <c r="AL118" s="232">
        <f>IFERROR(#REF!/$H118,0)</f>
        <v>0</v>
      </c>
      <c r="AM118" s="234">
        <f t="shared" si="48"/>
        <v>0</v>
      </c>
      <c r="AN118" s="234">
        <f t="shared" si="37"/>
        <v>0</v>
      </c>
      <c r="AO118" s="218" t="e">
        <f>+VLOOKUP($B118,Mapping!$C$31:$C$81,1,FALSE)</f>
        <v>#N/A</v>
      </c>
    </row>
    <row r="119" spans="1:41">
      <c r="A119" s="218" t="str">
        <f>$A$1&amp;"Commercial"&amp;B119</f>
        <v>PIERCE EA UTCCommercialSL065.0G1W001NORECC</v>
      </c>
      <c r="B119" s="230" t="s">
        <v>271</v>
      </c>
      <c r="C119" s="230" t="s">
        <v>272</v>
      </c>
      <c r="D119" s="230" t="s">
        <v>397</v>
      </c>
      <c r="E119" s="380">
        <v>33000</v>
      </c>
      <c r="F119" s="231">
        <v>29.18</v>
      </c>
      <c r="G119" s="231">
        <v>29.44</v>
      </c>
      <c r="H119" s="231">
        <v>29.18</v>
      </c>
      <c r="I119" s="231">
        <v>29.27</v>
      </c>
      <c r="J119" s="231"/>
      <c r="K119" s="231"/>
      <c r="L119" s="231">
        <v>0</v>
      </c>
      <c r="M119" s="231">
        <v>0</v>
      </c>
      <c r="N119" s="231">
        <v>0</v>
      </c>
      <c r="O119" s="231">
        <v>0</v>
      </c>
      <c r="P119" s="231">
        <v>29.18</v>
      </c>
      <c r="Q119" s="231">
        <v>29.18</v>
      </c>
      <c r="R119" s="231">
        <v>29.18</v>
      </c>
      <c r="S119" s="231">
        <v>29.27</v>
      </c>
      <c r="T119" s="231">
        <v>29.27</v>
      </c>
      <c r="U119" s="231">
        <v>29.27</v>
      </c>
      <c r="V119" s="231">
        <v>29.27</v>
      </c>
      <c r="W119" s="231"/>
      <c r="X119" s="388">
        <f t="shared" si="38"/>
        <v>204.62</v>
      </c>
      <c r="Y119" s="389"/>
      <c r="Z119" s="389"/>
      <c r="AA119" s="233"/>
      <c r="AB119" s="233"/>
      <c r="AC119" s="233">
        <f t="shared" si="39"/>
        <v>0</v>
      </c>
      <c r="AD119" s="233">
        <f t="shared" si="40"/>
        <v>0</v>
      </c>
      <c r="AE119" s="232">
        <f t="shared" si="41"/>
        <v>1</v>
      </c>
      <c r="AF119" s="232">
        <f t="shared" si="42"/>
        <v>1</v>
      </c>
      <c r="AG119" s="232">
        <f t="shared" si="43"/>
        <v>1</v>
      </c>
      <c r="AH119" s="232">
        <f t="shared" si="44"/>
        <v>1.003084304318026</v>
      </c>
      <c r="AI119" s="232">
        <f t="shared" si="45"/>
        <v>1.003084304318026</v>
      </c>
      <c r="AJ119" s="232">
        <f t="shared" si="46"/>
        <v>1.003084304318026</v>
      </c>
      <c r="AK119" s="232">
        <f t="shared" si="47"/>
        <v>1.003084304318026</v>
      </c>
      <c r="AL119" s="232">
        <f>IFERROR(#REF!/$H119,0)</f>
        <v>0</v>
      </c>
      <c r="AM119" s="234">
        <f t="shared" si="48"/>
        <v>0.70123372172721044</v>
      </c>
      <c r="AN119" s="234">
        <f t="shared" si="37"/>
        <v>7.0123372172721048</v>
      </c>
      <c r="AO119" s="218" t="str">
        <f>+VLOOKUP($B119,Mapping!$C$31:$C$81,1,FALSE)</f>
        <v>SL065.0G1W001NORECC</v>
      </c>
    </row>
    <row r="120" spans="1:41">
      <c r="A120" s="218" t="str">
        <f>$A$1&amp;"Commercial"&amp;B120</f>
        <v>PIERCE EA UTCCommercialSL065.0G1W001WRECC</v>
      </c>
      <c r="B120" s="230" t="s">
        <v>273</v>
      </c>
      <c r="C120" s="230" t="s">
        <v>274</v>
      </c>
      <c r="D120" s="230" t="s">
        <v>397</v>
      </c>
      <c r="E120" s="380">
        <v>33000</v>
      </c>
      <c r="F120" s="231">
        <v>29.18</v>
      </c>
      <c r="G120" s="231">
        <v>29.44</v>
      </c>
      <c r="H120" s="231">
        <v>29.18</v>
      </c>
      <c r="I120" s="231">
        <v>29.27</v>
      </c>
      <c r="J120" s="231"/>
      <c r="K120" s="231"/>
      <c r="L120" s="231">
        <v>0</v>
      </c>
      <c r="M120" s="231">
        <v>0</v>
      </c>
      <c r="N120" s="231">
        <v>29.44</v>
      </c>
      <c r="O120" s="231">
        <v>29.44</v>
      </c>
      <c r="P120" s="231">
        <v>0</v>
      </c>
      <c r="Q120" s="231">
        <v>0</v>
      </c>
      <c r="R120" s="231">
        <v>0</v>
      </c>
      <c r="S120" s="231">
        <v>0</v>
      </c>
      <c r="T120" s="231">
        <v>0</v>
      </c>
      <c r="U120" s="231">
        <v>0</v>
      </c>
      <c r="V120" s="231">
        <v>0</v>
      </c>
      <c r="W120" s="231"/>
      <c r="X120" s="388">
        <f t="shared" si="38"/>
        <v>58.88</v>
      </c>
      <c r="Y120" s="389"/>
      <c r="Z120" s="389"/>
      <c r="AA120" s="233"/>
      <c r="AB120" s="233"/>
      <c r="AC120" s="233">
        <f t="shared" si="39"/>
        <v>1</v>
      </c>
      <c r="AD120" s="233">
        <f t="shared" si="40"/>
        <v>1</v>
      </c>
      <c r="AE120" s="232">
        <f t="shared" si="41"/>
        <v>0</v>
      </c>
      <c r="AF120" s="232">
        <f t="shared" si="42"/>
        <v>0</v>
      </c>
      <c r="AG120" s="232">
        <f t="shared" si="43"/>
        <v>0</v>
      </c>
      <c r="AH120" s="232">
        <f t="shared" si="44"/>
        <v>0</v>
      </c>
      <c r="AI120" s="232">
        <f t="shared" si="45"/>
        <v>0</v>
      </c>
      <c r="AJ120" s="232">
        <f t="shared" si="46"/>
        <v>0</v>
      </c>
      <c r="AK120" s="232">
        <f t="shared" si="47"/>
        <v>0</v>
      </c>
      <c r="AL120" s="232">
        <f>IFERROR(#REF!/$H120,0)</f>
        <v>0</v>
      </c>
      <c r="AM120" s="234">
        <f t="shared" si="48"/>
        <v>0.2</v>
      </c>
      <c r="AN120" s="234">
        <f t="shared" si="37"/>
        <v>2</v>
      </c>
      <c r="AO120" s="218" t="str">
        <f>+VLOOKUP($B120,Mapping!$C$31:$C$81,1,FALSE)</f>
        <v>SL065.0G1W001WRECC</v>
      </c>
    </row>
    <row r="121" spans="1:41">
      <c r="A121" s="218" t="str">
        <f>$A$1&amp;"Commercial"&amp;B121</f>
        <v>PIERCE EA UTCCommercialSL065.0GEO001NORECC</v>
      </c>
      <c r="B121" s="230" t="s">
        <v>275</v>
      </c>
      <c r="C121" s="230" t="s">
        <v>276</v>
      </c>
      <c r="D121" s="230" t="s">
        <v>397</v>
      </c>
      <c r="E121" s="380">
        <v>33000</v>
      </c>
      <c r="F121" s="231">
        <v>20.9</v>
      </c>
      <c r="G121" s="231">
        <v>21.03</v>
      </c>
      <c r="H121" s="231">
        <v>20.83</v>
      </c>
      <c r="I121" s="231">
        <v>20.88</v>
      </c>
      <c r="J121" s="231"/>
      <c r="K121" s="231"/>
      <c r="L121" s="231">
        <v>0</v>
      </c>
      <c r="M121" s="231">
        <v>0</v>
      </c>
      <c r="N121" s="231">
        <v>0</v>
      </c>
      <c r="O121" s="231">
        <v>0</v>
      </c>
      <c r="P121" s="231">
        <v>0</v>
      </c>
      <c r="Q121" s="231">
        <v>0</v>
      </c>
      <c r="R121" s="231">
        <v>0</v>
      </c>
      <c r="S121" s="231">
        <v>0</v>
      </c>
      <c r="T121" s="231">
        <v>0</v>
      </c>
      <c r="U121" s="231">
        <v>0</v>
      </c>
      <c r="V121" s="231">
        <v>0</v>
      </c>
      <c r="W121" s="231"/>
      <c r="X121" s="388">
        <f t="shared" si="38"/>
        <v>0</v>
      </c>
      <c r="Y121" s="389"/>
      <c r="Z121" s="389"/>
      <c r="AA121" s="233"/>
      <c r="AB121" s="233"/>
      <c r="AC121" s="233">
        <f t="shared" si="39"/>
        <v>0</v>
      </c>
      <c r="AD121" s="233">
        <f t="shared" si="40"/>
        <v>0</v>
      </c>
      <c r="AE121" s="232">
        <f t="shared" si="41"/>
        <v>0</v>
      </c>
      <c r="AF121" s="232">
        <f t="shared" si="42"/>
        <v>0</v>
      </c>
      <c r="AG121" s="232">
        <f t="shared" si="43"/>
        <v>0</v>
      </c>
      <c r="AH121" s="232">
        <f t="shared" si="44"/>
        <v>0</v>
      </c>
      <c r="AI121" s="232">
        <f t="shared" si="45"/>
        <v>0</v>
      </c>
      <c r="AJ121" s="232">
        <f t="shared" si="46"/>
        <v>0</v>
      </c>
      <c r="AK121" s="232">
        <f t="shared" si="47"/>
        <v>0</v>
      </c>
      <c r="AL121" s="232">
        <f>IFERROR(#REF!/$H121,0)</f>
        <v>0</v>
      </c>
      <c r="AM121" s="234">
        <f t="shared" si="48"/>
        <v>0</v>
      </c>
      <c r="AN121" s="234">
        <f t="shared" si="37"/>
        <v>0</v>
      </c>
      <c r="AO121" s="218" t="str">
        <f>+VLOOKUP($B121,Mapping!$C$31:$C$81,1,FALSE)</f>
        <v>SL065.0GEO001NORECC</v>
      </c>
    </row>
    <row r="122" spans="1:41">
      <c r="A122" s="218" t="str">
        <f>$A$1&amp;"Commercial"&amp;B122</f>
        <v>PIERCE EA UTCCommercialSL065.0GEO001WRECC</v>
      </c>
      <c r="B122" s="230" t="s">
        <v>277</v>
      </c>
      <c r="C122" s="230" t="s">
        <v>278</v>
      </c>
      <c r="D122" s="230" t="s">
        <v>397</v>
      </c>
      <c r="E122" s="380">
        <v>33000</v>
      </c>
      <c r="F122" s="231">
        <v>20.9</v>
      </c>
      <c r="G122" s="231">
        <v>21.03</v>
      </c>
      <c r="H122" s="231">
        <v>20.83</v>
      </c>
      <c r="I122" s="231">
        <v>20.88</v>
      </c>
      <c r="J122" s="231"/>
      <c r="K122" s="231"/>
      <c r="L122" s="231">
        <v>0</v>
      </c>
      <c r="M122" s="231">
        <v>0</v>
      </c>
      <c r="N122" s="231">
        <v>42.06</v>
      </c>
      <c r="O122" s="231">
        <v>42.06</v>
      </c>
      <c r="P122" s="231">
        <v>41.66</v>
      </c>
      <c r="Q122" s="231">
        <v>41.66</v>
      </c>
      <c r="R122" s="231">
        <v>41.66</v>
      </c>
      <c r="S122" s="231">
        <v>41.76</v>
      </c>
      <c r="T122" s="231">
        <v>41.76</v>
      </c>
      <c r="U122" s="231">
        <v>41.76</v>
      </c>
      <c r="V122" s="231">
        <v>41.76</v>
      </c>
      <c r="W122" s="231"/>
      <c r="X122" s="388">
        <f t="shared" si="38"/>
        <v>376.14</v>
      </c>
      <c r="Y122" s="389"/>
      <c r="Z122" s="389"/>
      <c r="AA122" s="233"/>
      <c r="AB122" s="233"/>
      <c r="AC122" s="233">
        <f t="shared" si="39"/>
        <v>2</v>
      </c>
      <c r="AD122" s="233">
        <f t="shared" si="40"/>
        <v>2</v>
      </c>
      <c r="AE122" s="232">
        <f t="shared" si="41"/>
        <v>2</v>
      </c>
      <c r="AF122" s="232">
        <f t="shared" si="42"/>
        <v>2</v>
      </c>
      <c r="AG122" s="232">
        <f t="shared" si="43"/>
        <v>2</v>
      </c>
      <c r="AH122" s="232">
        <f t="shared" si="44"/>
        <v>2.0048007681228999</v>
      </c>
      <c r="AI122" s="232">
        <f t="shared" si="45"/>
        <v>2.0048007681228999</v>
      </c>
      <c r="AJ122" s="232">
        <f t="shared" si="46"/>
        <v>2.0048007681228999</v>
      </c>
      <c r="AK122" s="232">
        <f t="shared" si="47"/>
        <v>2.0048007681228999</v>
      </c>
      <c r="AL122" s="232">
        <f>IFERROR(#REF!/$H122,0)</f>
        <v>0</v>
      </c>
      <c r="AM122" s="234">
        <f t="shared" si="48"/>
        <v>1.8019203072491599</v>
      </c>
      <c r="AN122" s="234">
        <f t="shared" si="37"/>
        <v>18.019203072491599</v>
      </c>
      <c r="AO122" s="218" t="str">
        <f>+VLOOKUP($B122,Mapping!$C$31:$C$81,1,FALSE)</f>
        <v>SL065.0GEO001WRECC</v>
      </c>
    </row>
    <row r="123" spans="1:41">
      <c r="A123" s="218" t="str">
        <f>$A$1&amp;"Commercial"&amp;B123</f>
        <v>PIERCE EA UTCCommercialSL095.0G1W001NORECC</v>
      </c>
      <c r="B123" s="230" t="s">
        <v>279</v>
      </c>
      <c r="C123" s="230" t="s">
        <v>280</v>
      </c>
      <c r="D123" s="230" t="s">
        <v>397</v>
      </c>
      <c r="E123" s="380">
        <v>33000</v>
      </c>
      <c r="F123" s="231">
        <v>37.24</v>
      </c>
      <c r="G123" s="231">
        <v>37.58</v>
      </c>
      <c r="H123" s="231">
        <v>37.24</v>
      </c>
      <c r="I123" s="231">
        <v>37.369999999999997</v>
      </c>
      <c r="J123" s="231"/>
      <c r="K123" s="231"/>
      <c r="L123" s="231">
        <v>0</v>
      </c>
      <c r="M123" s="231">
        <v>0</v>
      </c>
      <c r="N123" s="231">
        <v>0</v>
      </c>
      <c r="O123" s="231">
        <v>0</v>
      </c>
      <c r="P123" s="231">
        <v>0</v>
      </c>
      <c r="Q123" s="231">
        <v>0</v>
      </c>
      <c r="R123" s="231">
        <v>0</v>
      </c>
      <c r="S123" s="231">
        <v>0</v>
      </c>
      <c r="T123" s="231">
        <v>0</v>
      </c>
      <c r="U123" s="231">
        <v>0</v>
      </c>
      <c r="V123" s="231">
        <v>0</v>
      </c>
      <c r="W123" s="231"/>
      <c r="X123" s="388">
        <f t="shared" si="38"/>
        <v>0</v>
      </c>
      <c r="Y123" s="389"/>
      <c r="Z123" s="389"/>
      <c r="AA123" s="233"/>
      <c r="AB123" s="233"/>
      <c r="AC123" s="233">
        <f t="shared" si="39"/>
        <v>0</v>
      </c>
      <c r="AD123" s="233">
        <f t="shared" si="40"/>
        <v>0</v>
      </c>
      <c r="AE123" s="232">
        <f t="shared" si="41"/>
        <v>0</v>
      </c>
      <c r="AF123" s="232">
        <f t="shared" si="42"/>
        <v>0</v>
      </c>
      <c r="AG123" s="232">
        <f t="shared" si="43"/>
        <v>0</v>
      </c>
      <c r="AH123" s="232">
        <f t="shared" si="44"/>
        <v>0</v>
      </c>
      <c r="AI123" s="232">
        <f t="shared" si="45"/>
        <v>0</v>
      </c>
      <c r="AJ123" s="232">
        <f t="shared" si="46"/>
        <v>0</v>
      </c>
      <c r="AK123" s="232">
        <f t="shared" si="47"/>
        <v>0</v>
      </c>
      <c r="AL123" s="232">
        <f>IFERROR(#REF!/$H123,0)</f>
        <v>0</v>
      </c>
      <c r="AM123" s="234">
        <f t="shared" si="48"/>
        <v>0</v>
      </c>
      <c r="AN123" s="234">
        <f t="shared" si="37"/>
        <v>0</v>
      </c>
      <c r="AO123" s="218" t="str">
        <f>+VLOOKUP($B123,Mapping!$C$31:$C$81,1,FALSE)</f>
        <v>SL095.0G1W001NORECC</v>
      </c>
    </row>
    <row r="124" spans="1:41">
      <c r="A124" s="218" t="str">
        <f>$A$1&amp;"Commercial"&amp;B124</f>
        <v>PIERCE EA UTCCommercialSL095.0G1W001WRECC</v>
      </c>
      <c r="B124" s="230" t="s">
        <v>281</v>
      </c>
      <c r="C124" s="230" t="s">
        <v>282</v>
      </c>
      <c r="D124" s="230" t="s">
        <v>397</v>
      </c>
      <c r="E124" s="380">
        <v>33000</v>
      </c>
      <c r="F124" s="231">
        <v>37.24</v>
      </c>
      <c r="G124" s="231">
        <v>37.58</v>
      </c>
      <c r="H124" s="231">
        <v>37.24</v>
      </c>
      <c r="I124" s="231">
        <v>37.369999999999997</v>
      </c>
      <c r="J124" s="231"/>
      <c r="K124" s="231"/>
      <c r="L124" s="231">
        <v>0</v>
      </c>
      <c r="M124" s="231">
        <v>0</v>
      </c>
      <c r="N124" s="231">
        <v>300.64</v>
      </c>
      <c r="O124" s="231">
        <v>225.48</v>
      </c>
      <c r="P124" s="231">
        <v>223.44</v>
      </c>
      <c r="Q124" s="231">
        <v>223.44</v>
      </c>
      <c r="R124" s="231">
        <v>223.44</v>
      </c>
      <c r="S124" s="231">
        <v>224.22</v>
      </c>
      <c r="T124" s="231">
        <v>224.22</v>
      </c>
      <c r="U124" s="231">
        <v>242.91</v>
      </c>
      <c r="V124" s="231">
        <v>261.58999999999997</v>
      </c>
      <c r="W124" s="231"/>
      <c r="X124" s="388">
        <f t="shared" si="38"/>
        <v>2149.38</v>
      </c>
      <c r="Y124" s="389"/>
      <c r="Z124" s="389"/>
      <c r="AA124" s="233"/>
      <c r="AB124" s="233"/>
      <c r="AC124" s="233">
        <f t="shared" si="39"/>
        <v>8</v>
      </c>
      <c r="AD124" s="233">
        <f t="shared" si="40"/>
        <v>6</v>
      </c>
      <c r="AE124" s="232">
        <f t="shared" si="41"/>
        <v>6</v>
      </c>
      <c r="AF124" s="232">
        <f t="shared" si="42"/>
        <v>6</v>
      </c>
      <c r="AG124" s="232">
        <f t="shared" si="43"/>
        <v>6</v>
      </c>
      <c r="AH124" s="232">
        <f t="shared" si="44"/>
        <v>6.0209452201933402</v>
      </c>
      <c r="AI124" s="232">
        <f t="shared" si="45"/>
        <v>6.0209452201933402</v>
      </c>
      <c r="AJ124" s="232">
        <f t="shared" si="46"/>
        <v>6.5228249194414607</v>
      </c>
      <c r="AK124" s="232">
        <f t="shared" si="47"/>
        <v>7.0244360902255627</v>
      </c>
      <c r="AL124" s="232">
        <f>IFERROR(#REF!/$H124,0)</f>
        <v>0</v>
      </c>
      <c r="AM124" s="234">
        <f t="shared" si="48"/>
        <v>5.7589151450053704</v>
      </c>
      <c r="AN124" s="234">
        <f t="shared" si="37"/>
        <v>57.589151450053706</v>
      </c>
      <c r="AO124" s="218" t="str">
        <f>+VLOOKUP($B124,Mapping!$C$31:$C$81,1,FALSE)</f>
        <v>SL095.0G1W001WRECC</v>
      </c>
    </row>
    <row r="125" spans="1:41">
      <c r="A125" s="218" t="str">
        <f>$A$1&amp;"Commercial"&amp;B125</f>
        <v>PIERCE EA UTCCommercialSL095.0GEO001NORECC</v>
      </c>
      <c r="B125" s="230" t="s">
        <v>283</v>
      </c>
      <c r="C125" s="230" t="s">
        <v>284</v>
      </c>
      <c r="D125" s="230" t="s">
        <v>397</v>
      </c>
      <c r="E125" s="380">
        <v>33000</v>
      </c>
      <c r="F125" s="231">
        <v>26.81</v>
      </c>
      <c r="G125" s="231">
        <v>26.99</v>
      </c>
      <c r="H125" s="231">
        <v>26.74</v>
      </c>
      <c r="I125" s="231">
        <v>26.82</v>
      </c>
      <c r="J125" s="231"/>
      <c r="K125" s="231"/>
      <c r="L125" s="231">
        <v>0</v>
      </c>
      <c r="M125" s="231">
        <v>0</v>
      </c>
      <c r="N125" s="231">
        <v>0</v>
      </c>
      <c r="O125" s="231">
        <v>0</v>
      </c>
      <c r="P125" s="231">
        <v>0</v>
      </c>
      <c r="Q125" s="231">
        <v>0</v>
      </c>
      <c r="R125" s="231">
        <v>0</v>
      </c>
      <c r="S125" s="231">
        <v>0</v>
      </c>
      <c r="T125" s="231">
        <v>0</v>
      </c>
      <c r="U125" s="231">
        <v>0</v>
      </c>
      <c r="V125" s="231">
        <v>0</v>
      </c>
      <c r="W125" s="231"/>
      <c r="X125" s="388">
        <f t="shared" si="38"/>
        <v>0</v>
      </c>
      <c r="Y125" s="389"/>
      <c r="Z125" s="389"/>
      <c r="AA125" s="233"/>
      <c r="AB125" s="233"/>
      <c r="AC125" s="233">
        <f t="shared" si="39"/>
        <v>0</v>
      </c>
      <c r="AD125" s="233">
        <f t="shared" si="40"/>
        <v>0</v>
      </c>
      <c r="AE125" s="232">
        <f t="shared" si="41"/>
        <v>0</v>
      </c>
      <c r="AF125" s="232">
        <f t="shared" si="42"/>
        <v>0</v>
      </c>
      <c r="AG125" s="232">
        <f t="shared" si="43"/>
        <v>0</v>
      </c>
      <c r="AH125" s="232">
        <f t="shared" si="44"/>
        <v>0</v>
      </c>
      <c r="AI125" s="232">
        <f t="shared" si="45"/>
        <v>0</v>
      </c>
      <c r="AJ125" s="232">
        <f t="shared" si="46"/>
        <v>0</v>
      </c>
      <c r="AK125" s="232">
        <f t="shared" si="47"/>
        <v>0</v>
      </c>
      <c r="AL125" s="232">
        <f>IFERROR(#REF!/$H125,0)</f>
        <v>0</v>
      </c>
      <c r="AM125" s="234">
        <f t="shared" si="48"/>
        <v>0</v>
      </c>
      <c r="AN125" s="234">
        <f t="shared" si="37"/>
        <v>0</v>
      </c>
      <c r="AO125" s="218" t="str">
        <f>+VLOOKUP($B125,Mapping!$C$31:$C$81,1,FALSE)</f>
        <v>SL095.0GEO001NORECC</v>
      </c>
    </row>
    <row r="126" spans="1:41">
      <c r="A126" s="218" t="str">
        <f>$A$1&amp;"Commercial"&amp;B126</f>
        <v>PIERCE EA UTCCommercialSL095.0GEO001WRECC</v>
      </c>
      <c r="B126" s="230" t="s">
        <v>285</v>
      </c>
      <c r="C126" s="230" t="s">
        <v>286</v>
      </c>
      <c r="D126" s="230" t="s">
        <v>397</v>
      </c>
      <c r="E126" s="380">
        <v>33000</v>
      </c>
      <c r="F126" s="231">
        <v>26.81</v>
      </c>
      <c r="G126" s="231">
        <v>26.99</v>
      </c>
      <c r="H126" s="231">
        <v>26.74</v>
      </c>
      <c r="I126" s="231">
        <v>26.82</v>
      </c>
      <c r="J126" s="231"/>
      <c r="K126" s="231"/>
      <c r="L126" s="231">
        <v>0</v>
      </c>
      <c r="M126" s="231">
        <v>0</v>
      </c>
      <c r="N126" s="231">
        <v>26.99</v>
      </c>
      <c r="O126" s="231">
        <v>53.98</v>
      </c>
      <c r="P126" s="231">
        <v>53.48</v>
      </c>
      <c r="Q126" s="231">
        <v>53.48</v>
      </c>
      <c r="R126" s="231">
        <v>40.11</v>
      </c>
      <c r="S126" s="231">
        <v>26.82</v>
      </c>
      <c r="T126" s="231">
        <v>26.82</v>
      </c>
      <c r="U126" s="231">
        <v>26.82</v>
      </c>
      <c r="V126" s="231">
        <v>26.82</v>
      </c>
      <c r="W126" s="231"/>
      <c r="X126" s="388">
        <f t="shared" si="38"/>
        <v>335.31999999999994</v>
      </c>
      <c r="Y126" s="389"/>
      <c r="Z126" s="389"/>
      <c r="AA126" s="233"/>
      <c r="AB126" s="233"/>
      <c r="AC126" s="233">
        <f t="shared" si="39"/>
        <v>1</v>
      </c>
      <c r="AD126" s="233">
        <f t="shared" si="40"/>
        <v>2</v>
      </c>
      <c r="AE126" s="232">
        <f t="shared" si="41"/>
        <v>2</v>
      </c>
      <c r="AF126" s="232">
        <f t="shared" si="42"/>
        <v>2</v>
      </c>
      <c r="AG126" s="232">
        <f t="shared" si="43"/>
        <v>1.5</v>
      </c>
      <c r="AH126" s="232">
        <f t="shared" si="44"/>
        <v>1.0029917726252806</v>
      </c>
      <c r="AI126" s="232">
        <f t="shared" si="45"/>
        <v>1.0029917726252806</v>
      </c>
      <c r="AJ126" s="232">
        <f t="shared" si="46"/>
        <v>1.0029917726252806</v>
      </c>
      <c r="AK126" s="232">
        <f t="shared" si="47"/>
        <v>1.0029917726252806</v>
      </c>
      <c r="AL126" s="232">
        <f>IFERROR(#REF!/$H126,0)</f>
        <v>0</v>
      </c>
      <c r="AM126" s="234">
        <f t="shared" si="48"/>
        <v>1.2511967090501124</v>
      </c>
      <c r="AN126" s="234">
        <f t="shared" si="37"/>
        <v>12.511967090501123</v>
      </c>
      <c r="AO126" s="218" t="str">
        <f>+VLOOKUP($B126,Mapping!$C$31:$C$81,1,FALSE)</f>
        <v>SL095.0GEO001WRECC</v>
      </c>
    </row>
    <row r="127" spans="1:41">
      <c r="A127" s="218" t="str">
        <f>$A$1&amp;"Commercial"&amp;B127</f>
        <v>PIERCE EA UTCCommercialCANCOUNT65-COMM</v>
      </c>
      <c r="B127" s="230" t="s">
        <v>287</v>
      </c>
      <c r="C127" s="230" t="s">
        <v>288</v>
      </c>
      <c r="D127" s="230" t="s">
        <v>397</v>
      </c>
      <c r="E127" s="380">
        <v>33000</v>
      </c>
      <c r="F127" s="231">
        <v>6.74</v>
      </c>
      <c r="G127" s="231">
        <v>6.8</v>
      </c>
      <c r="H127" s="231">
        <v>0</v>
      </c>
      <c r="I127" s="231">
        <v>0</v>
      </c>
      <c r="J127" s="231"/>
      <c r="K127" s="231"/>
      <c r="L127" s="231">
        <v>0</v>
      </c>
      <c r="M127" s="231">
        <v>0</v>
      </c>
      <c r="N127" s="231">
        <v>0</v>
      </c>
      <c r="O127" s="231">
        <v>0</v>
      </c>
      <c r="P127" s="231">
        <v>0</v>
      </c>
      <c r="Q127" s="231">
        <v>0</v>
      </c>
      <c r="R127" s="231">
        <v>0</v>
      </c>
      <c r="S127" s="231">
        <v>0</v>
      </c>
      <c r="T127" s="231">
        <v>0</v>
      </c>
      <c r="U127" s="231">
        <v>0</v>
      </c>
      <c r="V127" s="231">
        <v>0</v>
      </c>
      <c r="W127" s="231"/>
      <c r="X127" s="388">
        <f t="shared" si="38"/>
        <v>0</v>
      </c>
      <c r="Y127" s="389"/>
      <c r="Z127" s="389"/>
      <c r="AA127" s="233"/>
      <c r="AB127" s="233"/>
      <c r="AC127" s="233">
        <f t="shared" si="39"/>
        <v>0</v>
      </c>
      <c r="AD127" s="233">
        <f t="shared" si="40"/>
        <v>0</v>
      </c>
      <c r="AE127" s="232">
        <f t="shared" si="41"/>
        <v>0</v>
      </c>
      <c r="AF127" s="232">
        <f t="shared" si="42"/>
        <v>0</v>
      </c>
      <c r="AG127" s="232">
        <f t="shared" si="43"/>
        <v>0</v>
      </c>
      <c r="AH127" s="232">
        <f t="shared" si="44"/>
        <v>0</v>
      </c>
      <c r="AI127" s="232">
        <f t="shared" si="45"/>
        <v>0</v>
      </c>
      <c r="AJ127" s="232">
        <f t="shared" si="46"/>
        <v>0</v>
      </c>
      <c r="AK127" s="232">
        <f t="shared" si="47"/>
        <v>0</v>
      </c>
      <c r="AL127" s="232">
        <f>IFERROR(#REF!/$H127,0)</f>
        <v>0</v>
      </c>
      <c r="AM127" s="260">
        <f t="shared" si="48"/>
        <v>0</v>
      </c>
      <c r="AN127" s="260">
        <f t="shared" si="37"/>
        <v>0</v>
      </c>
      <c r="AO127" s="218" t="str">
        <f>+VLOOKUP($B127,Mapping!$C$31:$C$81,1,FALSE)</f>
        <v>CANCOUNT65-COMM</v>
      </c>
    </row>
    <row r="128" spans="1:41">
      <c r="A128" s="218" t="str">
        <f>$A$1&amp;"Commercial"&amp;B128</f>
        <v>PIERCE EA UTCCommercialCANCOUNT95-COMM</v>
      </c>
      <c r="B128" s="230" t="s">
        <v>289</v>
      </c>
      <c r="C128" s="230" t="s">
        <v>290</v>
      </c>
      <c r="D128" s="230" t="s">
        <v>397</v>
      </c>
      <c r="E128" s="380">
        <v>33000</v>
      </c>
      <c r="F128" s="231">
        <v>8.6</v>
      </c>
      <c r="G128" s="231">
        <v>8.68</v>
      </c>
      <c r="H128" s="231">
        <v>0</v>
      </c>
      <c r="I128" s="231">
        <v>0</v>
      </c>
      <c r="J128" s="231"/>
      <c r="K128" s="231"/>
      <c r="L128" s="231">
        <v>0</v>
      </c>
      <c r="M128" s="231">
        <v>0</v>
      </c>
      <c r="N128" s="231">
        <v>0</v>
      </c>
      <c r="O128" s="231">
        <v>0</v>
      </c>
      <c r="P128" s="231">
        <v>0</v>
      </c>
      <c r="Q128" s="231">
        <v>0</v>
      </c>
      <c r="R128" s="231">
        <v>0</v>
      </c>
      <c r="S128" s="231">
        <v>0</v>
      </c>
      <c r="T128" s="231">
        <v>0</v>
      </c>
      <c r="U128" s="231">
        <v>0</v>
      </c>
      <c r="V128" s="231">
        <v>0</v>
      </c>
      <c r="W128" s="231"/>
      <c r="X128" s="388">
        <f t="shared" si="38"/>
        <v>0</v>
      </c>
      <c r="Y128" s="389"/>
      <c r="Z128" s="389"/>
      <c r="AA128" s="233"/>
      <c r="AB128" s="233"/>
      <c r="AC128" s="233">
        <f t="shared" si="39"/>
        <v>0</v>
      </c>
      <c r="AD128" s="233">
        <f t="shared" si="40"/>
        <v>0</v>
      </c>
      <c r="AE128" s="232">
        <f t="shared" si="41"/>
        <v>0</v>
      </c>
      <c r="AF128" s="232">
        <f t="shared" si="42"/>
        <v>0</v>
      </c>
      <c r="AG128" s="232">
        <f t="shared" si="43"/>
        <v>0</v>
      </c>
      <c r="AH128" s="232">
        <f t="shared" si="44"/>
        <v>0</v>
      </c>
      <c r="AI128" s="232">
        <f t="shared" si="45"/>
        <v>0</v>
      </c>
      <c r="AJ128" s="232">
        <f t="shared" si="46"/>
        <v>0</v>
      </c>
      <c r="AK128" s="232">
        <f t="shared" si="47"/>
        <v>0</v>
      </c>
      <c r="AL128" s="232">
        <f>IFERROR(#REF!/$H128,0)</f>
        <v>0</v>
      </c>
      <c r="AM128" s="260">
        <f t="shared" si="48"/>
        <v>0</v>
      </c>
      <c r="AN128" s="260">
        <f t="shared" si="37"/>
        <v>0</v>
      </c>
      <c r="AO128" s="218" t="str">
        <f>+VLOOKUP($B128,Mapping!$C$31:$C$81,1,FALSE)</f>
        <v>CANCOUNT95-COMM</v>
      </c>
    </row>
    <row r="129" spans="1:41">
      <c r="A129" s="218" t="str">
        <f>$A$1&amp;"Commercial"&amp;B129</f>
        <v>PIERCE EA UTCCommercialCANCOUNT-COMM</v>
      </c>
      <c r="B129" s="230" t="s">
        <v>291</v>
      </c>
      <c r="C129" s="230" t="s">
        <v>292</v>
      </c>
      <c r="D129" s="230" t="s">
        <v>397</v>
      </c>
      <c r="E129" s="380">
        <v>33000</v>
      </c>
      <c r="F129" s="231">
        <v>3.34</v>
      </c>
      <c r="G129" s="231">
        <v>3.38</v>
      </c>
      <c r="H129" s="231">
        <v>0</v>
      </c>
      <c r="I129" s="231">
        <v>0</v>
      </c>
      <c r="J129" s="231"/>
      <c r="K129" s="231"/>
      <c r="L129" s="231">
        <v>0</v>
      </c>
      <c r="M129" s="231">
        <v>0</v>
      </c>
      <c r="N129" s="231">
        <v>0</v>
      </c>
      <c r="O129" s="231">
        <v>0</v>
      </c>
      <c r="P129" s="231">
        <v>0</v>
      </c>
      <c r="Q129" s="231">
        <v>0</v>
      </c>
      <c r="R129" s="231">
        <v>0</v>
      </c>
      <c r="S129" s="231">
        <v>0</v>
      </c>
      <c r="T129" s="231">
        <v>0</v>
      </c>
      <c r="U129" s="231">
        <v>0</v>
      </c>
      <c r="V129" s="231">
        <v>0</v>
      </c>
      <c r="W129" s="231"/>
      <c r="X129" s="388">
        <f t="shared" si="38"/>
        <v>0</v>
      </c>
      <c r="Y129" s="389"/>
      <c r="Z129" s="389"/>
      <c r="AA129" s="233"/>
      <c r="AB129" s="233"/>
      <c r="AC129" s="233">
        <f t="shared" si="39"/>
        <v>0</v>
      </c>
      <c r="AD129" s="233">
        <f t="shared" si="40"/>
        <v>0</v>
      </c>
      <c r="AE129" s="232">
        <f t="shared" si="41"/>
        <v>0</v>
      </c>
      <c r="AF129" s="232">
        <f t="shared" si="42"/>
        <v>0</v>
      </c>
      <c r="AG129" s="232">
        <f t="shared" si="43"/>
        <v>0</v>
      </c>
      <c r="AH129" s="232">
        <f t="shared" si="44"/>
        <v>0</v>
      </c>
      <c r="AI129" s="232">
        <f t="shared" si="45"/>
        <v>0</v>
      </c>
      <c r="AJ129" s="232">
        <f t="shared" si="46"/>
        <v>0</v>
      </c>
      <c r="AK129" s="232">
        <f t="shared" si="47"/>
        <v>0</v>
      </c>
      <c r="AL129" s="232">
        <f>IFERROR(#REF!/$H129,0)</f>
        <v>0</v>
      </c>
      <c r="AM129" s="260">
        <f t="shared" si="48"/>
        <v>0</v>
      </c>
      <c r="AN129" s="260">
        <f t="shared" si="37"/>
        <v>0</v>
      </c>
      <c r="AO129" s="218" t="str">
        <f>+VLOOKUP($B129,Mapping!$C$31:$C$81,1,FALSE)</f>
        <v>CANCOUNT-COMM</v>
      </c>
    </row>
    <row r="130" spans="1:41">
      <c r="A130" s="218" t="str">
        <f>$A$1&amp;"Commercial"&amp;B130</f>
        <v>PIERCE EA UTCCommercialDIST4CAN-COMM</v>
      </c>
      <c r="B130" s="230" t="s">
        <v>293</v>
      </c>
      <c r="C130" s="230" t="s">
        <v>294</v>
      </c>
      <c r="D130" s="230" t="s">
        <v>397</v>
      </c>
      <c r="E130" s="380">
        <v>33000</v>
      </c>
      <c r="F130" s="231">
        <v>57.85</v>
      </c>
      <c r="G130" s="231">
        <v>58.54</v>
      </c>
      <c r="H130" s="231">
        <v>0</v>
      </c>
      <c r="I130" s="231">
        <v>0</v>
      </c>
      <c r="J130" s="231"/>
      <c r="K130" s="231"/>
      <c r="L130" s="231">
        <v>0</v>
      </c>
      <c r="M130" s="231">
        <v>0</v>
      </c>
      <c r="N130" s="231">
        <v>0</v>
      </c>
      <c r="O130" s="231">
        <v>0</v>
      </c>
      <c r="P130" s="231">
        <v>0</v>
      </c>
      <c r="Q130" s="231">
        <v>0</v>
      </c>
      <c r="R130" s="231">
        <v>0</v>
      </c>
      <c r="S130" s="231">
        <v>0</v>
      </c>
      <c r="T130" s="231">
        <v>0</v>
      </c>
      <c r="U130" s="231">
        <v>0</v>
      </c>
      <c r="V130" s="231">
        <v>0</v>
      </c>
      <c r="W130" s="231"/>
      <c r="X130" s="388">
        <f t="shared" si="38"/>
        <v>0</v>
      </c>
      <c r="Y130" s="389"/>
      <c r="Z130" s="389"/>
      <c r="AA130" s="233"/>
      <c r="AB130" s="233"/>
      <c r="AC130" s="233">
        <f t="shared" si="39"/>
        <v>0</v>
      </c>
      <c r="AD130" s="233">
        <f t="shared" si="40"/>
        <v>0</v>
      </c>
      <c r="AE130" s="232">
        <f t="shared" si="41"/>
        <v>0</v>
      </c>
      <c r="AF130" s="232">
        <f t="shared" si="42"/>
        <v>0</v>
      </c>
      <c r="AG130" s="232">
        <f t="shared" si="43"/>
        <v>0</v>
      </c>
      <c r="AH130" s="232">
        <f t="shared" si="44"/>
        <v>0</v>
      </c>
      <c r="AI130" s="232">
        <f t="shared" si="45"/>
        <v>0</v>
      </c>
      <c r="AJ130" s="232">
        <f t="shared" si="46"/>
        <v>0</v>
      </c>
      <c r="AK130" s="232">
        <f t="shared" si="47"/>
        <v>0</v>
      </c>
      <c r="AL130" s="232">
        <f>IFERROR(#REF!/$H130,0)</f>
        <v>0</v>
      </c>
      <c r="AM130" s="234">
        <f t="shared" si="48"/>
        <v>0</v>
      </c>
      <c r="AN130" s="234">
        <f t="shared" si="37"/>
        <v>0</v>
      </c>
      <c r="AO130" s="218" t="str">
        <f>+VLOOKUP($B130,Mapping!$C$31:$C$81,1,FALSE)</f>
        <v>DIST4CAN-COMM</v>
      </c>
    </row>
    <row r="131" spans="1:41">
      <c r="A131" s="218" t="str">
        <f>$A$1&amp;"Commercial"&amp;B131</f>
        <v>PIERCE EA UTCCommercialFL001.0YXX001TEMPC</v>
      </c>
      <c r="B131" s="230" t="s">
        <v>295</v>
      </c>
      <c r="C131" s="230" t="s">
        <v>296</v>
      </c>
      <c r="D131" s="230" t="s">
        <v>397</v>
      </c>
      <c r="E131" s="380">
        <v>33000</v>
      </c>
      <c r="F131" s="231">
        <v>23.38</v>
      </c>
      <c r="G131" s="231">
        <v>23.6</v>
      </c>
      <c r="H131" s="231">
        <v>23.38</v>
      </c>
      <c r="I131" s="231">
        <v>23.44</v>
      </c>
      <c r="J131" s="231"/>
      <c r="K131" s="231"/>
      <c r="L131" s="231">
        <v>0</v>
      </c>
      <c r="M131" s="231">
        <v>0</v>
      </c>
      <c r="N131" s="231">
        <v>0</v>
      </c>
      <c r="O131" s="231">
        <v>0</v>
      </c>
      <c r="P131" s="231">
        <v>0</v>
      </c>
      <c r="Q131" s="231">
        <v>0</v>
      </c>
      <c r="R131" s="231">
        <v>0</v>
      </c>
      <c r="S131" s="231">
        <v>0</v>
      </c>
      <c r="T131" s="231">
        <v>0</v>
      </c>
      <c r="U131" s="231">
        <v>0</v>
      </c>
      <c r="V131" s="231">
        <v>0</v>
      </c>
      <c r="W131" s="231"/>
      <c r="X131" s="388">
        <f t="shared" si="38"/>
        <v>0</v>
      </c>
      <c r="Y131" s="389"/>
      <c r="Z131" s="389"/>
      <c r="AA131" s="233"/>
      <c r="AB131" s="233"/>
      <c r="AC131" s="233">
        <f t="shared" si="39"/>
        <v>0</v>
      </c>
      <c r="AD131" s="233">
        <f t="shared" si="40"/>
        <v>0</v>
      </c>
      <c r="AE131" s="232">
        <f t="shared" si="41"/>
        <v>0</v>
      </c>
      <c r="AF131" s="232">
        <f t="shared" si="42"/>
        <v>0</v>
      </c>
      <c r="AG131" s="232">
        <f t="shared" si="43"/>
        <v>0</v>
      </c>
      <c r="AH131" s="232">
        <f t="shared" si="44"/>
        <v>0</v>
      </c>
      <c r="AI131" s="232">
        <f t="shared" si="45"/>
        <v>0</v>
      </c>
      <c r="AJ131" s="232">
        <f t="shared" si="46"/>
        <v>0</v>
      </c>
      <c r="AK131" s="232">
        <f t="shared" si="47"/>
        <v>0</v>
      </c>
      <c r="AL131" s="232">
        <f>IFERROR(#REF!/$H131,0)</f>
        <v>0</v>
      </c>
      <c r="AM131" s="234">
        <f t="shared" si="48"/>
        <v>0</v>
      </c>
      <c r="AN131" s="234">
        <f t="shared" si="37"/>
        <v>0</v>
      </c>
      <c r="AO131" s="218" t="str">
        <f>+VLOOKUP($B131,Mapping!$C$31:$C$81,1,FALSE)</f>
        <v>FL001.0YXX001TEMPC</v>
      </c>
    </row>
    <row r="132" spans="1:41">
      <c r="A132" s="218" t="str">
        <f>$A$1&amp;"Commercial"&amp;B132</f>
        <v>PIERCE EA UTCCommercialFL001.5YXX001TEMPC</v>
      </c>
      <c r="B132" s="230" t="s">
        <v>297</v>
      </c>
      <c r="C132" s="230" t="s">
        <v>298</v>
      </c>
      <c r="D132" s="230" t="s">
        <v>397</v>
      </c>
      <c r="E132" s="380">
        <v>33000</v>
      </c>
      <c r="F132" s="231">
        <v>31.2</v>
      </c>
      <c r="G132" s="231">
        <v>31.51</v>
      </c>
      <c r="H132" s="231">
        <v>31.22</v>
      </c>
      <c r="I132" s="231">
        <v>31.31</v>
      </c>
      <c r="J132" s="231"/>
      <c r="K132" s="231"/>
      <c r="L132" s="231">
        <v>0</v>
      </c>
      <c r="M132" s="231">
        <v>0</v>
      </c>
      <c r="N132" s="231">
        <v>0</v>
      </c>
      <c r="O132" s="231">
        <v>0</v>
      </c>
      <c r="P132" s="231">
        <v>0</v>
      </c>
      <c r="Q132" s="231">
        <v>0</v>
      </c>
      <c r="R132" s="231">
        <v>0</v>
      </c>
      <c r="S132" s="231">
        <v>0</v>
      </c>
      <c r="T132" s="231">
        <v>0</v>
      </c>
      <c r="U132" s="231">
        <v>0</v>
      </c>
      <c r="V132" s="231">
        <v>0</v>
      </c>
      <c r="W132" s="231"/>
      <c r="X132" s="388">
        <f t="shared" si="38"/>
        <v>0</v>
      </c>
      <c r="Y132" s="389"/>
      <c r="Z132" s="389"/>
      <c r="AA132" s="233"/>
      <c r="AB132" s="233"/>
      <c r="AC132" s="233">
        <f t="shared" si="39"/>
        <v>0</v>
      </c>
      <c r="AD132" s="233">
        <f t="shared" si="40"/>
        <v>0</v>
      </c>
      <c r="AE132" s="232">
        <f t="shared" si="41"/>
        <v>0</v>
      </c>
      <c r="AF132" s="232">
        <f t="shared" si="42"/>
        <v>0</v>
      </c>
      <c r="AG132" s="232">
        <f t="shared" si="43"/>
        <v>0</v>
      </c>
      <c r="AH132" s="232">
        <f t="shared" si="44"/>
        <v>0</v>
      </c>
      <c r="AI132" s="232">
        <f t="shared" si="45"/>
        <v>0</v>
      </c>
      <c r="AJ132" s="232">
        <f t="shared" si="46"/>
        <v>0</v>
      </c>
      <c r="AK132" s="232">
        <f t="shared" si="47"/>
        <v>0</v>
      </c>
      <c r="AL132" s="232">
        <f>IFERROR(#REF!/$H132,0)</f>
        <v>0</v>
      </c>
      <c r="AM132" s="234">
        <f t="shared" si="48"/>
        <v>0</v>
      </c>
      <c r="AN132" s="234">
        <f t="shared" si="37"/>
        <v>0</v>
      </c>
      <c r="AO132" s="218" t="str">
        <f>+VLOOKUP($B132,Mapping!$C$31:$C$81,1,FALSE)</f>
        <v>FL001.5YXX001TEMPC</v>
      </c>
    </row>
    <row r="133" spans="1:41">
      <c r="A133" s="218" t="str">
        <f>$A$1&amp;"Commercial"&amp;B133</f>
        <v>PIERCE EA UTCCommercialFL002.0YXX001TEMPC</v>
      </c>
      <c r="B133" s="230" t="s">
        <v>299</v>
      </c>
      <c r="C133" s="230" t="s">
        <v>300</v>
      </c>
      <c r="D133" s="230" t="s">
        <v>397</v>
      </c>
      <c r="E133" s="380">
        <v>33000</v>
      </c>
      <c r="F133" s="231">
        <v>38.049999999999997</v>
      </c>
      <c r="G133" s="231">
        <v>38.450000000000003</v>
      </c>
      <c r="H133" s="231">
        <v>38.090000000000003</v>
      </c>
      <c r="I133" s="231">
        <v>38.200000000000003</v>
      </c>
      <c r="J133" s="231"/>
      <c r="K133" s="231"/>
      <c r="L133" s="231">
        <v>0</v>
      </c>
      <c r="M133" s="231">
        <v>0</v>
      </c>
      <c r="N133" s="231">
        <v>38.450000000000003</v>
      </c>
      <c r="O133" s="231">
        <v>0</v>
      </c>
      <c r="P133" s="231">
        <v>0</v>
      </c>
      <c r="Q133" s="231">
        <v>0</v>
      </c>
      <c r="R133" s="231">
        <v>76.180000000000007</v>
      </c>
      <c r="S133" s="231">
        <v>0</v>
      </c>
      <c r="T133" s="231">
        <v>0</v>
      </c>
      <c r="U133" s="231">
        <v>0</v>
      </c>
      <c r="V133" s="231">
        <v>0</v>
      </c>
      <c r="W133" s="231"/>
      <c r="X133" s="388">
        <f t="shared" si="38"/>
        <v>114.63000000000001</v>
      </c>
      <c r="Y133" s="389"/>
      <c r="Z133" s="389"/>
      <c r="AA133" s="233"/>
      <c r="AB133" s="233"/>
      <c r="AC133" s="233">
        <f t="shared" si="39"/>
        <v>1</v>
      </c>
      <c r="AD133" s="233">
        <f t="shared" si="40"/>
        <v>0</v>
      </c>
      <c r="AE133" s="232">
        <f t="shared" si="41"/>
        <v>0</v>
      </c>
      <c r="AF133" s="232">
        <f t="shared" si="42"/>
        <v>0</v>
      </c>
      <c r="AG133" s="232">
        <f t="shared" si="43"/>
        <v>2</v>
      </c>
      <c r="AH133" s="232">
        <f t="shared" si="44"/>
        <v>0</v>
      </c>
      <c r="AI133" s="232">
        <f t="shared" si="45"/>
        <v>0</v>
      </c>
      <c r="AJ133" s="232">
        <f t="shared" si="46"/>
        <v>0</v>
      </c>
      <c r="AK133" s="232">
        <f t="shared" si="47"/>
        <v>0</v>
      </c>
      <c r="AL133" s="232">
        <f>IFERROR(#REF!/$H133,0)</f>
        <v>0</v>
      </c>
      <c r="AM133" s="234">
        <f t="shared" si="48"/>
        <v>0.3</v>
      </c>
      <c r="AN133" s="234">
        <f t="shared" si="37"/>
        <v>3</v>
      </c>
      <c r="AO133" s="218" t="str">
        <f>+VLOOKUP($B133,Mapping!$C$31:$C$81,1,FALSE)</f>
        <v>FL002.0YXX001TEMPC</v>
      </c>
    </row>
    <row r="134" spans="1:41">
      <c r="A134" s="218" t="str">
        <f>$A$1&amp;"Commercial"&amp;B134</f>
        <v>PIERCE EA UTCCommercialFL003.0YXX001TEMPC</v>
      </c>
      <c r="B134" s="230" t="s">
        <v>301</v>
      </c>
      <c r="C134" s="230" t="s">
        <v>302</v>
      </c>
      <c r="D134" s="230" t="s">
        <v>397</v>
      </c>
      <c r="E134" s="380">
        <v>33000</v>
      </c>
      <c r="F134" s="231">
        <v>53.43</v>
      </c>
      <c r="G134" s="231">
        <v>54.02</v>
      </c>
      <c r="H134" s="231">
        <v>53.52</v>
      </c>
      <c r="I134" s="231">
        <v>53.67</v>
      </c>
      <c r="J134" s="231"/>
      <c r="K134" s="231"/>
      <c r="L134" s="231">
        <v>0</v>
      </c>
      <c r="M134" s="231">
        <v>0</v>
      </c>
      <c r="N134" s="231">
        <v>0</v>
      </c>
      <c r="O134" s="231">
        <v>0</v>
      </c>
      <c r="P134" s="231">
        <v>0</v>
      </c>
      <c r="Q134" s="231">
        <v>0</v>
      </c>
      <c r="R134" s="231">
        <v>0</v>
      </c>
      <c r="S134" s="231">
        <v>0</v>
      </c>
      <c r="T134" s="231">
        <v>0</v>
      </c>
      <c r="U134" s="231">
        <v>0</v>
      </c>
      <c r="V134" s="231">
        <v>0</v>
      </c>
      <c r="W134" s="231"/>
      <c r="X134" s="388">
        <f t="shared" si="38"/>
        <v>0</v>
      </c>
      <c r="Y134" s="389"/>
      <c r="Z134" s="389"/>
      <c r="AA134" s="233"/>
      <c r="AB134" s="233"/>
      <c r="AC134" s="233">
        <f t="shared" si="39"/>
        <v>0</v>
      </c>
      <c r="AD134" s="233">
        <f t="shared" si="40"/>
        <v>0</v>
      </c>
      <c r="AE134" s="232">
        <f t="shared" si="41"/>
        <v>0</v>
      </c>
      <c r="AF134" s="232">
        <f t="shared" si="42"/>
        <v>0</v>
      </c>
      <c r="AG134" s="232">
        <f t="shared" si="43"/>
        <v>0</v>
      </c>
      <c r="AH134" s="232">
        <f t="shared" si="44"/>
        <v>0</v>
      </c>
      <c r="AI134" s="232">
        <f t="shared" si="45"/>
        <v>0</v>
      </c>
      <c r="AJ134" s="232">
        <f t="shared" si="46"/>
        <v>0</v>
      </c>
      <c r="AK134" s="232">
        <f t="shared" si="47"/>
        <v>0</v>
      </c>
      <c r="AL134" s="232">
        <f>IFERROR(#REF!/$H134,0)</f>
        <v>0</v>
      </c>
      <c r="AM134" s="234">
        <f t="shared" si="48"/>
        <v>0</v>
      </c>
      <c r="AN134" s="234">
        <f t="shared" si="37"/>
        <v>0</v>
      </c>
      <c r="AO134" s="218" t="e">
        <f>+VLOOKUP($B134,Mapping!$C$31:$C$81,1,FALSE)</f>
        <v>#N/A</v>
      </c>
    </row>
    <row r="135" spans="1:41">
      <c r="A135" s="218" t="str">
        <f>$A$1&amp;"Commercial"&amp;B135</f>
        <v>PIERCE EA UTCCommercialFL004.0YXX001TEMPC</v>
      </c>
      <c r="B135" s="230" t="s">
        <v>303</v>
      </c>
      <c r="C135" s="230" t="s">
        <v>304</v>
      </c>
      <c r="D135" s="230" t="s">
        <v>397</v>
      </c>
      <c r="E135" s="380">
        <v>33000</v>
      </c>
      <c r="F135" s="231">
        <v>68.87</v>
      </c>
      <c r="G135" s="231">
        <v>69.63</v>
      </c>
      <c r="H135" s="231">
        <v>68.98</v>
      </c>
      <c r="I135" s="231">
        <v>69.17</v>
      </c>
      <c r="J135" s="231"/>
      <c r="K135" s="231"/>
      <c r="L135" s="231">
        <v>0</v>
      </c>
      <c r="M135" s="231">
        <v>0</v>
      </c>
      <c r="N135" s="231">
        <v>0</v>
      </c>
      <c r="O135" s="231">
        <v>0</v>
      </c>
      <c r="P135" s="231">
        <v>0</v>
      </c>
      <c r="Q135" s="231">
        <v>0</v>
      </c>
      <c r="R135" s="231">
        <v>0</v>
      </c>
      <c r="S135" s="231">
        <v>0</v>
      </c>
      <c r="T135" s="231">
        <v>0</v>
      </c>
      <c r="U135" s="231">
        <v>0</v>
      </c>
      <c r="V135" s="231">
        <v>0</v>
      </c>
      <c r="W135" s="231"/>
      <c r="X135" s="388">
        <f t="shared" si="38"/>
        <v>0</v>
      </c>
      <c r="Y135" s="389"/>
      <c r="Z135" s="389"/>
      <c r="AA135" s="233"/>
      <c r="AB135" s="233"/>
      <c r="AC135" s="233">
        <f t="shared" si="39"/>
        <v>0</v>
      </c>
      <c r="AD135" s="233">
        <f t="shared" si="40"/>
        <v>0</v>
      </c>
      <c r="AE135" s="232">
        <f t="shared" si="41"/>
        <v>0</v>
      </c>
      <c r="AF135" s="232">
        <f t="shared" si="42"/>
        <v>0</v>
      </c>
      <c r="AG135" s="232">
        <f t="shared" si="43"/>
        <v>0</v>
      </c>
      <c r="AH135" s="232">
        <f t="shared" si="44"/>
        <v>0</v>
      </c>
      <c r="AI135" s="232">
        <f t="shared" si="45"/>
        <v>0</v>
      </c>
      <c r="AJ135" s="232">
        <f t="shared" si="46"/>
        <v>0</v>
      </c>
      <c r="AK135" s="232">
        <f t="shared" si="47"/>
        <v>0</v>
      </c>
      <c r="AL135" s="232">
        <f>IFERROR(#REF!/$H135,0)</f>
        <v>0</v>
      </c>
      <c r="AM135" s="234">
        <f t="shared" si="48"/>
        <v>0</v>
      </c>
      <c r="AN135" s="234">
        <f t="shared" si="37"/>
        <v>0</v>
      </c>
      <c r="AO135" s="218" t="str">
        <f>+VLOOKUP($B135,Mapping!$C$31:$C$81,1,FALSE)</f>
        <v>FL004.0YXX001TEMPC</v>
      </c>
    </row>
    <row r="136" spans="1:41">
      <c r="A136" s="218" t="str">
        <f>$A$1&amp;"Commercial"&amp;B136</f>
        <v>PIERCE EA UTCCommercialFL006.0YXX001TEMPC</v>
      </c>
      <c r="B136" s="230" t="s">
        <v>305</v>
      </c>
      <c r="C136" s="230" t="s">
        <v>306</v>
      </c>
      <c r="D136" s="230" t="s">
        <v>397</v>
      </c>
      <c r="E136" s="380">
        <v>33000</v>
      </c>
      <c r="F136" s="231">
        <v>95.91</v>
      </c>
      <c r="G136" s="231">
        <v>96.96</v>
      </c>
      <c r="H136" s="231">
        <v>96.05</v>
      </c>
      <c r="I136" s="231">
        <v>96.32</v>
      </c>
      <c r="J136" s="231"/>
      <c r="K136" s="231"/>
      <c r="L136" s="231">
        <v>0</v>
      </c>
      <c r="M136" s="231">
        <v>0</v>
      </c>
      <c r="N136" s="231">
        <v>0</v>
      </c>
      <c r="O136" s="231">
        <v>0</v>
      </c>
      <c r="P136" s="231">
        <v>0</v>
      </c>
      <c r="Q136" s="231">
        <v>0</v>
      </c>
      <c r="R136" s="231">
        <v>0</v>
      </c>
      <c r="S136" s="231">
        <v>0</v>
      </c>
      <c r="T136" s="231">
        <v>0</v>
      </c>
      <c r="U136" s="231">
        <v>0</v>
      </c>
      <c r="V136" s="231">
        <v>0</v>
      </c>
      <c r="W136" s="231"/>
      <c r="X136" s="388">
        <f t="shared" si="38"/>
        <v>0</v>
      </c>
      <c r="Y136" s="389"/>
      <c r="Z136" s="389"/>
      <c r="AA136" s="233"/>
      <c r="AB136" s="233"/>
      <c r="AC136" s="233">
        <f t="shared" si="39"/>
        <v>0</v>
      </c>
      <c r="AD136" s="233">
        <f t="shared" si="40"/>
        <v>0</v>
      </c>
      <c r="AE136" s="232">
        <f t="shared" si="41"/>
        <v>0</v>
      </c>
      <c r="AF136" s="232">
        <f t="shared" si="42"/>
        <v>0</v>
      </c>
      <c r="AG136" s="232">
        <f t="shared" si="43"/>
        <v>0</v>
      </c>
      <c r="AH136" s="232">
        <f t="shared" si="44"/>
        <v>0</v>
      </c>
      <c r="AI136" s="232">
        <f t="shared" si="45"/>
        <v>0</v>
      </c>
      <c r="AJ136" s="232">
        <f t="shared" si="46"/>
        <v>0</v>
      </c>
      <c r="AK136" s="232">
        <f t="shared" si="47"/>
        <v>0</v>
      </c>
      <c r="AL136" s="232">
        <f>IFERROR(#REF!/$H136,0)</f>
        <v>0</v>
      </c>
      <c r="AM136" s="234">
        <f t="shared" si="48"/>
        <v>0</v>
      </c>
      <c r="AN136" s="234">
        <f t="shared" si="37"/>
        <v>0</v>
      </c>
      <c r="AO136" s="218" t="str">
        <f>+VLOOKUP($B136,Mapping!$C$31:$C$81,1,FALSE)</f>
        <v>FL006.0YXX001TEMPC</v>
      </c>
    </row>
    <row r="137" spans="1:41">
      <c r="A137" s="218" t="str">
        <f>$A$1&amp;"Commercial"&amp;B137</f>
        <v>PIERCE EA UTCCommercialRENT1.5TEMP-COMM</v>
      </c>
      <c r="B137" s="230" t="s">
        <v>398</v>
      </c>
      <c r="C137" s="230" t="s">
        <v>399</v>
      </c>
      <c r="D137" s="230" t="s">
        <v>397</v>
      </c>
      <c r="E137" s="380">
        <v>33000</v>
      </c>
      <c r="F137" s="231">
        <v>0.53</v>
      </c>
      <c r="G137" s="231">
        <v>0.53</v>
      </c>
      <c r="H137" s="231">
        <v>0.52</v>
      </c>
      <c r="I137" s="231">
        <v>0.52</v>
      </c>
      <c r="J137" s="231"/>
      <c r="K137" s="231"/>
      <c r="L137" s="231">
        <v>0</v>
      </c>
      <c r="M137" s="231">
        <v>0</v>
      </c>
      <c r="N137" s="231">
        <v>0</v>
      </c>
      <c r="O137" s="231">
        <v>0</v>
      </c>
      <c r="P137" s="231">
        <v>0</v>
      </c>
      <c r="Q137" s="231">
        <v>0</v>
      </c>
      <c r="R137" s="231">
        <v>0</v>
      </c>
      <c r="S137" s="231">
        <v>0</v>
      </c>
      <c r="T137" s="231">
        <v>0</v>
      </c>
      <c r="U137" s="231">
        <v>0</v>
      </c>
      <c r="V137" s="231">
        <v>0</v>
      </c>
      <c r="W137" s="231"/>
      <c r="X137" s="388">
        <f t="shared" si="38"/>
        <v>0</v>
      </c>
      <c r="Y137" s="389"/>
      <c r="Z137" s="389"/>
      <c r="AA137" s="233"/>
      <c r="AB137" s="233"/>
      <c r="AC137" s="233">
        <f t="shared" si="39"/>
        <v>0</v>
      </c>
      <c r="AD137" s="233">
        <f t="shared" si="40"/>
        <v>0</v>
      </c>
      <c r="AE137" s="232">
        <f t="shared" si="41"/>
        <v>0</v>
      </c>
      <c r="AF137" s="232">
        <f t="shared" si="42"/>
        <v>0</v>
      </c>
      <c r="AG137" s="232">
        <f t="shared" si="43"/>
        <v>0</v>
      </c>
      <c r="AH137" s="232">
        <f t="shared" si="44"/>
        <v>0</v>
      </c>
      <c r="AI137" s="232">
        <f t="shared" si="45"/>
        <v>0</v>
      </c>
      <c r="AJ137" s="232">
        <f t="shared" si="46"/>
        <v>0</v>
      </c>
      <c r="AK137" s="232">
        <f t="shared" si="47"/>
        <v>0</v>
      </c>
      <c r="AL137" s="232">
        <f>IFERROR(#REF!/$H137,0)</f>
        <v>0</v>
      </c>
      <c r="AM137" s="260">
        <f t="shared" si="48"/>
        <v>0</v>
      </c>
      <c r="AN137" s="260">
        <f t="shared" si="37"/>
        <v>0</v>
      </c>
      <c r="AO137" s="218" t="e">
        <f>+VLOOKUP($B137,Mapping!$C$31:$C$81,1,FALSE)</f>
        <v>#N/A</v>
      </c>
    </row>
    <row r="138" spans="1:41">
      <c r="A138" s="218" t="str">
        <f>$A$1&amp;"Commercial"&amp;B138</f>
        <v>PIERCE EA UTCCommercialRENT1TEMP-COMM</v>
      </c>
      <c r="B138" s="230" t="s">
        <v>400</v>
      </c>
      <c r="C138" s="230" t="s">
        <v>401</v>
      </c>
      <c r="D138" s="230" t="s">
        <v>397</v>
      </c>
      <c r="E138" s="380">
        <v>33000</v>
      </c>
      <c r="F138" s="231">
        <v>0.48</v>
      </c>
      <c r="G138" s="231">
        <v>0.48</v>
      </c>
      <c r="H138" s="231">
        <v>0.48</v>
      </c>
      <c r="I138" s="231">
        <v>0.48</v>
      </c>
      <c r="J138" s="231"/>
      <c r="K138" s="231"/>
      <c r="L138" s="231">
        <v>0</v>
      </c>
      <c r="M138" s="231">
        <v>0</v>
      </c>
      <c r="N138" s="231">
        <v>0</v>
      </c>
      <c r="O138" s="231">
        <v>0</v>
      </c>
      <c r="P138" s="231">
        <v>0</v>
      </c>
      <c r="Q138" s="231">
        <v>0</v>
      </c>
      <c r="R138" s="231">
        <v>0</v>
      </c>
      <c r="S138" s="231">
        <v>0</v>
      </c>
      <c r="T138" s="231">
        <v>0</v>
      </c>
      <c r="U138" s="231">
        <v>0</v>
      </c>
      <c r="V138" s="231">
        <v>0</v>
      </c>
      <c r="W138" s="231"/>
      <c r="X138" s="388">
        <f t="shared" si="38"/>
        <v>0</v>
      </c>
      <c r="Y138" s="389"/>
      <c r="Z138" s="389"/>
      <c r="AA138" s="233"/>
      <c r="AB138" s="233"/>
      <c r="AC138" s="233">
        <f t="shared" si="39"/>
        <v>0</v>
      </c>
      <c r="AD138" s="233">
        <f t="shared" si="40"/>
        <v>0</v>
      </c>
      <c r="AE138" s="232">
        <f t="shared" si="41"/>
        <v>0</v>
      </c>
      <c r="AF138" s="232">
        <f t="shared" si="42"/>
        <v>0</v>
      </c>
      <c r="AG138" s="232">
        <f t="shared" si="43"/>
        <v>0</v>
      </c>
      <c r="AH138" s="232">
        <f t="shared" si="44"/>
        <v>0</v>
      </c>
      <c r="AI138" s="232">
        <f t="shared" si="45"/>
        <v>0</v>
      </c>
      <c r="AJ138" s="232">
        <f t="shared" si="46"/>
        <v>0</v>
      </c>
      <c r="AK138" s="232">
        <f t="shared" si="47"/>
        <v>0</v>
      </c>
      <c r="AL138" s="232">
        <f>IFERROR(#REF!/$H138,0)</f>
        <v>0</v>
      </c>
      <c r="AM138" s="260">
        <f t="shared" si="48"/>
        <v>0</v>
      </c>
      <c r="AN138" s="260">
        <f t="shared" si="37"/>
        <v>0</v>
      </c>
      <c r="AO138" s="218" t="e">
        <f>+VLOOKUP($B138,Mapping!$C$31:$C$81,1,FALSE)</f>
        <v>#N/A</v>
      </c>
    </row>
    <row r="139" spans="1:41">
      <c r="A139" s="218" t="str">
        <f>$A$1&amp;"Commercial"&amp;B139</f>
        <v>PIERCE EA UTCCommercialRENT2TEMP-COMM</v>
      </c>
      <c r="B139" s="230" t="s">
        <v>402</v>
      </c>
      <c r="C139" s="230" t="s">
        <v>403</v>
      </c>
      <c r="D139" s="230" t="s">
        <v>397</v>
      </c>
      <c r="E139" s="380">
        <v>33000</v>
      </c>
      <c r="F139" s="231">
        <v>0.63</v>
      </c>
      <c r="G139" s="231">
        <v>0.63</v>
      </c>
      <c r="H139" s="231">
        <v>0.62</v>
      </c>
      <c r="I139" s="231">
        <v>0.62</v>
      </c>
      <c r="J139" s="231"/>
      <c r="K139" s="231"/>
      <c r="L139" s="231">
        <v>0</v>
      </c>
      <c r="M139" s="231">
        <v>0</v>
      </c>
      <c r="N139" s="231">
        <v>5.67</v>
      </c>
      <c r="O139" s="231">
        <v>0</v>
      </c>
      <c r="P139" s="231">
        <v>0</v>
      </c>
      <c r="Q139" s="231">
        <v>0</v>
      </c>
      <c r="R139" s="231">
        <v>15.5</v>
      </c>
      <c r="S139" s="231">
        <v>0</v>
      </c>
      <c r="T139" s="231">
        <v>0</v>
      </c>
      <c r="U139" s="231">
        <v>0</v>
      </c>
      <c r="V139" s="231">
        <v>0</v>
      </c>
      <c r="W139" s="231"/>
      <c r="X139" s="388">
        <f t="shared" si="38"/>
        <v>21.17</v>
      </c>
      <c r="Y139" s="389"/>
      <c r="Z139" s="389"/>
      <c r="AA139" s="233"/>
      <c r="AB139" s="233"/>
      <c r="AC139" s="233">
        <f t="shared" si="39"/>
        <v>9</v>
      </c>
      <c r="AD139" s="233">
        <f t="shared" si="40"/>
        <v>0</v>
      </c>
      <c r="AE139" s="232">
        <f t="shared" si="41"/>
        <v>0</v>
      </c>
      <c r="AF139" s="232">
        <f t="shared" si="42"/>
        <v>0</v>
      </c>
      <c r="AG139" s="232">
        <f t="shared" si="43"/>
        <v>25</v>
      </c>
      <c r="AH139" s="232">
        <f t="shared" si="44"/>
        <v>0</v>
      </c>
      <c r="AI139" s="232">
        <f t="shared" si="45"/>
        <v>0</v>
      </c>
      <c r="AJ139" s="232">
        <f t="shared" si="46"/>
        <v>0</v>
      </c>
      <c r="AK139" s="232">
        <f t="shared" si="47"/>
        <v>0</v>
      </c>
      <c r="AL139" s="232">
        <f>IFERROR(#REF!/$H139,0)</f>
        <v>0</v>
      </c>
      <c r="AM139" s="260">
        <f t="shared" si="48"/>
        <v>3.4</v>
      </c>
      <c r="AN139" s="260">
        <f t="shared" si="37"/>
        <v>34</v>
      </c>
      <c r="AO139" s="218" t="e">
        <f>+VLOOKUP($B139,Mapping!$C$31:$C$81,1,FALSE)</f>
        <v>#N/A</v>
      </c>
    </row>
    <row r="140" spans="1:41">
      <c r="A140" s="218" t="str">
        <f>$A$1&amp;"Commercial"&amp;B140</f>
        <v>PIERCE EA UTCCommercialRENT3TEMP-COMM</v>
      </c>
      <c r="B140" s="230" t="s">
        <v>404</v>
      </c>
      <c r="C140" s="230" t="s">
        <v>405</v>
      </c>
      <c r="D140" s="230" t="s">
        <v>397</v>
      </c>
      <c r="E140" s="380">
        <v>33000</v>
      </c>
      <c r="F140" s="231">
        <v>0.69</v>
      </c>
      <c r="G140" s="231">
        <v>0.69</v>
      </c>
      <c r="H140" s="231">
        <v>0.68</v>
      </c>
      <c r="I140" s="231">
        <v>0.68</v>
      </c>
      <c r="J140" s="231"/>
      <c r="K140" s="231"/>
      <c r="L140" s="231">
        <v>0</v>
      </c>
      <c r="M140" s="231">
        <v>0</v>
      </c>
      <c r="N140" s="231">
        <v>0</v>
      </c>
      <c r="O140" s="231">
        <v>0</v>
      </c>
      <c r="P140" s="231">
        <v>0</v>
      </c>
      <c r="Q140" s="231">
        <v>0</v>
      </c>
      <c r="R140" s="231">
        <v>0</v>
      </c>
      <c r="S140" s="231">
        <v>0</v>
      </c>
      <c r="T140" s="231">
        <v>0</v>
      </c>
      <c r="U140" s="231">
        <v>0</v>
      </c>
      <c r="V140" s="231">
        <v>0</v>
      </c>
      <c r="W140" s="231"/>
      <c r="X140" s="388">
        <f t="shared" si="38"/>
        <v>0</v>
      </c>
      <c r="Y140" s="389"/>
      <c r="Z140" s="389"/>
      <c r="AA140" s="233"/>
      <c r="AB140" s="233"/>
      <c r="AC140" s="233">
        <f t="shared" si="39"/>
        <v>0</v>
      </c>
      <c r="AD140" s="233">
        <f t="shared" si="40"/>
        <v>0</v>
      </c>
      <c r="AE140" s="232">
        <f t="shared" si="41"/>
        <v>0</v>
      </c>
      <c r="AF140" s="232">
        <f t="shared" si="42"/>
        <v>0</v>
      </c>
      <c r="AG140" s="232">
        <f t="shared" si="43"/>
        <v>0</v>
      </c>
      <c r="AH140" s="232">
        <f t="shared" si="44"/>
        <v>0</v>
      </c>
      <c r="AI140" s="232">
        <f t="shared" si="45"/>
        <v>0</v>
      </c>
      <c r="AJ140" s="232">
        <f t="shared" si="46"/>
        <v>0</v>
      </c>
      <c r="AK140" s="232">
        <f t="shared" si="47"/>
        <v>0</v>
      </c>
      <c r="AL140" s="232">
        <f>IFERROR(#REF!/$H140,0)</f>
        <v>0</v>
      </c>
      <c r="AM140" s="260">
        <f t="shared" si="48"/>
        <v>0</v>
      </c>
      <c r="AN140" s="260">
        <f t="shared" si="37"/>
        <v>0</v>
      </c>
      <c r="AO140" s="218" t="e">
        <f>+VLOOKUP($B140,Mapping!$C$31:$C$81,1,FALSE)</f>
        <v>#N/A</v>
      </c>
    </row>
    <row r="141" spans="1:41">
      <c r="A141" s="218" t="str">
        <f>$A$1&amp;"Commercial"&amp;B141</f>
        <v>PIERCE EA UTCCommercialRENT4TEMP-COMM</v>
      </c>
      <c r="B141" s="230" t="s">
        <v>406</v>
      </c>
      <c r="C141" s="230" t="s">
        <v>407</v>
      </c>
      <c r="D141" s="230" t="s">
        <v>397</v>
      </c>
      <c r="E141" s="380">
        <v>33000</v>
      </c>
      <c r="F141" s="231">
        <v>0.9</v>
      </c>
      <c r="G141" s="231">
        <v>0.9</v>
      </c>
      <c r="H141" s="231">
        <v>0.89</v>
      </c>
      <c r="I141" s="231">
        <v>0.89</v>
      </c>
      <c r="J141" s="231"/>
      <c r="K141" s="231"/>
      <c r="L141" s="231">
        <v>0</v>
      </c>
      <c r="M141" s="231">
        <v>0</v>
      </c>
      <c r="N141" s="231">
        <v>0</v>
      </c>
      <c r="O141" s="231">
        <v>0</v>
      </c>
      <c r="P141" s="231">
        <v>0</v>
      </c>
      <c r="Q141" s="231">
        <v>0</v>
      </c>
      <c r="R141" s="231">
        <v>0</v>
      </c>
      <c r="S141" s="231">
        <v>0</v>
      </c>
      <c r="T141" s="231">
        <v>0</v>
      </c>
      <c r="U141" s="231">
        <v>0</v>
      </c>
      <c r="V141" s="231">
        <v>0</v>
      </c>
      <c r="W141" s="231"/>
      <c r="X141" s="388">
        <f t="shared" si="38"/>
        <v>0</v>
      </c>
      <c r="Y141" s="389"/>
      <c r="Z141" s="389"/>
      <c r="AA141" s="233"/>
      <c r="AB141" s="233"/>
      <c r="AC141" s="233">
        <f t="shared" si="39"/>
        <v>0</v>
      </c>
      <c r="AD141" s="233">
        <f t="shared" si="40"/>
        <v>0</v>
      </c>
      <c r="AE141" s="232">
        <f t="shared" si="41"/>
        <v>0</v>
      </c>
      <c r="AF141" s="232">
        <f t="shared" si="42"/>
        <v>0</v>
      </c>
      <c r="AG141" s="232">
        <f t="shared" si="43"/>
        <v>0</v>
      </c>
      <c r="AH141" s="232">
        <f t="shared" si="44"/>
        <v>0</v>
      </c>
      <c r="AI141" s="232">
        <f t="shared" si="45"/>
        <v>0</v>
      </c>
      <c r="AJ141" s="232">
        <f t="shared" si="46"/>
        <v>0</v>
      </c>
      <c r="AK141" s="232">
        <f t="shared" si="47"/>
        <v>0</v>
      </c>
      <c r="AL141" s="232">
        <f>IFERROR(#REF!/$H141,0)</f>
        <v>0</v>
      </c>
      <c r="AM141" s="260">
        <f t="shared" si="48"/>
        <v>0</v>
      </c>
      <c r="AN141" s="260">
        <f t="shared" si="37"/>
        <v>0</v>
      </c>
      <c r="AO141" s="218" t="e">
        <f>+VLOOKUP($B141,Mapping!$C$31:$C$81,1,FALSE)</f>
        <v>#N/A</v>
      </c>
    </row>
    <row r="142" spans="1:41">
      <c r="A142" s="218" t="str">
        <f>$A$1&amp;"Commercial"&amp;B142</f>
        <v>PIERCE EA UTCCommercialRENT6TEMP-COMM</v>
      </c>
      <c r="B142" s="230" t="s">
        <v>408</v>
      </c>
      <c r="C142" s="230" t="s">
        <v>409</v>
      </c>
      <c r="D142" s="230" t="s">
        <v>397</v>
      </c>
      <c r="E142" s="380">
        <v>33000</v>
      </c>
      <c r="F142" s="231">
        <v>1.32</v>
      </c>
      <c r="G142" s="231">
        <v>1.32</v>
      </c>
      <c r="H142" s="231">
        <v>1.31</v>
      </c>
      <c r="I142" s="231">
        <v>1.31</v>
      </c>
      <c r="J142" s="231"/>
      <c r="K142" s="231"/>
      <c r="L142" s="231">
        <v>0</v>
      </c>
      <c r="M142" s="231">
        <v>0</v>
      </c>
      <c r="N142" s="231">
        <v>0</v>
      </c>
      <c r="O142" s="231">
        <v>0</v>
      </c>
      <c r="P142" s="231">
        <v>0</v>
      </c>
      <c r="Q142" s="231">
        <v>0</v>
      </c>
      <c r="R142" s="231">
        <v>0</v>
      </c>
      <c r="S142" s="231">
        <v>0</v>
      </c>
      <c r="T142" s="231">
        <v>0</v>
      </c>
      <c r="U142" s="231">
        <v>0</v>
      </c>
      <c r="V142" s="231">
        <v>0</v>
      </c>
      <c r="W142" s="231"/>
      <c r="X142" s="388">
        <f t="shared" si="38"/>
        <v>0</v>
      </c>
      <c r="Y142" s="389"/>
      <c r="Z142" s="389"/>
      <c r="AA142" s="233"/>
      <c r="AB142" s="233"/>
      <c r="AC142" s="233">
        <f t="shared" si="39"/>
        <v>0</v>
      </c>
      <c r="AD142" s="233">
        <f t="shared" si="40"/>
        <v>0</v>
      </c>
      <c r="AE142" s="232">
        <f t="shared" si="41"/>
        <v>0</v>
      </c>
      <c r="AF142" s="232">
        <f t="shared" si="42"/>
        <v>0</v>
      </c>
      <c r="AG142" s="232">
        <f t="shared" si="43"/>
        <v>0</v>
      </c>
      <c r="AH142" s="232">
        <f t="shared" si="44"/>
        <v>0</v>
      </c>
      <c r="AI142" s="232">
        <f t="shared" si="45"/>
        <v>0</v>
      </c>
      <c r="AJ142" s="232">
        <f t="shared" si="46"/>
        <v>0</v>
      </c>
      <c r="AK142" s="232">
        <f t="shared" si="47"/>
        <v>0</v>
      </c>
      <c r="AL142" s="232">
        <f>IFERROR(#REF!/$H142,0)</f>
        <v>0</v>
      </c>
      <c r="AM142" s="260">
        <f t="shared" si="48"/>
        <v>0</v>
      </c>
      <c r="AN142" s="260">
        <f t="shared" si="37"/>
        <v>0</v>
      </c>
      <c r="AO142" s="218" t="e">
        <f>+VLOOKUP($B142,Mapping!$C$31:$C$81,1,FALSE)</f>
        <v>#N/A</v>
      </c>
    </row>
    <row r="143" spans="1:41">
      <c r="A143" s="218" t="str">
        <f>$A$1&amp;"Commercial"&amp;B143</f>
        <v>PIERCE EA UTCCommercialBULKY-COMM</v>
      </c>
      <c r="B143" s="230" t="s">
        <v>307</v>
      </c>
      <c r="C143" s="230" t="s">
        <v>308</v>
      </c>
      <c r="D143" s="230" t="s">
        <v>410</v>
      </c>
      <c r="E143" s="380">
        <v>33001</v>
      </c>
      <c r="F143" s="231">
        <v>32.04</v>
      </c>
      <c r="G143" s="231">
        <v>32.200000000000003</v>
      </c>
      <c r="H143" s="231">
        <v>31.9</v>
      </c>
      <c r="I143" s="231">
        <v>31.98</v>
      </c>
      <c r="J143" s="231"/>
      <c r="K143" s="231"/>
      <c r="L143" s="231">
        <v>0</v>
      </c>
      <c r="M143" s="231">
        <v>0</v>
      </c>
      <c r="N143" s="231">
        <v>0</v>
      </c>
      <c r="O143" s="231">
        <v>0</v>
      </c>
      <c r="P143" s="231">
        <v>0</v>
      </c>
      <c r="Q143" s="231">
        <v>0</v>
      </c>
      <c r="R143" s="231">
        <v>0</v>
      </c>
      <c r="S143" s="231">
        <v>0</v>
      </c>
      <c r="T143" s="231">
        <v>0</v>
      </c>
      <c r="U143" s="231">
        <v>0</v>
      </c>
      <c r="V143" s="231">
        <v>0</v>
      </c>
      <c r="W143" s="231"/>
      <c r="X143" s="388">
        <f t="shared" si="38"/>
        <v>0</v>
      </c>
      <c r="Y143" s="389"/>
      <c r="Z143" s="389"/>
      <c r="AA143" s="233"/>
      <c r="AB143" s="233"/>
      <c r="AC143" s="233">
        <f t="shared" si="39"/>
        <v>0</v>
      </c>
      <c r="AD143" s="233">
        <f t="shared" si="40"/>
        <v>0</v>
      </c>
      <c r="AE143" s="232">
        <f t="shared" si="41"/>
        <v>0</v>
      </c>
      <c r="AF143" s="232">
        <f t="shared" si="42"/>
        <v>0</v>
      </c>
      <c r="AG143" s="232">
        <f t="shared" si="43"/>
        <v>0</v>
      </c>
      <c r="AH143" s="232">
        <f t="shared" si="44"/>
        <v>0</v>
      </c>
      <c r="AI143" s="232">
        <f t="shared" si="45"/>
        <v>0</v>
      </c>
      <c r="AJ143" s="232">
        <f t="shared" si="46"/>
        <v>0</v>
      </c>
      <c r="AK143" s="232">
        <f t="shared" si="47"/>
        <v>0</v>
      </c>
      <c r="AL143" s="232">
        <f>IFERROR(#REF!/$H143,0)</f>
        <v>0</v>
      </c>
      <c r="AM143" s="260">
        <f t="shared" si="48"/>
        <v>0</v>
      </c>
      <c r="AN143" s="260">
        <f t="shared" si="37"/>
        <v>0</v>
      </c>
      <c r="AO143" s="218" t="e">
        <f>+VLOOKUP($B143,Mapping!$C$31:$C$81,1,FALSE)</f>
        <v>#N/A</v>
      </c>
    </row>
    <row r="144" spans="1:41">
      <c r="A144" s="218" t="str">
        <f>$A$1&amp;"Commercial"&amp;B144</f>
        <v>PIERCE EA UTCCommercialEXTRA-COMM</v>
      </c>
      <c r="B144" s="230" t="s">
        <v>309</v>
      </c>
      <c r="C144" s="230" t="s">
        <v>310</v>
      </c>
      <c r="D144" s="230" t="s">
        <v>410</v>
      </c>
      <c r="E144" s="380">
        <v>33001</v>
      </c>
      <c r="F144" s="231">
        <v>3.34</v>
      </c>
      <c r="G144" s="231">
        <v>3.38</v>
      </c>
      <c r="H144" s="231">
        <v>3.31</v>
      </c>
      <c r="I144" s="231">
        <v>3.32</v>
      </c>
      <c r="J144" s="231"/>
      <c r="K144" s="231"/>
      <c r="L144" s="231">
        <v>0</v>
      </c>
      <c r="M144" s="231">
        <v>0</v>
      </c>
      <c r="N144" s="231">
        <v>0</v>
      </c>
      <c r="O144" s="231">
        <v>0</v>
      </c>
      <c r="P144" s="231">
        <v>0</v>
      </c>
      <c r="Q144" s="231">
        <v>46.34</v>
      </c>
      <c r="R144" s="231">
        <v>102.61</v>
      </c>
      <c r="S144" s="231">
        <v>132.76</v>
      </c>
      <c r="T144" s="231">
        <v>156.04</v>
      </c>
      <c r="U144" s="231">
        <v>73.040000000000006</v>
      </c>
      <c r="V144" s="231">
        <v>36.520000000000003</v>
      </c>
      <c r="W144" s="231"/>
      <c r="X144" s="388">
        <f t="shared" si="38"/>
        <v>547.31000000000006</v>
      </c>
      <c r="Y144" s="389"/>
      <c r="Z144" s="389"/>
      <c r="AA144" s="233"/>
      <c r="AB144" s="233"/>
      <c r="AC144" s="233">
        <f t="shared" si="39"/>
        <v>0</v>
      </c>
      <c r="AD144" s="233">
        <f t="shared" si="40"/>
        <v>0</v>
      </c>
      <c r="AE144" s="232">
        <f t="shared" si="41"/>
        <v>0</v>
      </c>
      <c r="AF144" s="232">
        <f t="shared" si="42"/>
        <v>14</v>
      </c>
      <c r="AG144" s="232">
        <f t="shared" si="43"/>
        <v>31</v>
      </c>
      <c r="AH144" s="232">
        <f t="shared" si="44"/>
        <v>40.108761329305132</v>
      </c>
      <c r="AI144" s="232">
        <f t="shared" si="45"/>
        <v>47.141993957703924</v>
      </c>
      <c r="AJ144" s="232">
        <f t="shared" si="46"/>
        <v>22.066465256797585</v>
      </c>
      <c r="AK144" s="232">
        <f t="shared" si="47"/>
        <v>11.033232628398792</v>
      </c>
      <c r="AL144" s="232">
        <f>IFERROR(#REF!/$H144,0)</f>
        <v>0</v>
      </c>
      <c r="AM144" s="260">
        <f t="shared" si="48"/>
        <v>16.535045317220543</v>
      </c>
      <c r="AN144" s="260">
        <f t="shared" si="37"/>
        <v>165.35045317220545</v>
      </c>
      <c r="AO144" s="218" t="str">
        <f>+VLOOKUP($B144,Mapping!$C$31:$C$81,1,FALSE)</f>
        <v>EXTRA-COMM</v>
      </c>
    </row>
    <row r="145" spans="1:41">
      <c r="A145" s="218" t="str">
        <f>$A$1&amp;"Commercial"&amp;B145</f>
        <v>PIERCE EA UTCCommercialEXTRAGWC-COMM</v>
      </c>
      <c r="B145" s="230" t="s">
        <v>411</v>
      </c>
      <c r="C145" s="230" t="s">
        <v>412</v>
      </c>
      <c r="D145" s="230" t="s">
        <v>410</v>
      </c>
      <c r="E145" s="380">
        <v>33001</v>
      </c>
      <c r="F145" s="231">
        <v>2</v>
      </c>
      <c r="G145" s="231">
        <v>2</v>
      </c>
      <c r="H145" s="231">
        <v>0</v>
      </c>
      <c r="I145" s="231">
        <v>0</v>
      </c>
      <c r="J145" s="231"/>
      <c r="K145" s="231"/>
      <c r="L145" s="231">
        <v>0</v>
      </c>
      <c r="M145" s="231">
        <v>0</v>
      </c>
      <c r="N145" s="231">
        <v>0</v>
      </c>
      <c r="O145" s="231">
        <v>0</v>
      </c>
      <c r="P145" s="231">
        <v>0</v>
      </c>
      <c r="Q145" s="231">
        <v>0</v>
      </c>
      <c r="R145" s="231">
        <v>0</v>
      </c>
      <c r="S145" s="231">
        <v>0</v>
      </c>
      <c r="T145" s="231">
        <v>0</v>
      </c>
      <c r="U145" s="231">
        <v>0</v>
      </c>
      <c r="V145" s="231">
        <v>0</v>
      </c>
      <c r="W145" s="231"/>
      <c r="X145" s="388">
        <f t="shared" si="38"/>
        <v>0</v>
      </c>
      <c r="Y145" s="389"/>
      <c r="Z145" s="389"/>
      <c r="AA145" s="233"/>
      <c r="AB145" s="233"/>
      <c r="AC145" s="233">
        <f t="shared" si="39"/>
        <v>0</v>
      </c>
      <c r="AD145" s="233">
        <f t="shared" si="40"/>
        <v>0</v>
      </c>
      <c r="AE145" s="232">
        <f t="shared" si="41"/>
        <v>0</v>
      </c>
      <c r="AF145" s="232">
        <f t="shared" si="42"/>
        <v>0</v>
      </c>
      <c r="AG145" s="232">
        <f t="shared" si="43"/>
        <v>0</v>
      </c>
      <c r="AH145" s="232">
        <f t="shared" si="44"/>
        <v>0</v>
      </c>
      <c r="AI145" s="232">
        <f t="shared" si="45"/>
        <v>0</v>
      </c>
      <c r="AJ145" s="232">
        <f t="shared" si="46"/>
        <v>0</v>
      </c>
      <c r="AK145" s="232">
        <f t="shared" si="47"/>
        <v>0</v>
      </c>
      <c r="AL145" s="232">
        <f>IFERROR(#REF!/$H145,0)</f>
        <v>0</v>
      </c>
      <c r="AM145" s="260">
        <f t="shared" si="48"/>
        <v>0</v>
      </c>
      <c r="AN145" s="260">
        <f t="shared" si="37"/>
        <v>0</v>
      </c>
      <c r="AO145" s="218" t="e">
        <f>+VLOOKUP($B145,Mapping!$C$31:$C$81,1,FALSE)</f>
        <v>#N/A</v>
      </c>
    </row>
    <row r="146" spans="1:41">
      <c r="A146" s="218" t="str">
        <f>$A$1&amp;"Commercial"&amp;B146</f>
        <v>PIERCE EA UTCCommercialEXTRAYDG-COM</v>
      </c>
      <c r="B146" s="230" t="s">
        <v>311</v>
      </c>
      <c r="C146" s="230" t="s">
        <v>312</v>
      </c>
      <c r="D146" s="230" t="s">
        <v>410</v>
      </c>
      <c r="E146" s="380">
        <v>33001</v>
      </c>
      <c r="F146" s="231">
        <v>32.04</v>
      </c>
      <c r="G146" s="231">
        <v>32.200000000000003</v>
      </c>
      <c r="H146" s="231">
        <v>31.96</v>
      </c>
      <c r="I146" s="231">
        <v>32.049999999999997</v>
      </c>
      <c r="J146" s="231"/>
      <c r="K146" s="231"/>
      <c r="L146" s="231">
        <v>0</v>
      </c>
      <c r="M146" s="231">
        <v>0</v>
      </c>
      <c r="N146" s="231">
        <v>0</v>
      </c>
      <c r="O146" s="231">
        <v>0</v>
      </c>
      <c r="P146" s="231">
        <v>0</v>
      </c>
      <c r="Q146" s="231">
        <v>0</v>
      </c>
      <c r="R146" s="231">
        <v>0</v>
      </c>
      <c r="S146" s="231">
        <v>0</v>
      </c>
      <c r="T146" s="231">
        <v>0</v>
      </c>
      <c r="U146" s="231">
        <v>0</v>
      </c>
      <c r="V146" s="231">
        <v>0</v>
      </c>
      <c r="W146" s="231"/>
      <c r="X146" s="388">
        <f t="shared" si="38"/>
        <v>0</v>
      </c>
      <c r="Y146" s="389"/>
      <c r="Z146" s="389"/>
      <c r="AA146" s="233"/>
      <c r="AB146" s="233"/>
      <c r="AC146" s="233">
        <f t="shared" si="39"/>
        <v>0</v>
      </c>
      <c r="AD146" s="233">
        <f t="shared" si="40"/>
        <v>0</v>
      </c>
      <c r="AE146" s="232">
        <f t="shared" si="41"/>
        <v>0</v>
      </c>
      <c r="AF146" s="232">
        <f t="shared" si="42"/>
        <v>0</v>
      </c>
      <c r="AG146" s="232">
        <f t="shared" si="43"/>
        <v>0</v>
      </c>
      <c r="AH146" s="232">
        <f t="shared" si="44"/>
        <v>0</v>
      </c>
      <c r="AI146" s="232">
        <f t="shared" si="45"/>
        <v>0</v>
      </c>
      <c r="AJ146" s="232">
        <f t="shared" si="46"/>
        <v>0</v>
      </c>
      <c r="AK146" s="232">
        <f t="shared" si="47"/>
        <v>0</v>
      </c>
      <c r="AL146" s="232">
        <f>IFERROR(#REF!/$H146,0)</f>
        <v>0</v>
      </c>
      <c r="AM146" s="260">
        <f t="shared" si="48"/>
        <v>0</v>
      </c>
      <c r="AN146" s="260">
        <f t="shared" si="37"/>
        <v>0</v>
      </c>
      <c r="AO146" s="218" t="e">
        <f>+VLOOKUP($B146,Mapping!$C$31:$C$81,1,FALSE)</f>
        <v>#N/A</v>
      </c>
    </row>
    <row r="147" spans="1:41">
      <c r="A147" s="218" t="str">
        <f>$A$1&amp;"Commercial"&amp;B147</f>
        <v>PIERCE EA UTCCommercialACCESS-COMM</v>
      </c>
      <c r="B147" s="230" t="s">
        <v>413</v>
      </c>
      <c r="C147" s="230" t="s">
        <v>414</v>
      </c>
      <c r="D147" s="230" t="s">
        <v>397</v>
      </c>
      <c r="E147" s="380">
        <v>33000</v>
      </c>
      <c r="F147" s="231">
        <v>4.76</v>
      </c>
      <c r="G147" s="231">
        <v>4.76</v>
      </c>
      <c r="H147" s="231">
        <v>4.72</v>
      </c>
      <c r="I147" s="231">
        <v>4.72</v>
      </c>
      <c r="J147" s="231"/>
      <c r="K147" s="231"/>
      <c r="L147" s="231">
        <v>0</v>
      </c>
      <c r="M147" s="231">
        <v>0</v>
      </c>
      <c r="N147" s="231">
        <v>0</v>
      </c>
      <c r="O147" s="231">
        <v>1.19</v>
      </c>
      <c r="P147" s="231">
        <v>7.08</v>
      </c>
      <c r="Q147" s="231">
        <v>9.44</v>
      </c>
      <c r="R147" s="231">
        <v>9.44</v>
      </c>
      <c r="S147" s="231">
        <v>9.44</v>
      </c>
      <c r="T147" s="231">
        <v>9.44</v>
      </c>
      <c r="U147" s="231">
        <v>9.44</v>
      </c>
      <c r="V147" s="231">
        <v>9.44</v>
      </c>
      <c r="W147" s="231"/>
      <c r="X147" s="388">
        <f t="shared" ref="X147:X178" si="49">SUM(K147:V147)</f>
        <v>64.91</v>
      </c>
      <c r="Y147" s="389"/>
      <c r="Z147" s="389"/>
      <c r="AA147" s="233"/>
      <c r="AB147" s="233"/>
      <c r="AC147" s="233">
        <f t="shared" ref="AC147:AC178" si="50">IFERROR(N147/$G147,0)</f>
        <v>0</v>
      </c>
      <c r="AD147" s="233">
        <f t="shared" ref="AD147:AD178" si="51">IFERROR(O147/$G147,0)</f>
        <v>0.25</v>
      </c>
      <c r="AE147" s="232">
        <f t="shared" ref="AE147:AE178" si="52">IFERROR(P147/$H147,0)</f>
        <v>1.5</v>
      </c>
      <c r="AF147" s="232">
        <f t="shared" ref="AF147:AF178" si="53">IFERROR(Q147/$H147,0)</f>
        <v>2</v>
      </c>
      <c r="AG147" s="232">
        <f t="shared" ref="AG147:AG178" si="54">IFERROR(R147/$H147,0)</f>
        <v>2</v>
      </c>
      <c r="AH147" s="232">
        <f t="shared" ref="AH147:AH178" si="55">IFERROR(S147/$H147,0)</f>
        <v>2</v>
      </c>
      <c r="AI147" s="232">
        <f t="shared" ref="AI147:AI178" si="56">IFERROR(T147/$H147,0)</f>
        <v>2</v>
      </c>
      <c r="AJ147" s="232">
        <f t="shared" ref="AJ147:AJ178" si="57">IFERROR(U147/$H147,0)</f>
        <v>2</v>
      </c>
      <c r="AK147" s="232">
        <f t="shared" ref="AK147:AK178" si="58">IFERROR(V147/$H147,0)</f>
        <v>2</v>
      </c>
      <c r="AL147" s="232">
        <f>IFERROR(#REF!/$H147,0)</f>
        <v>0</v>
      </c>
      <c r="AM147" s="260">
        <f t="shared" ref="AM147:AM178" si="59">AVERAGE(Z147:AL147)</f>
        <v>1.375</v>
      </c>
      <c r="AN147" s="260">
        <f t="shared" ref="AN147:AN194" si="60">+SUM(AA147:AK147)</f>
        <v>13.75</v>
      </c>
      <c r="AO147" s="218" t="e">
        <f>+VLOOKUP($B147,Mapping!$C$31:$C$81,1,FALSE)</f>
        <v>#N/A</v>
      </c>
    </row>
    <row r="148" spans="1:41" s="217" customFormat="1">
      <c r="A148" s="218" t="str">
        <f>$A$1&amp;"Commercial"&amp;B148</f>
        <v>PIERCE EA UTCCommercialDISP-COMM</v>
      </c>
      <c r="B148" s="230" t="s">
        <v>415</v>
      </c>
      <c r="C148" s="230" t="s">
        <v>416</v>
      </c>
      <c r="D148" s="230" t="s">
        <v>397</v>
      </c>
      <c r="E148" s="380">
        <v>33000</v>
      </c>
      <c r="F148" s="231">
        <v>164.34</v>
      </c>
      <c r="G148" s="231">
        <v>167.38</v>
      </c>
      <c r="H148" s="231">
        <v>167.38</v>
      </c>
      <c r="I148" s="231">
        <v>167.38</v>
      </c>
      <c r="J148" s="231"/>
      <c r="K148" s="231"/>
      <c r="L148" s="231">
        <v>0</v>
      </c>
      <c r="M148" s="231">
        <v>0</v>
      </c>
      <c r="N148" s="231">
        <v>0</v>
      </c>
      <c r="O148" s="231">
        <v>0</v>
      </c>
      <c r="P148" s="231">
        <v>0</v>
      </c>
      <c r="Q148" s="231">
        <v>0</v>
      </c>
      <c r="R148" s="231">
        <v>0</v>
      </c>
      <c r="S148" s="231">
        <v>0</v>
      </c>
      <c r="T148" s="231">
        <v>0</v>
      </c>
      <c r="U148" s="231">
        <v>0</v>
      </c>
      <c r="V148" s="231">
        <v>0</v>
      </c>
      <c r="W148" s="231"/>
      <c r="X148" s="388">
        <f t="shared" si="49"/>
        <v>0</v>
      </c>
      <c r="Y148" s="389"/>
      <c r="Z148" s="389"/>
      <c r="AA148" s="233"/>
      <c r="AB148" s="233"/>
      <c r="AC148" s="233">
        <f t="shared" si="50"/>
        <v>0</v>
      </c>
      <c r="AD148" s="233">
        <f t="shared" si="51"/>
        <v>0</v>
      </c>
      <c r="AE148" s="232">
        <f t="shared" si="52"/>
        <v>0</v>
      </c>
      <c r="AF148" s="232">
        <f t="shared" si="53"/>
        <v>0</v>
      </c>
      <c r="AG148" s="232">
        <f t="shared" si="54"/>
        <v>0</v>
      </c>
      <c r="AH148" s="232">
        <f t="shared" si="55"/>
        <v>0</v>
      </c>
      <c r="AI148" s="232">
        <f t="shared" si="56"/>
        <v>0</v>
      </c>
      <c r="AJ148" s="232">
        <f t="shared" si="57"/>
        <v>0</v>
      </c>
      <c r="AK148" s="232">
        <f t="shared" si="58"/>
        <v>0</v>
      </c>
      <c r="AL148" s="232">
        <f>IFERROR(#REF!/$H148,0)</f>
        <v>0</v>
      </c>
      <c r="AM148" s="260">
        <f t="shared" si="59"/>
        <v>0</v>
      </c>
      <c r="AN148" s="260">
        <f t="shared" si="60"/>
        <v>0</v>
      </c>
      <c r="AO148" s="218" t="e">
        <f>+VLOOKUP($B148,Mapping!$C$31:$C$81,1,FALSE)</f>
        <v>#N/A</v>
      </c>
    </row>
    <row r="149" spans="1:41">
      <c r="A149" s="218" t="str">
        <f>$A$1&amp;"Commercial"&amp;B149</f>
        <v>PIERCE EA UTCCommercialDRIVEIN1-COMM</v>
      </c>
      <c r="B149" s="230" t="s">
        <v>417</v>
      </c>
      <c r="C149" s="230" t="s">
        <v>418</v>
      </c>
      <c r="D149" s="230" t="s">
        <v>397</v>
      </c>
      <c r="E149" s="380">
        <v>33000</v>
      </c>
      <c r="F149" s="231">
        <v>7.01</v>
      </c>
      <c r="G149" s="231">
        <v>7.01</v>
      </c>
      <c r="H149" s="231">
        <v>6.93</v>
      </c>
      <c r="I149" s="231">
        <v>6.93</v>
      </c>
      <c r="J149" s="231"/>
      <c r="K149" s="231"/>
      <c r="L149" s="231">
        <v>0</v>
      </c>
      <c r="M149" s="231">
        <v>0</v>
      </c>
      <c r="N149" s="231">
        <v>7.01</v>
      </c>
      <c r="O149" s="231">
        <v>7.01</v>
      </c>
      <c r="P149" s="231">
        <v>6.93</v>
      </c>
      <c r="Q149" s="231">
        <v>6.93</v>
      </c>
      <c r="R149" s="231">
        <v>6.93</v>
      </c>
      <c r="S149" s="231">
        <v>8.32</v>
      </c>
      <c r="T149" s="231">
        <v>13.86</v>
      </c>
      <c r="U149" s="231">
        <v>13.86</v>
      </c>
      <c r="V149" s="231">
        <v>13.86</v>
      </c>
      <c r="W149" s="231"/>
      <c r="X149" s="388">
        <f t="shared" si="49"/>
        <v>84.71</v>
      </c>
      <c r="Y149" s="389"/>
      <c r="Z149" s="389"/>
      <c r="AA149" s="233"/>
      <c r="AB149" s="233"/>
      <c r="AC149" s="233">
        <f t="shared" si="50"/>
        <v>1</v>
      </c>
      <c r="AD149" s="233">
        <f t="shared" si="51"/>
        <v>1</v>
      </c>
      <c r="AE149" s="232">
        <f t="shared" si="52"/>
        <v>1</v>
      </c>
      <c r="AF149" s="232">
        <f t="shared" si="53"/>
        <v>1</v>
      </c>
      <c r="AG149" s="232">
        <f t="shared" si="54"/>
        <v>1</v>
      </c>
      <c r="AH149" s="232">
        <f t="shared" si="55"/>
        <v>1.2005772005772006</v>
      </c>
      <c r="AI149" s="232">
        <f t="shared" si="56"/>
        <v>2</v>
      </c>
      <c r="AJ149" s="232">
        <f t="shared" si="57"/>
        <v>2</v>
      </c>
      <c r="AK149" s="232">
        <f t="shared" si="58"/>
        <v>2</v>
      </c>
      <c r="AL149" s="232">
        <f>IFERROR(#REF!/$H149,0)</f>
        <v>0</v>
      </c>
      <c r="AM149" s="260">
        <f t="shared" si="59"/>
        <v>1.2200577200577201</v>
      </c>
      <c r="AN149" s="260">
        <f t="shared" si="60"/>
        <v>12.2005772005772</v>
      </c>
      <c r="AO149" s="218" t="e">
        <f>+VLOOKUP($B149,Mapping!$C$31:$C$81,1,FALSE)</f>
        <v>#N/A</v>
      </c>
    </row>
    <row r="150" spans="1:41">
      <c r="A150" s="218" t="str">
        <f>$A$1&amp;"Commercial"&amp;B150</f>
        <v>PIERCE EA UTCCommercialDRIVEIN2-COMM</v>
      </c>
      <c r="B150" s="230" t="s">
        <v>419</v>
      </c>
      <c r="C150" s="230" t="s">
        <v>420</v>
      </c>
      <c r="D150" s="230" t="s">
        <v>397</v>
      </c>
      <c r="E150" s="380">
        <v>33000</v>
      </c>
      <c r="F150" s="231">
        <v>8.44</v>
      </c>
      <c r="G150" s="231">
        <v>8.44</v>
      </c>
      <c r="H150" s="231">
        <v>8.36</v>
      </c>
      <c r="I150" s="231">
        <v>8.36</v>
      </c>
      <c r="J150" s="231"/>
      <c r="K150" s="231"/>
      <c r="L150" s="231">
        <v>0</v>
      </c>
      <c r="M150" s="231">
        <v>0</v>
      </c>
      <c r="N150" s="231">
        <v>0</v>
      </c>
      <c r="O150" s="231">
        <v>0</v>
      </c>
      <c r="P150" s="231">
        <v>0</v>
      </c>
      <c r="Q150" s="231">
        <v>0</v>
      </c>
      <c r="R150" s="231">
        <v>0</v>
      </c>
      <c r="S150" s="231">
        <v>0</v>
      </c>
      <c r="T150" s="231">
        <v>0</v>
      </c>
      <c r="U150" s="231">
        <v>0</v>
      </c>
      <c r="V150" s="231">
        <v>0</v>
      </c>
      <c r="W150" s="231"/>
      <c r="X150" s="388">
        <f t="shared" si="49"/>
        <v>0</v>
      </c>
      <c r="Y150" s="389"/>
      <c r="Z150" s="389"/>
      <c r="AA150" s="233"/>
      <c r="AB150" s="233"/>
      <c r="AC150" s="233">
        <f t="shared" si="50"/>
        <v>0</v>
      </c>
      <c r="AD150" s="233">
        <f t="shared" si="51"/>
        <v>0</v>
      </c>
      <c r="AE150" s="232">
        <f t="shared" si="52"/>
        <v>0</v>
      </c>
      <c r="AF150" s="232">
        <f t="shared" si="53"/>
        <v>0</v>
      </c>
      <c r="AG150" s="232">
        <f t="shared" si="54"/>
        <v>0</v>
      </c>
      <c r="AH150" s="232">
        <f t="shared" si="55"/>
        <v>0</v>
      </c>
      <c r="AI150" s="232">
        <f t="shared" si="56"/>
        <v>0</v>
      </c>
      <c r="AJ150" s="232">
        <f t="shared" si="57"/>
        <v>0</v>
      </c>
      <c r="AK150" s="232">
        <f t="shared" si="58"/>
        <v>0</v>
      </c>
      <c r="AL150" s="232">
        <f>IFERROR(#REF!/$H150,0)</f>
        <v>0</v>
      </c>
      <c r="AM150" s="260">
        <f t="shared" si="59"/>
        <v>0</v>
      </c>
      <c r="AN150" s="260">
        <f t="shared" si="60"/>
        <v>0</v>
      </c>
      <c r="AO150" s="218" t="e">
        <f>+VLOOKUP($B150,Mapping!$C$31:$C$81,1,FALSE)</f>
        <v>#N/A</v>
      </c>
    </row>
    <row r="151" spans="1:41">
      <c r="A151" s="218" t="str">
        <f>$A$1&amp;"Commercial"&amp;B151</f>
        <v>PIERCE EA UTCCommercialDRIVEIN3-COMM</v>
      </c>
      <c r="B151" s="230" t="s">
        <v>708</v>
      </c>
      <c r="C151" s="230" t="s">
        <v>765</v>
      </c>
      <c r="D151" s="230" t="s">
        <v>397</v>
      </c>
      <c r="E151" s="380">
        <v>33000</v>
      </c>
      <c r="F151" s="231">
        <v>9.8699999999999992</v>
      </c>
      <c r="G151" s="231">
        <v>9.8699999999999992</v>
      </c>
      <c r="H151" s="231">
        <v>9.7899999999999991</v>
      </c>
      <c r="I151" s="231">
        <v>9.7899999999999991</v>
      </c>
      <c r="J151" s="231"/>
      <c r="K151" s="231"/>
      <c r="L151" s="231">
        <v>0</v>
      </c>
      <c r="M151" s="231">
        <v>0</v>
      </c>
      <c r="N151" s="231">
        <v>0</v>
      </c>
      <c r="O151" s="231">
        <v>0</v>
      </c>
      <c r="P151" s="231">
        <v>0</v>
      </c>
      <c r="Q151" s="231">
        <v>0</v>
      </c>
      <c r="R151" s="231">
        <v>0</v>
      </c>
      <c r="S151" s="231">
        <v>0</v>
      </c>
      <c r="T151" s="231">
        <v>0</v>
      </c>
      <c r="U151" s="231">
        <v>0</v>
      </c>
      <c r="V151" s="231">
        <v>0</v>
      </c>
      <c r="W151" s="231"/>
      <c r="X151" s="388">
        <f t="shared" si="49"/>
        <v>0</v>
      </c>
      <c r="Y151" s="389"/>
      <c r="Z151" s="389"/>
      <c r="AA151" s="233"/>
      <c r="AB151" s="233"/>
      <c r="AC151" s="233">
        <f t="shared" si="50"/>
        <v>0</v>
      </c>
      <c r="AD151" s="233">
        <f t="shared" si="51"/>
        <v>0</v>
      </c>
      <c r="AE151" s="232">
        <f t="shared" si="52"/>
        <v>0</v>
      </c>
      <c r="AF151" s="232">
        <f t="shared" si="53"/>
        <v>0</v>
      </c>
      <c r="AG151" s="232">
        <f t="shared" si="54"/>
        <v>0</v>
      </c>
      <c r="AH151" s="232">
        <f t="shared" si="55"/>
        <v>0</v>
      </c>
      <c r="AI151" s="232">
        <f t="shared" si="56"/>
        <v>0</v>
      </c>
      <c r="AJ151" s="232">
        <f t="shared" si="57"/>
        <v>0</v>
      </c>
      <c r="AK151" s="232">
        <f t="shared" si="58"/>
        <v>0</v>
      </c>
      <c r="AL151" s="232">
        <f>IFERROR(#REF!/$H151,0)</f>
        <v>0</v>
      </c>
      <c r="AM151" s="260">
        <f t="shared" si="59"/>
        <v>0</v>
      </c>
      <c r="AN151" s="260">
        <f t="shared" si="60"/>
        <v>0</v>
      </c>
      <c r="AO151" s="218" t="e">
        <f>+VLOOKUP($B151,Mapping!$C$31:$C$81,1,FALSE)</f>
        <v>#N/A</v>
      </c>
    </row>
    <row r="152" spans="1:41">
      <c r="A152" s="218" t="str">
        <f>$A$1&amp;"Commercial"&amp;B152</f>
        <v>PIERCE EA UTCCommercialROLL-COMM</v>
      </c>
      <c r="B152" s="230" t="s">
        <v>421</v>
      </c>
      <c r="C152" s="230" t="s">
        <v>422</v>
      </c>
      <c r="D152" s="230" t="s">
        <v>397</v>
      </c>
      <c r="E152" s="380">
        <v>33000</v>
      </c>
      <c r="F152" s="231">
        <v>16.45</v>
      </c>
      <c r="G152" s="231">
        <v>16.45</v>
      </c>
      <c r="H152" s="231">
        <v>16.32</v>
      </c>
      <c r="I152" s="231">
        <v>16.37</v>
      </c>
      <c r="J152" s="231"/>
      <c r="K152" s="231"/>
      <c r="L152" s="231">
        <v>0</v>
      </c>
      <c r="M152" s="231">
        <v>0</v>
      </c>
      <c r="N152" s="231">
        <v>0</v>
      </c>
      <c r="O152" s="231">
        <v>0</v>
      </c>
      <c r="P152" s="231">
        <v>0</v>
      </c>
      <c r="Q152" s="231">
        <v>0</v>
      </c>
      <c r="R152" s="231">
        <v>0</v>
      </c>
      <c r="S152" s="231">
        <v>0</v>
      </c>
      <c r="T152" s="231">
        <v>0</v>
      </c>
      <c r="U152" s="231">
        <v>0</v>
      </c>
      <c r="V152" s="231">
        <v>0</v>
      </c>
      <c r="W152" s="231"/>
      <c r="X152" s="388">
        <f t="shared" si="49"/>
        <v>0</v>
      </c>
      <c r="Y152" s="389"/>
      <c r="Z152" s="389"/>
      <c r="AA152" s="233"/>
      <c r="AB152" s="233"/>
      <c r="AC152" s="233">
        <f t="shared" si="50"/>
        <v>0</v>
      </c>
      <c r="AD152" s="233">
        <f t="shared" si="51"/>
        <v>0</v>
      </c>
      <c r="AE152" s="232">
        <f t="shared" si="52"/>
        <v>0</v>
      </c>
      <c r="AF152" s="232">
        <f t="shared" si="53"/>
        <v>0</v>
      </c>
      <c r="AG152" s="232">
        <f t="shared" si="54"/>
        <v>0</v>
      </c>
      <c r="AH152" s="232">
        <f t="shared" si="55"/>
        <v>0</v>
      </c>
      <c r="AI152" s="232">
        <f t="shared" si="56"/>
        <v>0</v>
      </c>
      <c r="AJ152" s="232">
        <f t="shared" si="57"/>
        <v>0</v>
      </c>
      <c r="AK152" s="232">
        <f t="shared" si="58"/>
        <v>0</v>
      </c>
      <c r="AL152" s="232">
        <f>IFERROR(#REF!/$H152,0)</f>
        <v>0</v>
      </c>
      <c r="AM152" s="260">
        <f t="shared" si="59"/>
        <v>0</v>
      </c>
      <c r="AN152" s="260">
        <f t="shared" si="60"/>
        <v>0</v>
      </c>
      <c r="AO152" s="218" t="e">
        <f>+VLOOKUP($B152,Mapping!$C$31:$C$81,1,FALSE)</f>
        <v>#N/A</v>
      </c>
    </row>
    <row r="153" spans="1:41">
      <c r="A153" s="218" t="str">
        <f>$A$1&amp;"Commercial"&amp;B153</f>
        <v>PIERCE EA UTCCommercialWI1-COMM</v>
      </c>
      <c r="B153" s="230" t="s">
        <v>423</v>
      </c>
      <c r="C153" s="230" t="s">
        <v>424</v>
      </c>
      <c r="D153" s="230" t="s">
        <v>397</v>
      </c>
      <c r="E153" s="380">
        <v>33000</v>
      </c>
      <c r="F153" s="231">
        <v>2.08</v>
      </c>
      <c r="G153" s="231">
        <v>2.08</v>
      </c>
      <c r="H153" s="231">
        <v>2.08</v>
      </c>
      <c r="I153" s="231">
        <v>2.08</v>
      </c>
      <c r="J153" s="231"/>
      <c r="K153" s="231"/>
      <c r="L153" s="231">
        <v>0</v>
      </c>
      <c r="M153" s="231">
        <v>0</v>
      </c>
      <c r="N153" s="231">
        <v>0</v>
      </c>
      <c r="O153" s="231">
        <v>0</v>
      </c>
      <c r="P153" s="231">
        <v>0</v>
      </c>
      <c r="Q153" s="231">
        <v>0</v>
      </c>
      <c r="R153" s="231">
        <v>0</v>
      </c>
      <c r="S153" s="231">
        <v>0</v>
      </c>
      <c r="T153" s="231">
        <v>0</v>
      </c>
      <c r="U153" s="231">
        <v>0</v>
      </c>
      <c r="V153" s="231">
        <v>0</v>
      </c>
      <c r="W153" s="231"/>
      <c r="X153" s="388">
        <f t="shared" si="49"/>
        <v>0</v>
      </c>
      <c r="Y153" s="389"/>
      <c r="Z153" s="389"/>
      <c r="AA153" s="233"/>
      <c r="AB153" s="233"/>
      <c r="AC153" s="233">
        <f t="shared" si="50"/>
        <v>0</v>
      </c>
      <c r="AD153" s="233">
        <f t="shared" si="51"/>
        <v>0</v>
      </c>
      <c r="AE153" s="232">
        <f t="shared" si="52"/>
        <v>0</v>
      </c>
      <c r="AF153" s="232">
        <f t="shared" si="53"/>
        <v>0</v>
      </c>
      <c r="AG153" s="232">
        <f t="shared" si="54"/>
        <v>0</v>
      </c>
      <c r="AH153" s="232">
        <f t="shared" si="55"/>
        <v>0</v>
      </c>
      <c r="AI153" s="232">
        <f t="shared" si="56"/>
        <v>0</v>
      </c>
      <c r="AJ153" s="232">
        <f t="shared" si="57"/>
        <v>0</v>
      </c>
      <c r="AK153" s="232">
        <f t="shared" si="58"/>
        <v>0</v>
      </c>
      <c r="AL153" s="232">
        <f>IFERROR(#REF!/$H153,0)</f>
        <v>0</v>
      </c>
      <c r="AM153" s="260">
        <f t="shared" si="59"/>
        <v>0</v>
      </c>
      <c r="AN153" s="260">
        <f t="shared" si="60"/>
        <v>0</v>
      </c>
      <c r="AO153" s="218" t="e">
        <f>+VLOOKUP($B153,Mapping!$C$31:$C$81,1,FALSE)</f>
        <v>#N/A</v>
      </c>
    </row>
    <row r="154" spans="1:41">
      <c r="A154" s="218" t="str">
        <f>$A$1&amp;"Commercial"&amp;B154</f>
        <v>PIERCE EA UTCCommercialWI2-COMM</v>
      </c>
      <c r="B154" s="230" t="s">
        <v>425</v>
      </c>
      <c r="C154" s="230" t="s">
        <v>426</v>
      </c>
      <c r="D154" s="230" t="s">
        <v>397</v>
      </c>
      <c r="E154" s="380">
        <v>33000</v>
      </c>
      <c r="F154" s="231">
        <v>3.42</v>
      </c>
      <c r="G154" s="231">
        <v>3.42</v>
      </c>
      <c r="H154" s="231">
        <v>3.42</v>
      </c>
      <c r="I154" s="231">
        <v>3.42</v>
      </c>
      <c r="J154" s="231"/>
      <c r="K154" s="231"/>
      <c r="L154" s="231">
        <v>0</v>
      </c>
      <c r="M154" s="231">
        <v>0</v>
      </c>
      <c r="N154" s="231">
        <v>0</v>
      </c>
      <c r="O154" s="231">
        <v>0</v>
      </c>
      <c r="P154" s="231">
        <v>0</v>
      </c>
      <c r="Q154" s="231">
        <v>0</v>
      </c>
      <c r="R154" s="231">
        <v>0</v>
      </c>
      <c r="S154" s="231">
        <v>0</v>
      </c>
      <c r="T154" s="231">
        <v>0</v>
      </c>
      <c r="U154" s="231">
        <v>0</v>
      </c>
      <c r="V154" s="231">
        <v>0</v>
      </c>
      <c r="W154" s="231"/>
      <c r="X154" s="388">
        <f t="shared" si="49"/>
        <v>0</v>
      </c>
      <c r="Y154" s="389"/>
      <c r="Z154" s="389"/>
      <c r="AA154" s="233"/>
      <c r="AB154" s="233"/>
      <c r="AC154" s="233">
        <f t="shared" si="50"/>
        <v>0</v>
      </c>
      <c r="AD154" s="233">
        <f t="shared" si="51"/>
        <v>0</v>
      </c>
      <c r="AE154" s="232">
        <f t="shared" si="52"/>
        <v>0</v>
      </c>
      <c r="AF154" s="232">
        <f t="shared" si="53"/>
        <v>0</v>
      </c>
      <c r="AG154" s="232">
        <f t="shared" si="54"/>
        <v>0</v>
      </c>
      <c r="AH154" s="232">
        <f t="shared" si="55"/>
        <v>0</v>
      </c>
      <c r="AI154" s="232">
        <f t="shared" si="56"/>
        <v>0</v>
      </c>
      <c r="AJ154" s="232">
        <f t="shared" si="57"/>
        <v>0</v>
      </c>
      <c r="AK154" s="232">
        <f t="shared" si="58"/>
        <v>0</v>
      </c>
      <c r="AL154" s="232">
        <f>IFERROR(#REF!/$H154,0)</f>
        <v>0</v>
      </c>
      <c r="AM154" s="260">
        <f t="shared" si="59"/>
        <v>0</v>
      </c>
      <c r="AN154" s="260">
        <f t="shared" si="60"/>
        <v>0</v>
      </c>
      <c r="AO154" s="218" t="e">
        <f>+VLOOKUP($B154,Mapping!$C$31:$C$81,1,FALSE)</f>
        <v>#N/A</v>
      </c>
    </row>
    <row r="155" spans="1:41">
      <c r="A155" s="218" t="str">
        <f>$A$1&amp;"Commercial"&amp;B155</f>
        <v>PIERCE EA UTCCommercialWI4-COMM</v>
      </c>
      <c r="B155" s="230" t="s">
        <v>427</v>
      </c>
      <c r="C155" s="230" t="s">
        <v>428</v>
      </c>
      <c r="D155" s="230" t="s">
        <v>397</v>
      </c>
      <c r="E155" s="380">
        <v>33000</v>
      </c>
      <c r="F155" s="231">
        <v>6.11</v>
      </c>
      <c r="G155" s="231">
        <v>6.11</v>
      </c>
      <c r="H155" s="231">
        <v>6.11</v>
      </c>
      <c r="I155" s="231">
        <v>6.11</v>
      </c>
      <c r="J155" s="231"/>
      <c r="K155" s="231"/>
      <c r="L155" s="231">
        <v>0</v>
      </c>
      <c r="M155" s="231">
        <v>0</v>
      </c>
      <c r="N155" s="231">
        <v>0</v>
      </c>
      <c r="O155" s="231">
        <v>0</v>
      </c>
      <c r="P155" s="231">
        <v>0</v>
      </c>
      <c r="Q155" s="231">
        <v>0</v>
      </c>
      <c r="R155" s="231">
        <v>0</v>
      </c>
      <c r="S155" s="231">
        <v>0</v>
      </c>
      <c r="T155" s="231">
        <v>0</v>
      </c>
      <c r="U155" s="231">
        <v>0</v>
      </c>
      <c r="V155" s="231">
        <v>0</v>
      </c>
      <c r="W155" s="231"/>
      <c r="X155" s="388">
        <f t="shared" si="49"/>
        <v>0</v>
      </c>
      <c r="Y155" s="389"/>
      <c r="Z155" s="389"/>
      <c r="AA155" s="233"/>
      <c r="AB155" s="233"/>
      <c r="AC155" s="233">
        <f t="shared" si="50"/>
        <v>0</v>
      </c>
      <c r="AD155" s="233">
        <f t="shared" si="51"/>
        <v>0</v>
      </c>
      <c r="AE155" s="232">
        <f t="shared" si="52"/>
        <v>0</v>
      </c>
      <c r="AF155" s="232">
        <f t="shared" si="53"/>
        <v>0</v>
      </c>
      <c r="AG155" s="232">
        <f t="shared" si="54"/>
        <v>0</v>
      </c>
      <c r="AH155" s="232">
        <f t="shared" si="55"/>
        <v>0</v>
      </c>
      <c r="AI155" s="232">
        <f t="shared" si="56"/>
        <v>0</v>
      </c>
      <c r="AJ155" s="232">
        <f t="shared" si="57"/>
        <v>0</v>
      </c>
      <c r="AK155" s="232">
        <f t="shared" si="58"/>
        <v>0</v>
      </c>
      <c r="AL155" s="232">
        <f>IFERROR(#REF!/$H155,0)</f>
        <v>0</v>
      </c>
      <c r="AM155" s="260">
        <f t="shared" si="59"/>
        <v>0</v>
      </c>
      <c r="AN155" s="260">
        <f t="shared" si="60"/>
        <v>0</v>
      </c>
      <c r="AO155" s="218" t="e">
        <f>+VLOOKUP($B155,Mapping!$C$31:$C$81,1,FALSE)</f>
        <v>#N/A</v>
      </c>
    </row>
    <row r="156" spans="1:41">
      <c r="A156" s="218" t="str">
        <f>$A$1&amp;"Commercial"&amp;B156</f>
        <v>PIERCE EA UTCCommercialCLEAN1.5-COMM</v>
      </c>
      <c r="B156" s="230" t="s">
        <v>429</v>
      </c>
      <c r="C156" s="230" t="s">
        <v>430</v>
      </c>
      <c r="D156" s="230" t="s">
        <v>410</v>
      </c>
      <c r="E156" s="380">
        <v>33001</v>
      </c>
      <c r="F156" s="231">
        <v>19</v>
      </c>
      <c r="G156" s="231">
        <v>19</v>
      </c>
      <c r="H156" s="231">
        <v>18.82</v>
      </c>
      <c r="I156" s="231">
        <v>18.87</v>
      </c>
      <c r="J156" s="231"/>
      <c r="K156" s="231"/>
      <c r="L156" s="231">
        <v>0</v>
      </c>
      <c r="M156" s="231">
        <v>0</v>
      </c>
      <c r="N156" s="231">
        <v>0</v>
      </c>
      <c r="O156" s="231">
        <v>0</v>
      </c>
      <c r="P156" s="231">
        <v>0</v>
      </c>
      <c r="Q156" s="231">
        <v>0</v>
      </c>
      <c r="R156" s="231">
        <v>0</v>
      </c>
      <c r="S156" s="231">
        <v>0</v>
      </c>
      <c r="T156" s="231">
        <v>0</v>
      </c>
      <c r="U156" s="231">
        <v>0</v>
      </c>
      <c r="V156" s="231">
        <v>0</v>
      </c>
      <c r="W156" s="231"/>
      <c r="X156" s="388">
        <f t="shared" si="49"/>
        <v>0</v>
      </c>
      <c r="Y156" s="389"/>
      <c r="Z156" s="389"/>
      <c r="AA156" s="233"/>
      <c r="AB156" s="233"/>
      <c r="AC156" s="233">
        <f t="shared" si="50"/>
        <v>0</v>
      </c>
      <c r="AD156" s="233">
        <f t="shared" si="51"/>
        <v>0</v>
      </c>
      <c r="AE156" s="232">
        <f t="shared" si="52"/>
        <v>0</v>
      </c>
      <c r="AF156" s="232">
        <f t="shared" si="53"/>
        <v>0</v>
      </c>
      <c r="AG156" s="232">
        <f t="shared" si="54"/>
        <v>0</v>
      </c>
      <c r="AH156" s="232">
        <f t="shared" si="55"/>
        <v>0</v>
      </c>
      <c r="AI156" s="232">
        <f t="shared" si="56"/>
        <v>0</v>
      </c>
      <c r="AJ156" s="232">
        <f t="shared" si="57"/>
        <v>0</v>
      </c>
      <c r="AK156" s="232">
        <f t="shared" si="58"/>
        <v>0</v>
      </c>
      <c r="AL156" s="232">
        <f>IFERROR(#REF!/$H156,0)</f>
        <v>0</v>
      </c>
      <c r="AM156" s="260">
        <f t="shared" si="59"/>
        <v>0</v>
      </c>
      <c r="AN156" s="260">
        <f t="shared" si="60"/>
        <v>0</v>
      </c>
      <c r="AO156" s="218" t="e">
        <f>+VLOOKUP($B156,Mapping!$C$31:$C$81,1,FALSE)</f>
        <v>#N/A</v>
      </c>
    </row>
    <row r="157" spans="1:41">
      <c r="A157" s="218" t="str">
        <f>$A$1&amp;"Commercial"&amp;B157</f>
        <v>PIERCE EA UTCCommercialCLEAN1-COMM</v>
      </c>
      <c r="B157" s="230" t="s">
        <v>431</v>
      </c>
      <c r="C157" s="230" t="s">
        <v>432</v>
      </c>
      <c r="D157" s="230" t="s">
        <v>410</v>
      </c>
      <c r="E157" s="380">
        <v>33001</v>
      </c>
      <c r="F157" s="231">
        <v>19</v>
      </c>
      <c r="G157" s="231">
        <v>19</v>
      </c>
      <c r="H157" s="231">
        <v>18.82</v>
      </c>
      <c r="I157" s="231">
        <v>18.87</v>
      </c>
      <c r="J157" s="231"/>
      <c r="K157" s="231"/>
      <c r="L157" s="231">
        <v>0</v>
      </c>
      <c r="M157" s="231">
        <v>0</v>
      </c>
      <c r="N157" s="231">
        <v>0</v>
      </c>
      <c r="O157" s="231">
        <v>0</v>
      </c>
      <c r="P157" s="231">
        <v>0</v>
      </c>
      <c r="Q157" s="231">
        <v>0</v>
      </c>
      <c r="R157" s="231">
        <v>0</v>
      </c>
      <c r="S157" s="231">
        <v>0</v>
      </c>
      <c r="T157" s="231">
        <v>0</v>
      </c>
      <c r="U157" s="231">
        <v>0</v>
      </c>
      <c r="V157" s="231">
        <v>0</v>
      </c>
      <c r="W157" s="231"/>
      <c r="X157" s="388">
        <f t="shared" si="49"/>
        <v>0</v>
      </c>
      <c r="Y157" s="389"/>
      <c r="Z157" s="389"/>
      <c r="AA157" s="233"/>
      <c r="AB157" s="233"/>
      <c r="AC157" s="233">
        <f t="shared" si="50"/>
        <v>0</v>
      </c>
      <c r="AD157" s="233">
        <f t="shared" si="51"/>
        <v>0</v>
      </c>
      <c r="AE157" s="232">
        <f t="shared" si="52"/>
        <v>0</v>
      </c>
      <c r="AF157" s="232">
        <f t="shared" si="53"/>
        <v>0</v>
      </c>
      <c r="AG157" s="232">
        <f t="shared" si="54"/>
        <v>0</v>
      </c>
      <c r="AH157" s="232">
        <f t="shared" si="55"/>
        <v>0</v>
      </c>
      <c r="AI157" s="232">
        <f t="shared" si="56"/>
        <v>0</v>
      </c>
      <c r="AJ157" s="232">
        <f t="shared" si="57"/>
        <v>0</v>
      </c>
      <c r="AK157" s="232">
        <f t="shared" si="58"/>
        <v>0</v>
      </c>
      <c r="AL157" s="232">
        <f>IFERROR(#REF!/$H157,0)</f>
        <v>0</v>
      </c>
      <c r="AM157" s="260">
        <f t="shared" si="59"/>
        <v>0</v>
      </c>
      <c r="AN157" s="260">
        <f t="shared" si="60"/>
        <v>0</v>
      </c>
      <c r="AO157" s="218" t="e">
        <f>+VLOOKUP($B157,Mapping!$C$31:$C$81,1,FALSE)</f>
        <v>#N/A</v>
      </c>
    </row>
    <row r="158" spans="1:41">
      <c r="A158" s="218" t="str">
        <f>$A$1&amp;"Commercial"&amp;B158</f>
        <v>PIERCE EA UTCCommercialCLEAN2-COMM</v>
      </c>
      <c r="B158" s="230" t="s">
        <v>433</v>
      </c>
      <c r="C158" s="230" t="s">
        <v>434</v>
      </c>
      <c r="D158" s="230" t="s">
        <v>410</v>
      </c>
      <c r="E158" s="380">
        <v>33001</v>
      </c>
      <c r="F158" s="231">
        <v>19</v>
      </c>
      <c r="G158" s="231">
        <v>19</v>
      </c>
      <c r="H158" s="231">
        <v>18.82</v>
      </c>
      <c r="I158" s="231">
        <v>18.87</v>
      </c>
      <c r="J158" s="231"/>
      <c r="K158" s="231"/>
      <c r="L158" s="231">
        <v>0</v>
      </c>
      <c r="M158" s="231">
        <v>0</v>
      </c>
      <c r="N158" s="231">
        <v>19</v>
      </c>
      <c r="O158" s="231">
        <v>0</v>
      </c>
      <c r="P158" s="231">
        <v>0</v>
      </c>
      <c r="Q158" s="231">
        <v>0</v>
      </c>
      <c r="R158" s="231">
        <v>18.82</v>
      </c>
      <c r="S158" s="231">
        <v>0</v>
      </c>
      <c r="T158" s="231">
        <v>0</v>
      </c>
      <c r="U158" s="231">
        <v>0</v>
      </c>
      <c r="V158" s="231">
        <v>0</v>
      </c>
      <c r="W158" s="231"/>
      <c r="X158" s="388">
        <f t="shared" si="49"/>
        <v>37.82</v>
      </c>
      <c r="Y158" s="389"/>
      <c r="Z158" s="389"/>
      <c r="AA158" s="233"/>
      <c r="AB158" s="233"/>
      <c r="AC158" s="233">
        <f t="shared" si="50"/>
        <v>1</v>
      </c>
      <c r="AD158" s="233">
        <f t="shared" si="51"/>
        <v>0</v>
      </c>
      <c r="AE158" s="232">
        <f t="shared" si="52"/>
        <v>0</v>
      </c>
      <c r="AF158" s="232">
        <f t="shared" si="53"/>
        <v>0</v>
      </c>
      <c r="AG158" s="232">
        <f t="shared" si="54"/>
        <v>1</v>
      </c>
      <c r="AH158" s="232">
        <f t="shared" si="55"/>
        <v>0</v>
      </c>
      <c r="AI158" s="232">
        <f t="shared" si="56"/>
        <v>0</v>
      </c>
      <c r="AJ158" s="232">
        <f t="shared" si="57"/>
        <v>0</v>
      </c>
      <c r="AK158" s="232">
        <f t="shared" si="58"/>
        <v>0</v>
      </c>
      <c r="AL158" s="232">
        <f>IFERROR(#REF!/$H158,0)</f>
        <v>0</v>
      </c>
      <c r="AM158" s="260">
        <f t="shared" si="59"/>
        <v>0.2</v>
      </c>
      <c r="AN158" s="260">
        <f t="shared" si="60"/>
        <v>2</v>
      </c>
      <c r="AO158" s="218" t="e">
        <f>+VLOOKUP($B158,Mapping!$C$31:$C$81,1,FALSE)</f>
        <v>#N/A</v>
      </c>
    </row>
    <row r="159" spans="1:41">
      <c r="A159" s="218" t="str">
        <f>$A$1&amp;"Commercial"&amp;B159</f>
        <v>PIERCE EA UTCCommercialCLEAN3-COMM</v>
      </c>
      <c r="B159" s="230" t="s">
        <v>435</v>
      </c>
      <c r="C159" s="230" t="s">
        <v>436</v>
      </c>
      <c r="D159" s="230" t="s">
        <v>410</v>
      </c>
      <c r="E159" s="380">
        <v>33001</v>
      </c>
      <c r="F159" s="231">
        <v>19</v>
      </c>
      <c r="G159" s="231">
        <v>19</v>
      </c>
      <c r="H159" s="231">
        <v>18.82</v>
      </c>
      <c r="I159" s="231">
        <v>18.87</v>
      </c>
      <c r="J159" s="231"/>
      <c r="K159" s="231"/>
      <c r="L159" s="231">
        <v>0</v>
      </c>
      <c r="M159" s="231">
        <v>0</v>
      </c>
      <c r="N159" s="231">
        <v>0</v>
      </c>
      <c r="O159" s="231">
        <v>0</v>
      </c>
      <c r="P159" s="231">
        <v>0</v>
      </c>
      <c r="Q159" s="231">
        <v>0</v>
      </c>
      <c r="R159" s="231">
        <v>0</v>
      </c>
      <c r="S159" s="231">
        <v>0</v>
      </c>
      <c r="T159" s="231">
        <v>0</v>
      </c>
      <c r="U159" s="231">
        <v>0</v>
      </c>
      <c r="V159" s="231">
        <v>0</v>
      </c>
      <c r="W159" s="231"/>
      <c r="X159" s="388">
        <f t="shared" si="49"/>
        <v>0</v>
      </c>
      <c r="Y159" s="389"/>
      <c r="Z159" s="389"/>
      <c r="AA159" s="233"/>
      <c r="AB159" s="233"/>
      <c r="AC159" s="233">
        <f t="shared" si="50"/>
        <v>0</v>
      </c>
      <c r="AD159" s="233">
        <f t="shared" si="51"/>
        <v>0</v>
      </c>
      <c r="AE159" s="232">
        <f t="shared" si="52"/>
        <v>0</v>
      </c>
      <c r="AF159" s="232">
        <f t="shared" si="53"/>
        <v>0</v>
      </c>
      <c r="AG159" s="232">
        <f t="shared" si="54"/>
        <v>0</v>
      </c>
      <c r="AH159" s="232">
        <f t="shared" si="55"/>
        <v>0</v>
      </c>
      <c r="AI159" s="232">
        <f t="shared" si="56"/>
        <v>0</v>
      </c>
      <c r="AJ159" s="232">
        <f t="shared" si="57"/>
        <v>0</v>
      </c>
      <c r="AK159" s="232">
        <f t="shared" si="58"/>
        <v>0</v>
      </c>
      <c r="AL159" s="232">
        <f>IFERROR(#REF!/$H159,0)</f>
        <v>0</v>
      </c>
      <c r="AM159" s="260">
        <f t="shared" si="59"/>
        <v>0</v>
      </c>
      <c r="AN159" s="260">
        <f t="shared" si="60"/>
        <v>0</v>
      </c>
      <c r="AO159" s="218" t="e">
        <f>+VLOOKUP($B159,Mapping!$C$31:$C$81,1,FALSE)</f>
        <v>#N/A</v>
      </c>
    </row>
    <row r="160" spans="1:41">
      <c r="A160" s="218" t="str">
        <f>$A$1&amp;"Commercial"&amp;B160</f>
        <v>PIERCE EA UTCCommercialCLEAN4-COMM</v>
      </c>
      <c r="B160" s="230" t="s">
        <v>437</v>
      </c>
      <c r="C160" s="230" t="s">
        <v>438</v>
      </c>
      <c r="D160" s="230" t="s">
        <v>410</v>
      </c>
      <c r="E160" s="380">
        <v>33001</v>
      </c>
      <c r="F160" s="231">
        <v>19</v>
      </c>
      <c r="G160" s="231">
        <v>19</v>
      </c>
      <c r="H160" s="231">
        <v>18.84</v>
      </c>
      <c r="I160" s="231">
        <v>18.88</v>
      </c>
      <c r="J160" s="231"/>
      <c r="K160" s="231"/>
      <c r="L160" s="231">
        <v>0</v>
      </c>
      <c r="M160" s="231">
        <v>0</v>
      </c>
      <c r="N160" s="231">
        <v>0</v>
      </c>
      <c r="O160" s="231">
        <v>0</v>
      </c>
      <c r="P160" s="231">
        <v>0</v>
      </c>
      <c r="Q160" s="231">
        <v>0</v>
      </c>
      <c r="R160" s="231">
        <v>0</v>
      </c>
      <c r="S160" s="231">
        <v>0</v>
      </c>
      <c r="T160" s="231">
        <v>0</v>
      </c>
      <c r="U160" s="231">
        <v>0</v>
      </c>
      <c r="V160" s="231">
        <v>0</v>
      </c>
      <c r="W160" s="231"/>
      <c r="X160" s="388">
        <f t="shared" si="49"/>
        <v>0</v>
      </c>
      <c r="Y160" s="389"/>
      <c r="Z160" s="389"/>
      <c r="AA160" s="233"/>
      <c r="AB160" s="233"/>
      <c r="AC160" s="233">
        <f t="shared" si="50"/>
        <v>0</v>
      </c>
      <c r="AD160" s="233">
        <f t="shared" si="51"/>
        <v>0</v>
      </c>
      <c r="AE160" s="232">
        <f t="shared" si="52"/>
        <v>0</v>
      </c>
      <c r="AF160" s="232">
        <f t="shared" si="53"/>
        <v>0</v>
      </c>
      <c r="AG160" s="232">
        <f t="shared" si="54"/>
        <v>0</v>
      </c>
      <c r="AH160" s="232">
        <f t="shared" si="55"/>
        <v>0</v>
      </c>
      <c r="AI160" s="232">
        <f t="shared" si="56"/>
        <v>0</v>
      </c>
      <c r="AJ160" s="232">
        <f t="shared" si="57"/>
        <v>0</v>
      </c>
      <c r="AK160" s="232">
        <f t="shared" si="58"/>
        <v>0</v>
      </c>
      <c r="AL160" s="232">
        <f>IFERROR(#REF!/$H160,0)</f>
        <v>0</v>
      </c>
      <c r="AM160" s="260">
        <f t="shared" si="59"/>
        <v>0</v>
      </c>
      <c r="AN160" s="260">
        <f t="shared" si="60"/>
        <v>0</v>
      </c>
      <c r="AO160" s="218" t="e">
        <f>+VLOOKUP($B160,Mapping!$C$31:$C$81,1,FALSE)</f>
        <v>#N/A</v>
      </c>
    </row>
    <row r="161" spans="1:41">
      <c r="A161" s="218" t="str">
        <f>$A$1&amp;"Commercial"&amp;B161</f>
        <v>PIERCE EA UTCCommercialCLEAN6-COMM</v>
      </c>
      <c r="B161" s="230" t="s">
        <v>439</v>
      </c>
      <c r="C161" s="230" t="s">
        <v>440</v>
      </c>
      <c r="D161" s="230" t="s">
        <v>410</v>
      </c>
      <c r="E161" s="380">
        <v>33001</v>
      </c>
      <c r="F161" s="231">
        <v>28.5</v>
      </c>
      <c r="G161" s="231">
        <v>28.5</v>
      </c>
      <c r="H161" s="231">
        <v>28.26</v>
      </c>
      <c r="I161" s="231">
        <v>28.32</v>
      </c>
      <c r="J161" s="231"/>
      <c r="K161" s="231"/>
      <c r="L161" s="231">
        <v>0</v>
      </c>
      <c r="M161" s="231">
        <v>0</v>
      </c>
      <c r="N161" s="231">
        <v>0</v>
      </c>
      <c r="O161" s="231">
        <v>0</v>
      </c>
      <c r="P161" s="231">
        <v>0</v>
      </c>
      <c r="Q161" s="231">
        <v>0</v>
      </c>
      <c r="R161" s="231">
        <v>0</v>
      </c>
      <c r="S161" s="231">
        <v>0</v>
      </c>
      <c r="T161" s="231">
        <v>0</v>
      </c>
      <c r="U161" s="231">
        <v>0</v>
      </c>
      <c r="V161" s="231">
        <v>0</v>
      </c>
      <c r="W161" s="231"/>
      <c r="X161" s="388">
        <f t="shared" si="49"/>
        <v>0</v>
      </c>
      <c r="Y161" s="389"/>
      <c r="Z161" s="389"/>
      <c r="AA161" s="233"/>
      <c r="AB161" s="233"/>
      <c r="AC161" s="233">
        <f t="shared" si="50"/>
        <v>0</v>
      </c>
      <c r="AD161" s="233">
        <f t="shared" si="51"/>
        <v>0</v>
      </c>
      <c r="AE161" s="232">
        <f t="shared" si="52"/>
        <v>0</v>
      </c>
      <c r="AF161" s="232">
        <f t="shared" si="53"/>
        <v>0</v>
      </c>
      <c r="AG161" s="232">
        <f t="shared" si="54"/>
        <v>0</v>
      </c>
      <c r="AH161" s="232">
        <f t="shared" si="55"/>
        <v>0</v>
      </c>
      <c r="AI161" s="232">
        <f t="shared" si="56"/>
        <v>0</v>
      </c>
      <c r="AJ161" s="232">
        <f t="shared" si="57"/>
        <v>0</v>
      </c>
      <c r="AK161" s="232">
        <f t="shared" si="58"/>
        <v>0</v>
      </c>
      <c r="AL161" s="232">
        <f>IFERROR(#REF!/$H161,0)</f>
        <v>0</v>
      </c>
      <c r="AM161" s="260">
        <f t="shared" si="59"/>
        <v>0</v>
      </c>
      <c r="AN161" s="260">
        <f t="shared" si="60"/>
        <v>0</v>
      </c>
      <c r="AO161" s="218" t="e">
        <f>+VLOOKUP($B161,Mapping!$C$31:$C$81,1,FALSE)</f>
        <v>#N/A</v>
      </c>
    </row>
    <row r="162" spans="1:41">
      <c r="A162" s="218" t="str">
        <f>$A$1&amp;"Commercial"&amp;B162</f>
        <v>PIERCE EA UTCCommercialCLEAN-COMM</v>
      </c>
      <c r="B162" s="230" t="s">
        <v>441</v>
      </c>
      <c r="C162" s="230" t="s">
        <v>442</v>
      </c>
      <c r="D162" s="230" t="s">
        <v>410</v>
      </c>
      <c r="E162" s="380">
        <v>33001</v>
      </c>
      <c r="F162" s="231">
        <v>4.75</v>
      </c>
      <c r="G162" s="231">
        <v>4.75</v>
      </c>
      <c r="H162" s="231">
        <v>4.71</v>
      </c>
      <c r="I162" s="231">
        <v>4.72</v>
      </c>
      <c r="J162" s="231"/>
      <c r="K162" s="231"/>
      <c r="L162" s="231">
        <v>0</v>
      </c>
      <c r="M162" s="231">
        <v>0</v>
      </c>
      <c r="N162" s="231">
        <v>0</v>
      </c>
      <c r="O162" s="231">
        <v>0</v>
      </c>
      <c r="P162" s="231">
        <v>0</v>
      </c>
      <c r="Q162" s="231">
        <v>0</v>
      </c>
      <c r="R162" s="231">
        <v>0</v>
      </c>
      <c r="S162" s="231">
        <v>0</v>
      </c>
      <c r="T162" s="231">
        <v>0</v>
      </c>
      <c r="U162" s="231">
        <v>0</v>
      </c>
      <c r="V162" s="231">
        <v>0</v>
      </c>
      <c r="W162" s="231"/>
      <c r="X162" s="388">
        <f t="shared" si="49"/>
        <v>0</v>
      </c>
      <c r="Y162" s="389"/>
      <c r="Z162" s="389"/>
      <c r="AA162" s="233"/>
      <c r="AB162" s="233"/>
      <c r="AC162" s="233">
        <f t="shared" si="50"/>
        <v>0</v>
      </c>
      <c r="AD162" s="233">
        <f t="shared" si="51"/>
        <v>0</v>
      </c>
      <c r="AE162" s="232">
        <f t="shared" si="52"/>
        <v>0</v>
      </c>
      <c r="AF162" s="232">
        <f t="shared" si="53"/>
        <v>0</v>
      </c>
      <c r="AG162" s="232">
        <f t="shared" si="54"/>
        <v>0</v>
      </c>
      <c r="AH162" s="232">
        <f t="shared" si="55"/>
        <v>0</v>
      </c>
      <c r="AI162" s="232">
        <f t="shared" si="56"/>
        <v>0</v>
      </c>
      <c r="AJ162" s="232">
        <f t="shared" si="57"/>
        <v>0</v>
      </c>
      <c r="AK162" s="232">
        <f t="shared" si="58"/>
        <v>0</v>
      </c>
      <c r="AL162" s="232">
        <f>IFERROR(#REF!/$H162,0)</f>
        <v>0</v>
      </c>
      <c r="AM162" s="260">
        <f t="shared" si="59"/>
        <v>0</v>
      </c>
      <c r="AN162" s="260">
        <f t="shared" si="60"/>
        <v>0</v>
      </c>
      <c r="AO162" s="218" t="e">
        <f>+VLOOKUP($B162,Mapping!$C$31:$C$81,1,FALSE)</f>
        <v>#N/A</v>
      </c>
    </row>
    <row r="163" spans="1:41">
      <c r="A163" s="218" t="str">
        <f>$A$1&amp;"Commercial"&amp;B163</f>
        <v>PIERCE EA UTCCommercialDEL1.5TEMP-COMM</v>
      </c>
      <c r="B163" s="230" t="s">
        <v>443</v>
      </c>
      <c r="C163" s="230" t="s">
        <v>444</v>
      </c>
      <c r="D163" s="230" t="s">
        <v>410</v>
      </c>
      <c r="E163" s="380">
        <v>33001</v>
      </c>
      <c r="F163" s="231">
        <v>22.71</v>
      </c>
      <c r="G163" s="231">
        <v>22.71</v>
      </c>
      <c r="H163" s="231">
        <v>22.5</v>
      </c>
      <c r="I163" s="231">
        <v>22.56</v>
      </c>
      <c r="J163" s="231"/>
      <c r="K163" s="231"/>
      <c r="L163" s="231">
        <v>0</v>
      </c>
      <c r="M163" s="231">
        <v>0</v>
      </c>
      <c r="N163" s="231">
        <v>0</v>
      </c>
      <c r="O163" s="231">
        <v>0</v>
      </c>
      <c r="P163" s="231">
        <v>0</v>
      </c>
      <c r="Q163" s="231">
        <v>0</v>
      </c>
      <c r="R163" s="231">
        <v>0</v>
      </c>
      <c r="S163" s="231">
        <v>0</v>
      </c>
      <c r="T163" s="231">
        <v>0</v>
      </c>
      <c r="U163" s="231">
        <v>0</v>
      </c>
      <c r="V163" s="231">
        <v>0</v>
      </c>
      <c r="W163" s="231"/>
      <c r="X163" s="388">
        <f t="shared" si="49"/>
        <v>0</v>
      </c>
      <c r="Y163" s="389"/>
      <c r="Z163" s="389"/>
      <c r="AA163" s="233"/>
      <c r="AB163" s="233"/>
      <c r="AC163" s="233">
        <f t="shared" si="50"/>
        <v>0</v>
      </c>
      <c r="AD163" s="233">
        <f t="shared" si="51"/>
        <v>0</v>
      </c>
      <c r="AE163" s="232">
        <f t="shared" si="52"/>
        <v>0</v>
      </c>
      <c r="AF163" s="232">
        <f t="shared" si="53"/>
        <v>0</v>
      </c>
      <c r="AG163" s="232">
        <f t="shared" si="54"/>
        <v>0</v>
      </c>
      <c r="AH163" s="232">
        <f t="shared" si="55"/>
        <v>0</v>
      </c>
      <c r="AI163" s="232">
        <f t="shared" si="56"/>
        <v>0</v>
      </c>
      <c r="AJ163" s="232">
        <f t="shared" si="57"/>
        <v>0</v>
      </c>
      <c r="AK163" s="232">
        <f t="shared" si="58"/>
        <v>0</v>
      </c>
      <c r="AL163" s="232">
        <f>IFERROR(#REF!/$H163,0)</f>
        <v>0</v>
      </c>
      <c r="AM163" s="260">
        <f t="shared" si="59"/>
        <v>0</v>
      </c>
      <c r="AN163" s="260">
        <f t="shared" si="60"/>
        <v>0</v>
      </c>
      <c r="AO163" s="218" t="e">
        <f>+VLOOKUP($B163,Mapping!$C$31:$C$81,1,FALSE)</f>
        <v>#N/A</v>
      </c>
    </row>
    <row r="164" spans="1:41">
      <c r="A164" s="218" t="str">
        <f>$A$1&amp;"Commercial"&amp;B164</f>
        <v>PIERCE EA UTCCommercialDEL1TEMP-COMM</v>
      </c>
      <c r="B164" s="230" t="s">
        <v>445</v>
      </c>
      <c r="C164" s="230" t="s">
        <v>446</v>
      </c>
      <c r="D164" s="230" t="s">
        <v>410</v>
      </c>
      <c r="E164" s="380">
        <v>33001</v>
      </c>
      <c r="F164" s="231">
        <v>22.71</v>
      </c>
      <c r="G164" s="231">
        <v>22.71</v>
      </c>
      <c r="H164" s="231">
        <v>22.5</v>
      </c>
      <c r="I164" s="231">
        <v>22.56</v>
      </c>
      <c r="J164" s="231"/>
      <c r="K164" s="231"/>
      <c r="L164" s="231">
        <v>0</v>
      </c>
      <c r="M164" s="231">
        <v>0</v>
      </c>
      <c r="N164" s="231">
        <v>0</v>
      </c>
      <c r="O164" s="231">
        <v>0</v>
      </c>
      <c r="P164" s="231">
        <v>0</v>
      </c>
      <c r="Q164" s="231">
        <v>0</v>
      </c>
      <c r="R164" s="231">
        <v>0</v>
      </c>
      <c r="S164" s="231">
        <v>0</v>
      </c>
      <c r="T164" s="231">
        <v>0</v>
      </c>
      <c r="U164" s="231">
        <v>0</v>
      </c>
      <c r="V164" s="231">
        <v>0</v>
      </c>
      <c r="W164" s="231"/>
      <c r="X164" s="388">
        <f t="shared" si="49"/>
        <v>0</v>
      </c>
      <c r="Y164" s="389"/>
      <c r="Z164" s="389"/>
      <c r="AA164" s="233"/>
      <c r="AB164" s="233"/>
      <c r="AC164" s="233">
        <f t="shared" si="50"/>
        <v>0</v>
      </c>
      <c r="AD164" s="233">
        <f t="shared" si="51"/>
        <v>0</v>
      </c>
      <c r="AE164" s="232">
        <f t="shared" si="52"/>
        <v>0</v>
      </c>
      <c r="AF164" s="232">
        <f t="shared" si="53"/>
        <v>0</v>
      </c>
      <c r="AG164" s="232">
        <f t="shared" si="54"/>
        <v>0</v>
      </c>
      <c r="AH164" s="232">
        <f t="shared" si="55"/>
        <v>0</v>
      </c>
      <c r="AI164" s="232">
        <f t="shared" si="56"/>
        <v>0</v>
      </c>
      <c r="AJ164" s="232">
        <f t="shared" si="57"/>
        <v>0</v>
      </c>
      <c r="AK164" s="232">
        <f t="shared" si="58"/>
        <v>0</v>
      </c>
      <c r="AL164" s="232">
        <f>IFERROR(#REF!/$H164,0)</f>
        <v>0</v>
      </c>
      <c r="AM164" s="260">
        <f t="shared" si="59"/>
        <v>0</v>
      </c>
      <c r="AN164" s="260">
        <f t="shared" si="60"/>
        <v>0</v>
      </c>
      <c r="AO164" s="218" t="e">
        <f>+VLOOKUP($B164,Mapping!$C$31:$C$81,1,FALSE)</f>
        <v>#N/A</v>
      </c>
    </row>
    <row r="165" spans="1:41">
      <c r="A165" s="218" t="str">
        <f>$A$1&amp;"Commercial"&amp;B165</f>
        <v>PIERCE EA UTCCommercialDEL2TEMP-COMM</v>
      </c>
      <c r="B165" s="230" t="s">
        <v>447</v>
      </c>
      <c r="C165" s="230" t="s">
        <v>448</v>
      </c>
      <c r="D165" s="230" t="s">
        <v>410</v>
      </c>
      <c r="E165" s="380">
        <v>33001</v>
      </c>
      <c r="F165" s="231">
        <v>22.71</v>
      </c>
      <c r="G165" s="231">
        <v>22.71</v>
      </c>
      <c r="H165" s="231">
        <v>22.5</v>
      </c>
      <c r="I165" s="231">
        <v>22.56</v>
      </c>
      <c r="J165" s="231"/>
      <c r="K165" s="231"/>
      <c r="L165" s="231">
        <v>0</v>
      </c>
      <c r="M165" s="231">
        <v>0</v>
      </c>
      <c r="N165" s="231">
        <v>22.71</v>
      </c>
      <c r="O165" s="231">
        <v>0</v>
      </c>
      <c r="P165" s="231">
        <v>0</v>
      </c>
      <c r="Q165" s="231">
        <v>0</v>
      </c>
      <c r="R165" s="231">
        <v>22.5</v>
      </c>
      <c r="S165" s="231">
        <v>0</v>
      </c>
      <c r="T165" s="231">
        <v>0</v>
      </c>
      <c r="U165" s="231">
        <v>0</v>
      </c>
      <c r="V165" s="231">
        <v>0</v>
      </c>
      <c r="W165" s="231"/>
      <c r="X165" s="388">
        <f t="shared" si="49"/>
        <v>45.21</v>
      </c>
      <c r="Y165" s="389"/>
      <c r="Z165" s="389"/>
      <c r="AA165" s="233"/>
      <c r="AB165" s="233"/>
      <c r="AC165" s="233">
        <f t="shared" si="50"/>
        <v>1</v>
      </c>
      <c r="AD165" s="233">
        <f t="shared" si="51"/>
        <v>0</v>
      </c>
      <c r="AE165" s="232">
        <f t="shared" si="52"/>
        <v>0</v>
      </c>
      <c r="AF165" s="232">
        <f t="shared" si="53"/>
        <v>0</v>
      </c>
      <c r="AG165" s="232">
        <f t="shared" si="54"/>
        <v>1</v>
      </c>
      <c r="AH165" s="232">
        <f t="shared" si="55"/>
        <v>0</v>
      </c>
      <c r="AI165" s="232">
        <f t="shared" si="56"/>
        <v>0</v>
      </c>
      <c r="AJ165" s="232">
        <f t="shared" si="57"/>
        <v>0</v>
      </c>
      <c r="AK165" s="232">
        <f t="shared" si="58"/>
        <v>0</v>
      </c>
      <c r="AL165" s="232">
        <f>IFERROR(#REF!/$H165,0)</f>
        <v>0</v>
      </c>
      <c r="AM165" s="260">
        <f t="shared" si="59"/>
        <v>0.2</v>
      </c>
      <c r="AN165" s="260">
        <f t="shared" si="60"/>
        <v>2</v>
      </c>
      <c r="AO165" s="218" t="e">
        <f>+VLOOKUP($B165,Mapping!$C$31:$C$81,1,FALSE)</f>
        <v>#N/A</v>
      </c>
    </row>
    <row r="166" spans="1:41">
      <c r="A166" s="218" t="str">
        <f>$A$1&amp;"Commercial"&amp;B166</f>
        <v>PIERCE EA UTCCommercialDEL3TEMP-COMM</v>
      </c>
      <c r="B166" s="230" t="s">
        <v>449</v>
      </c>
      <c r="C166" s="230" t="s">
        <v>450</v>
      </c>
      <c r="D166" s="230" t="s">
        <v>410</v>
      </c>
      <c r="E166" s="380">
        <v>33001</v>
      </c>
      <c r="F166" s="231">
        <v>22.71</v>
      </c>
      <c r="G166" s="231">
        <v>22.71</v>
      </c>
      <c r="H166" s="231">
        <v>22.5</v>
      </c>
      <c r="I166" s="231">
        <v>22.56</v>
      </c>
      <c r="J166" s="231"/>
      <c r="K166" s="231"/>
      <c r="L166" s="231">
        <v>0</v>
      </c>
      <c r="M166" s="231">
        <v>0</v>
      </c>
      <c r="N166" s="231">
        <v>0</v>
      </c>
      <c r="O166" s="231">
        <v>0</v>
      </c>
      <c r="P166" s="231">
        <v>0</v>
      </c>
      <c r="Q166" s="231">
        <v>0</v>
      </c>
      <c r="R166" s="231">
        <v>0</v>
      </c>
      <c r="S166" s="231">
        <v>0</v>
      </c>
      <c r="T166" s="231">
        <v>0</v>
      </c>
      <c r="U166" s="231">
        <v>0</v>
      </c>
      <c r="V166" s="231">
        <v>0</v>
      </c>
      <c r="W166" s="231"/>
      <c r="X166" s="388">
        <f t="shared" si="49"/>
        <v>0</v>
      </c>
      <c r="Y166" s="389"/>
      <c r="Z166" s="389"/>
      <c r="AA166" s="233"/>
      <c r="AB166" s="233"/>
      <c r="AC166" s="233">
        <f t="shared" si="50"/>
        <v>0</v>
      </c>
      <c r="AD166" s="233">
        <f t="shared" si="51"/>
        <v>0</v>
      </c>
      <c r="AE166" s="232">
        <f t="shared" si="52"/>
        <v>0</v>
      </c>
      <c r="AF166" s="232">
        <f t="shared" si="53"/>
        <v>0</v>
      </c>
      <c r="AG166" s="232">
        <f t="shared" si="54"/>
        <v>0</v>
      </c>
      <c r="AH166" s="232">
        <f t="shared" si="55"/>
        <v>0</v>
      </c>
      <c r="AI166" s="232">
        <f t="shared" si="56"/>
        <v>0</v>
      </c>
      <c r="AJ166" s="232">
        <f t="shared" si="57"/>
        <v>0</v>
      </c>
      <c r="AK166" s="232">
        <f t="shared" si="58"/>
        <v>0</v>
      </c>
      <c r="AL166" s="232">
        <f>IFERROR(#REF!/$H166,0)</f>
        <v>0</v>
      </c>
      <c r="AM166" s="260">
        <f t="shared" si="59"/>
        <v>0</v>
      </c>
      <c r="AN166" s="260">
        <f t="shared" si="60"/>
        <v>0</v>
      </c>
      <c r="AO166" s="218" t="e">
        <f>+VLOOKUP($B166,Mapping!$C$31:$C$81,1,FALSE)</f>
        <v>#N/A</v>
      </c>
    </row>
    <row r="167" spans="1:41">
      <c r="A167" s="218" t="str">
        <f>$A$1&amp;"Commercial"&amp;B167</f>
        <v>PIERCE EA UTCCommercialDEL4TEMP-COMM</v>
      </c>
      <c r="B167" s="230" t="s">
        <v>451</v>
      </c>
      <c r="C167" s="230" t="s">
        <v>452</v>
      </c>
      <c r="D167" s="230" t="s">
        <v>410</v>
      </c>
      <c r="E167" s="380">
        <v>33001</v>
      </c>
      <c r="F167" s="231">
        <v>22.71</v>
      </c>
      <c r="G167" s="231">
        <v>22.71</v>
      </c>
      <c r="H167" s="231">
        <v>22.5</v>
      </c>
      <c r="I167" s="231">
        <v>22.56</v>
      </c>
      <c r="J167" s="231"/>
      <c r="K167" s="231"/>
      <c r="L167" s="231">
        <v>0</v>
      </c>
      <c r="M167" s="231">
        <v>0</v>
      </c>
      <c r="N167" s="231">
        <v>0</v>
      </c>
      <c r="O167" s="231">
        <v>0</v>
      </c>
      <c r="P167" s="231">
        <v>0</v>
      </c>
      <c r="Q167" s="231">
        <v>0</v>
      </c>
      <c r="R167" s="231">
        <v>0</v>
      </c>
      <c r="S167" s="231">
        <v>0</v>
      </c>
      <c r="T167" s="231">
        <v>0</v>
      </c>
      <c r="U167" s="231">
        <v>0</v>
      </c>
      <c r="V167" s="231">
        <v>0</v>
      </c>
      <c r="W167" s="231"/>
      <c r="X167" s="388">
        <f t="shared" si="49"/>
        <v>0</v>
      </c>
      <c r="Y167" s="389"/>
      <c r="Z167" s="389"/>
      <c r="AA167" s="233"/>
      <c r="AB167" s="233"/>
      <c r="AC167" s="233">
        <f t="shared" si="50"/>
        <v>0</v>
      </c>
      <c r="AD167" s="233">
        <f t="shared" si="51"/>
        <v>0</v>
      </c>
      <c r="AE167" s="232">
        <f t="shared" si="52"/>
        <v>0</v>
      </c>
      <c r="AF167" s="232">
        <f t="shared" si="53"/>
        <v>0</v>
      </c>
      <c r="AG167" s="232">
        <f t="shared" si="54"/>
        <v>0</v>
      </c>
      <c r="AH167" s="232">
        <f t="shared" si="55"/>
        <v>0</v>
      </c>
      <c r="AI167" s="232">
        <f t="shared" si="56"/>
        <v>0</v>
      </c>
      <c r="AJ167" s="232">
        <f t="shared" si="57"/>
        <v>0</v>
      </c>
      <c r="AK167" s="232">
        <f t="shared" si="58"/>
        <v>0</v>
      </c>
      <c r="AL167" s="232">
        <f>IFERROR(#REF!/$H167,0)</f>
        <v>0</v>
      </c>
      <c r="AM167" s="260">
        <f t="shared" si="59"/>
        <v>0</v>
      </c>
      <c r="AN167" s="260">
        <f t="shared" si="60"/>
        <v>0</v>
      </c>
      <c r="AO167" s="218" t="e">
        <f>+VLOOKUP($B167,Mapping!$C$31:$C$81,1,FALSE)</f>
        <v>#N/A</v>
      </c>
    </row>
    <row r="168" spans="1:41">
      <c r="A168" s="218" t="str">
        <f>$A$1&amp;"Commercial"&amp;B168</f>
        <v>PIERCE EA UTCCommercialDEL6TEMP-COMM</v>
      </c>
      <c r="B168" s="230" t="s">
        <v>453</v>
      </c>
      <c r="C168" s="230" t="s">
        <v>454</v>
      </c>
      <c r="D168" s="230" t="s">
        <v>410</v>
      </c>
      <c r="E168" s="380">
        <v>33001</v>
      </c>
      <c r="F168" s="231">
        <v>42.77</v>
      </c>
      <c r="G168" s="231">
        <v>42.77</v>
      </c>
      <c r="H168" s="231">
        <v>42.37</v>
      </c>
      <c r="I168" s="231">
        <v>42.49</v>
      </c>
      <c r="J168" s="231"/>
      <c r="K168" s="231"/>
      <c r="L168" s="231">
        <v>0</v>
      </c>
      <c r="M168" s="231">
        <v>0</v>
      </c>
      <c r="N168" s="231">
        <v>0</v>
      </c>
      <c r="O168" s="231">
        <v>0</v>
      </c>
      <c r="P168" s="231">
        <v>0</v>
      </c>
      <c r="Q168" s="231">
        <v>0</v>
      </c>
      <c r="R168" s="231">
        <v>0</v>
      </c>
      <c r="S168" s="231">
        <v>0</v>
      </c>
      <c r="T168" s="231">
        <v>0</v>
      </c>
      <c r="U168" s="231">
        <v>0</v>
      </c>
      <c r="V168" s="231">
        <v>0</v>
      </c>
      <c r="W168" s="231"/>
      <c r="X168" s="388">
        <f t="shared" si="49"/>
        <v>0</v>
      </c>
      <c r="Y168" s="389"/>
      <c r="Z168" s="389"/>
      <c r="AA168" s="233"/>
      <c r="AB168" s="233"/>
      <c r="AC168" s="233">
        <f t="shared" si="50"/>
        <v>0</v>
      </c>
      <c r="AD168" s="233">
        <f t="shared" si="51"/>
        <v>0</v>
      </c>
      <c r="AE168" s="232">
        <f t="shared" si="52"/>
        <v>0</v>
      </c>
      <c r="AF168" s="232">
        <f t="shared" si="53"/>
        <v>0</v>
      </c>
      <c r="AG168" s="232">
        <f t="shared" si="54"/>
        <v>0</v>
      </c>
      <c r="AH168" s="232">
        <f t="shared" si="55"/>
        <v>0</v>
      </c>
      <c r="AI168" s="232">
        <f t="shared" si="56"/>
        <v>0</v>
      </c>
      <c r="AJ168" s="232">
        <f t="shared" si="57"/>
        <v>0</v>
      </c>
      <c r="AK168" s="232">
        <f t="shared" si="58"/>
        <v>0</v>
      </c>
      <c r="AL168" s="232">
        <f>IFERROR(#REF!/$H168,0)</f>
        <v>0</v>
      </c>
      <c r="AM168" s="260">
        <f t="shared" si="59"/>
        <v>0</v>
      </c>
      <c r="AN168" s="260">
        <f t="shared" si="60"/>
        <v>0</v>
      </c>
      <c r="AO168" s="218" t="e">
        <f>+VLOOKUP($B168,Mapping!$C$31:$C$81,1,FALSE)</f>
        <v>#N/A</v>
      </c>
    </row>
    <row r="169" spans="1:41">
      <c r="A169" s="218" t="str">
        <f>$A$1&amp;"Commercial"&amp;B169</f>
        <v>PIERCE EA UTCCommercialREINSTATE-COMM</v>
      </c>
      <c r="B169" s="230" t="s">
        <v>455</v>
      </c>
      <c r="C169" s="230" t="s">
        <v>456</v>
      </c>
      <c r="D169" s="230" t="s">
        <v>410</v>
      </c>
      <c r="E169" s="380">
        <v>33001</v>
      </c>
      <c r="F169" s="231">
        <v>12.65</v>
      </c>
      <c r="G169" s="231">
        <v>12.65</v>
      </c>
      <c r="H169" s="231">
        <v>12.53</v>
      </c>
      <c r="I169" s="231">
        <v>12.56</v>
      </c>
      <c r="J169" s="231"/>
      <c r="K169" s="231"/>
      <c r="L169" s="231">
        <v>0</v>
      </c>
      <c r="M169" s="231">
        <v>0</v>
      </c>
      <c r="N169" s="231">
        <v>0</v>
      </c>
      <c r="O169" s="231">
        <v>0</v>
      </c>
      <c r="P169" s="231">
        <v>0</v>
      </c>
      <c r="Q169" s="231">
        <v>0</v>
      </c>
      <c r="R169" s="231">
        <v>0</v>
      </c>
      <c r="S169" s="231">
        <v>0</v>
      </c>
      <c r="T169" s="231">
        <v>0</v>
      </c>
      <c r="U169" s="231">
        <v>0</v>
      </c>
      <c r="V169" s="231">
        <v>0</v>
      </c>
      <c r="W169" s="231"/>
      <c r="X169" s="388">
        <f t="shared" si="49"/>
        <v>0</v>
      </c>
      <c r="Y169" s="389"/>
      <c r="Z169" s="389"/>
      <c r="AA169" s="233"/>
      <c r="AB169" s="233"/>
      <c r="AC169" s="233">
        <f t="shared" si="50"/>
        <v>0</v>
      </c>
      <c r="AD169" s="233">
        <f t="shared" si="51"/>
        <v>0</v>
      </c>
      <c r="AE169" s="232">
        <f t="shared" si="52"/>
        <v>0</v>
      </c>
      <c r="AF169" s="232">
        <f t="shared" si="53"/>
        <v>0</v>
      </c>
      <c r="AG169" s="232">
        <f t="shared" si="54"/>
        <v>0</v>
      </c>
      <c r="AH169" s="232">
        <f t="shared" si="55"/>
        <v>0</v>
      </c>
      <c r="AI169" s="232">
        <f t="shared" si="56"/>
        <v>0</v>
      </c>
      <c r="AJ169" s="232">
        <f t="shared" si="57"/>
        <v>0</v>
      </c>
      <c r="AK169" s="232">
        <f t="shared" si="58"/>
        <v>0</v>
      </c>
      <c r="AL169" s="232">
        <f>IFERROR(#REF!/$H169,0)</f>
        <v>0</v>
      </c>
      <c r="AM169" s="260">
        <f t="shared" si="59"/>
        <v>0</v>
      </c>
      <c r="AN169" s="260">
        <f t="shared" si="60"/>
        <v>0</v>
      </c>
      <c r="AO169" s="218" t="e">
        <f>+VLOOKUP($B169,Mapping!$C$31:$C$81,1,FALSE)</f>
        <v>#N/A</v>
      </c>
    </row>
    <row r="170" spans="1:41">
      <c r="A170" s="218" t="str">
        <f>$A$1&amp;"Commercial"&amp;B170</f>
        <v>PIERCE EA UTCCommercialRTRNCAN-COMM</v>
      </c>
      <c r="B170" s="230" t="s">
        <v>457</v>
      </c>
      <c r="C170" s="230" t="s">
        <v>458</v>
      </c>
      <c r="D170" s="230" t="s">
        <v>410</v>
      </c>
      <c r="E170" s="380">
        <v>33001</v>
      </c>
      <c r="F170" s="231">
        <v>6.35</v>
      </c>
      <c r="G170" s="231">
        <v>6.35</v>
      </c>
      <c r="H170" s="231">
        <v>0</v>
      </c>
      <c r="I170" s="231">
        <v>0</v>
      </c>
      <c r="J170" s="231"/>
      <c r="K170" s="231"/>
      <c r="L170" s="231">
        <v>0</v>
      </c>
      <c r="M170" s="231">
        <v>0</v>
      </c>
      <c r="N170" s="231">
        <v>0</v>
      </c>
      <c r="O170" s="231">
        <v>0</v>
      </c>
      <c r="P170" s="231">
        <v>0</v>
      </c>
      <c r="Q170" s="231">
        <v>0</v>
      </c>
      <c r="R170" s="231">
        <v>0</v>
      </c>
      <c r="S170" s="231">
        <v>0</v>
      </c>
      <c r="T170" s="231">
        <v>0</v>
      </c>
      <c r="U170" s="231">
        <v>0</v>
      </c>
      <c r="V170" s="231">
        <v>0</v>
      </c>
      <c r="W170" s="231"/>
      <c r="X170" s="388">
        <f t="shared" si="49"/>
        <v>0</v>
      </c>
      <c r="Y170" s="389"/>
      <c r="Z170" s="389"/>
      <c r="AA170" s="233"/>
      <c r="AB170" s="233"/>
      <c r="AC170" s="233">
        <f t="shared" si="50"/>
        <v>0</v>
      </c>
      <c r="AD170" s="233">
        <f t="shared" si="51"/>
        <v>0</v>
      </c>
      <c r="AE170" s="232">
        <f t="shared" si="52"/>
        <v>0</v>
      </c>
      <c r="AF170" s="232">
        <f t="shared" si="53"/>
        <v>0</v>
      </c>
      <c r="AG170" s="232">
        <f t="shared" si="54"/>
        <v>0</v>
      </c>
      <c r="AH170" s="232">
        <f t="shared" si="55"/>
        <v>0</v>
      </c>
      <c r="AI170" s="232">
        <f t="shared" si="56"/>
        <v>0</v>
      </c>
      <c r="AJ170" s="232">
        <f t="shared" si="57"/>
        <v>0</v>
      </c>
      <c r="AK170" s="232">
        <f t="shared" si="58"/>
        <v>0</v>
      </c>
      <c r="AL170" s="232">
        <f>IFERROR(#REF!/$H170,0)</f>
        <v>0</v>
      </c>
      <c r="AM170" s="260">
        <f t="shared" si="59"/>
        <v>0</v>
      </c>
      <c r="AN170" s="260">
        <f t="shared" si="60"/>
        <v>0</v>
      </c>
      <c r="AO170" s="218" t="e">
        <f>+VLOOKUP($B170,Mapping!$C$31:$C$81,1,FALSE)</f>
        <v>#N/A</v>
      </c>
    </row>
    <row r="171" spans="1:41">
      <c r="A171" s="218" t="str">
        <f>$A$1&amp;"Commercial"&amp;B171</f>
        <v>PIERCE EA UTCCommercialRTRNCART65-COMM</v>
      </c>
      <c r="B171" s="230" t="s">
        <v>459</v>
      </c>
      <c r="C171" s="230" t="s">
        <v>460</v>
      </c>
      <c r="D171" s="230" t="s">
        <v>410</v>
      </c>
      <c r="E171" s="380">
        <v>33001</v>
      </c>
      <c r="F171" s="231">
        <v>7.4</v>
      </c>
      <c r="G171" s="231">
        <v>7.4</v>
      </c>
      <c r="H171" s="231">
        <v>7.33</v>
      </c>
      <c r="I171" s="231">
        <v>7.35</v>
      </c>
      <c r="J171" s="231"/>
      <c r="K171" s="231"/>
      <c r="L171" s="231">
        <v>0</v>
      </c>
      <c r="M171" s="231">
        <v>0</v>
      </c>
      <c r="N171" s="231">
        <v>0</v>
      </c>
      <c r="O171" s="231">
        <v>0</v>
      </c>
      <c r="P171" s="231">
        <v>0</v>
      </c>
      <c r="Q171" s="231">
        <v>0</v>
      </c>
      <c r="R171" s="231">
        <v>0</v>
      </c>
      <c r="S171" s="231">
        <v>0</v>
      </c>
      <c r="T171" s="231">
        <v>0</v>
      </c>
      <c r="U171" s="231">
        <v>0</v>
      </c>
      <c r="V171" s="231">
        <v>0</v>
      </c>
      <c r="W171" s="231"/>
      <c r="X171" s="388">
        <f t="shared" si="49"/>
        <v>0</v>
      </c>
      <c r="Y171" s="389"/>
      <c r="Z171" s="389"/>
      <c r="AA171" s="233"/>
      <c r="AB171" s="233"/>
      <c r="AC171" s="233">
        <f t="shared" si="50"/>
        <v>0</v>
      </c>
      <c r="AD171" s="233">
        <f t="shared" si="51"/>
        <v>0</v>
      </c>
      <c r="AE171" s="232">
        <f t="shared" si="52"/>
        <v>0</v>
      </c>
      <c r="AF171" s="232">
        <f t="shared" si="53"/>
        <v>0</v>
      </c>
      <c r="AG171" s="232">
        <f t="shared" si="54"/>
        <v>0</v>
      </c>
      <c r="AH171" s="232">
        <f t="shared" si="55"/>
        <v>0</v>
      </c>
      <c r="AI171" s="232">
        <f t="shared" si="56"/>
        <v>0</v>
      </c>
      <c r="AJ171" s="232">
        <f t="shared" si="57"/>
        <v>0</v>
      </c>
      <c r="AK171" s="232">
        <f t="shared" si="58"/>
        <v>0</v>
      </c>
      <c r="AL171" s="232">
        <f>IFERROR(#REF!/$H171,0)</f>
        <v>0</v>
      </c>
      <c r="AM171" s="260">
        <f t="shared" si="59"/>
        <v>0</v>
      </c>
      <c r="AN171" s="260">
        <f t="shared" si="60"/>
        <v>0</v>
      </c>
      <c r="AO171" s="218" t="e">
        <f>+VLOOKUP($B171,Mapping!$C$31:$C$81,1,FALSE)</f>
        <v>#N/A</v>
      </c>
    </row>
    <row r="172" spans="1:41">
      <c r="A172" s="218" t="str">
        <f>$A$1&amp;"Commercial"&amp;B172</f>
        <v>PIERCE EA UTCCommercialRTRNCART95-COMM</v>
      </c>
      <c r="B172" s="230" t="s">
        <v>461</v>
      </c>
      <c r="C172" s="230" t="s">
        <v>462</v>
      </c>
      <c r="D172" s="230" t="s">
        <v>410</v>
      </c>
      <c r="E172" s="380">
        <v>33001</v>
      </c>
      <c r="F172" s="231">
        <v>9.5</v>
      </c>
      <c r="G172" s="231">
        <v>9.5</v>
      </c>
      <c r="H172" s="231">
        <v>9.41</v>
      </c>
      <c r="I172" s="231">
        <v>9.44</v>
      </c>
      <c r="J172" s="231"/>
      <c r="K172" s="231"/>
      <c r="L172" s="231">
        <v>0</v>
      </c>
      <c r="M172" s="231">
        <v>0</v>
      </c>
      <c r="N172" s="231">
        <v>0</v>
      </c>
      <c r="O172" s="231">
        <v>0</v>
      </c>
      <c r="P172" s="231">
        <v>0</v>
      </c>
      <c r="Q172" s="231">
        <v>0</v>
      </c>
      <c r="R172" s="231">
        <v>0</v>
      </c>
      <c r="S172" s="231">
        <v>0</v>
      </c>
      <c r="T172" s="231">
        <v>0</v>
      </c>
      <c r="U172" s="231">
        <v>0</v>
      </c>
      <c r="V172" s="231">
        <v>0</v>
      </c>
      <c r="W172" s="231"/>
      <c r="X172" s="388">
        <f t="shared" si="49"/>
        <v>0</v>
      </c>
      <c r="Y172" s="389"/>
      <c r="Z172" s="389"/>
      <c r="AA172" s="233"/>
      <c r="AB172" s="233"/>
      <c r="AC172" s="233">
        <f t="shared" si="50"/>
        <v>0</v>
      </c>
      <c r="AD172" s="233">
        <f t="shared" si="51"/>
        <v>0</v>
      </c>
      <c r="AE172" s="232">
        <f t="shared" si="52"/>
        <v>0</v>
      </c>
      <c r="AF172" s="232">
        <f t="shared" si="53"/>
        <v>0</v>
      </c>
      <c r="AG172" s="232">
        <f t="shared" si="54"/>
        <v>0</v>
      </c>
      <c r="AH172" s="232">
        <f t="shared" si="55"/>
        <v>0</v>
      </c>
      <c r="AI172" s="232">
        <f t="shared" si="56"/>
        <v>0</v>
      </c>
      <c r="AJ172" s="232">
        <f t="shared" si="57"/>
        <v>0</v>
      </c>
      <c r="AK172" s="232">
        <f t="shared" si="58"/>
        <v>0</v>
      </c>
      <c r="AL172" s="232">
        <f>IFERROR(#REF!/$H172,0)</f>
        <v>0</v>
      </c>
      <c r="AM172" s="260">
        <f t="shared" si="59"/>
        <v>0</v>
      </c>
      <c r="AN172" s="260">
        <f t="shared" si="60"/>
        <v>0</v>
      </c>
      <c r="AO172" s="218" t="e">
        <f>+VLOOKUP($B172,Mapping!$C$31:$C$81,1,FALSE)</f>
        <v>#N/A</v>
      </c>
    </row>
    <row r="173" spans="1:41">
      <c r="A173" s="218" t="str">
        <f>$A$1&amp;"Commercial"&amp;B173</f>
        <v>PIERCE EA UTCCommercialRTRNTRIP-COMM</v>
      </c>
      <c r="B173" s="230" t="s">
        <v>463</v>
      </c>
      <c r="C173" s="230" t="s">
        <v>464</v>
      </c>
      <c r="D173" s="230" t="s">
        <v>410</v>
      </c>
      <c r="E173" s="380">
        <v>33001</v>
      </c>
      <c r="F173" s="231">
        <v>16.8</v>
      </c>
      <c r="G173" s="231">
        <v>16.8</v>
      </c>
      <c r="H173" s="231">
        <v>16.64</v>
      </c>
      <c r="I173" s="231">
        <v>16.690000000000001</v>
      </c>
      <c r="J173" s="231"/>
      <c r="K173" s="231"/>
      <c r="L173" s="231">
        <v>0</v>
      </c>
      <c r="M173" s="231">
        <v>0</v>
      </c>
      <c r="N173" s="231">
        <v>0</v>
      </c>
      <c r="O173" s="231">
        <v>0</v>
      </c>
      <c r="P173" s="231">
        <v>0</v>
      </c>
      <c r="Q173" s="231">
        <v>0</v>
      </c>
      <c r="R173" s="231">
        <v>0</v>
      </c>
      <c r="S173" s="231">
        <v>0</v>
      </c>
      <c r="T173" s="231">
        <v>0</v>
      </c>
      <c r="U173" s="231">
        <v>0</v>
      </c>
      <c r="V173" s="231">
        <v>0</v>
      </c>
      <c r="W173" s="231"/>
      <c r="X173" s="388">
        <f t="shared" si="49"/>
        <v>0</v>
      </c>
      <c r="Y173" s="389"/>
      <c r="Z173" s="389"/>
      <c r="AA173" s="233"/>
      <c r="AB173" s="233"/>
      <c r="AC173" s="233">
        <f t="shared" si="50"/>
        <v>0</v>
      </c>
      <c r="AD173" s="233">
        <f t="shared" si="51"/>
        <v>0</v>
      </c>
      <c r="AE173" s="232">
        <f t="shared" si="52"/>
        <v>0</v>
      </c>
      <c r="AF173" s="232">
        <f t="shared" si="53"/>
        <v>0</v>
      </c>
      <c r="AG173" s="232">
        <f t="shared" si="54"/>
        <v>0</v>
      </c>
      <c r="AH173" s="232">
        <f t="shared" si="55"/>
        <v>0</v>
      </c>
      <c r="AI173" s="232">
        <f t="shared" si="56"/>
        <v>0</v>
      </c>
      <c r="AJ173" s="232">
        <f t="shared" si="57"/>
        <v>0</v>
      </c>
      <c r="AK173" s="232">
        <f t="shared" si="58"/>
        <v>0</v>
      </c>
      <c r="AL173" s="232">
        <f>IFERROR(#REF!/$H173,0)</f>
        <v>0</v>
      </c>
      <c r="AM173" s="260">
        <f t="shared" si="59"/>
        <v>0</v>
      </c>
      <c r="AN173" s="260">
        <f t="shared" si="60"/>
        <v>0</v>
      </c>
      <c r="AO173" s="218" t="e">
        <f>+VLOOKUP($B173,Mapping!$C$31:$C$81,1,FALSE)</f>
        <v>#N/A</v>
      </c>
    </row>
    <row r="174" spans="1:41">
      <c r="A174" s="218" t="str">
        <f>$A$1&amp;"Commercial"&amp;B174</f>
        <v>PIERCE EA UTCCommercialSP1.5-COMM</v>
      </c>
      <c r="B174" s="230" t="s">
        <v>465</v>
      </c>
      <c r="C174" s="230" t="s">
        <v>466</v>
      </c>
      <c r="D174" s="230" t="s">
        <v>410</v>
      </c>
      <c r="E174" s="380">
        <v>33001</v>
      </c>
      <c r="F174" s="231">
        <v>71.09</v>
      </c>
      <c r="G174" s="231">
        <v>71.400000000000006</v>
      </c>
      <c r="H174" s="231">
        <v>70.73</v>
      </c>
      <c r="I174" s="231">
        <v>70.930000000000007</v>
      </c>
      <c r="J174" s="231"/>
      <c r="K174" s="231"/>
      <c r="L174" s="231">
        <v>0</v>
      </c>
      <c r="M174" s="231">
        <v>0</v>
      </c>
      <c r="N174" s="231">
        <v>0</v>
      </c>
      <c r="O174" s="231">
        <v>0</v>
      </c>
      <c r="P174" s="231">
        <v>0</v>
      </c>
      <c r="Q174" s="231">
        <v>70.73</v>
      </c>
      <c r="R174" s="231">
        <v>0</v>
      </c>
      <c r="S174" s="231">
        <v>0</v>
      </c>
      <c r="T174" s="231">
        <v>0</v>
      </c>
      <c r="U174" s="231">
        <v>0</v>
      </c>
      <c r="V174" s="231">
        <v>0</v>
      </c>
      <c r="W174" s="231"/>
      <c r="X174" s="388">
        <f t="shared" si="49"/>
        <v>70.73</v>
      </c>
      <c r="Y174" s="389"/>
      <c r="Z174" s="389"/>
      <c r="AA174" s="233"/>
      <c r="AB174" s="233"/>
      <c r="AC174" s="233">
        <f t="shared" si="50"/>
        <v>0</v>
      </c>
      <c r="AD174" s="233">
        <f t="shared" si="51"/>
        <v>0</v>
      </c>
      <c r="AE174" s="232">
        <f t="shared" si="52"/>
        <v>0</v>
      </c>
      <c r="AF174" s="232">
        <f t="shared" si="53"/>
        <v>1</v>
      </c>
      <c r="AG174" s="232">
        <f t="shared" si="54"/>
        <v>0</v>
      </c>
      <c r="AH174" s="232">
        <f t="shared" si="55"/>
        <v>0</v>
      </c>
      <c r="AI174" s="232">
        <f t="shared" si="56"/>
        <v>0</v>
      </c>
      <c r="AJ174" s="232">
        <f t="shared" si="57"/>
        <v>0</v>
      </c>
      <c r="AK174" s="232">
        <f t="shared" si="58"/>
        <v>0</v>
      </c>
      <c r="AL174" s="232">
        <f>IFERROR(#REF!/$H174,0)</f>
        <v>0</v>
      </c>
      <c r="AM174" s="260">
        <f t="shared" si="59"/>
        <v>0.1</v>
      </c>
      <c r="AN174" s="260">
        <f t="shared" si="60"/>
        <v>1</v>
      </c>
      <c r="AO174" s="218" t="str">
        <f>+VLOOKUP($B174,Mapping!$C$31:$C$81,1,FALSE)</f>
        <v>SP1.5-COMM</v>
      </c>
    </row>
    <row r="175" spans="1:41">
      <c r="A175" s="218" t="str">
        <f>$A$1&amp;"Commercial"&amp;B175</f>
        <v>PIERCE EA UTCCommercialSP1-COMM</v>
      </c>
      <c r="B175" s="230" t="s">
        <v>467</v>
      </c>
      <c r="C175" s="230" t="s">
        <v>468</v>
      </c>
      <c r="D175" s="230" t="s">
        <v>410</v>
      </c>
      <c r="E175" s="380">
        <v>33001</v>
      </c>
      <c r="F175" s="231">
        <v>63.83</v>
      </c>
      <c r="G175" s="231">
        <v>64.05</v>
      </c>
      <c r="H175" s="231">
        <v>63.45</v>
      </c>
      <c r="I175" s="231">
        <v>63.63</v>
      </c>
      <c r="J175" s="231"/>
      <c r="K175" s="231"/>
      <c r="L175" s="231">
        <v>0</v>
      </c>
      <c r="M175" s="231">
        <v>0</v>
      </c>
      <c r="N175" s="231">
        <v>0</v>
      </c>
      <c r="O175" s="231">
        <v>0</v>
      </c>
      <c r="P175" s="231">
        <v>0</v>
      </c>
      <c r="Q175" s="231">
        <v>0</v>
      </c>
      <c r="R175" s="231">
        <v>63.45</v>
      </c>
      <c r="S175" s="231">
        <v>0</v>
      </c>
      <c r="T175" s="231">
        <v>63.63</v>
      </c>
      <c r="U175" s="231">
        <v>0</v>
      </c>
      <c r="V175" s="231">
        <v>0</v>
      </c>
      <c r="W175" s="231"/>
      <c r="X175" s="388">
        <f t="shared" si="49"/>
        <v>127.08000000000001</v>
      </c>
      <c r="Y175" s="389"/>
      <c r="Z175" s="389"/>
      <c r="AA175" s="233"/>
      <c r="AB175" s="233"/>
      <c r="AC175" s="233">
        <f t="shared" si="50"/>
        <v>0</v>
      </c>
      <c r="AD175" s="233">
        <f t="shared" si="51"/>
        <v>0</v>
      </c>
      <c r="AE175" s="232">
        <f t="shared" si="52"/>
        <v>0</v>
      </c>
      <c r="AF175" s="232">
        <f t="shared" si="53"/>
        <v>0</v>
      </c>
      <c r="AG175" s="232">
        <f t="shared" si="54"/>
        <v>1</v>
      </c>
      <c r="AH175" s="232">
        <f t="shared" si="55"/>
        <v>0</v>
      </c>
      <c r="AI175" s="232">
        <f t="shared" si="56"/>
        <v>1.0028368794326241</v>
      </c>
      <c r="AJ175" s="232">
        <f t="shared" si="57"/>
        <v>0</v>
      </c>
      <c r="AK175" s="232">
        <f t="shared" si="58"/>
        <v>0</v>
      </c>
      <c r="AL175" s="232">
        <f>IFERROR(#REF!/$H175,0)</f>
        <v>0</v>
      </c>
      <c r="AM175" s="260">
        <f t="shared" si="59"/>
        <v>0.2002836879432624</v>
      </c>
      <c r="AN175" s="260">
        <f t="shared" si="60"/>
        <v>2.0028368794326239</v>
      </c>
      <c r="AO175" s="218" t="str">
        <f>+VLOOKUP($B175,Mapping!$C$31:$C$81,1,FALSE)</f>
        <v>SP1-COMM</v>
      </c>
    </row>
    <row r="176" spans="1:41">
      <c r="A176" s="218" t="str">
        <f>$A$1&amp;"Commercial"&amp;B176</f>
        <v>PIERCE EA UTCCommercialSP2-COMM</v>
      </c>
      <c r="B176" s="230" t="s">
        <v>469</v>
      </c>
      <c r="C176" s="230" t="s">
        <v>470</v>
      </c>
      <c r="D176" s="230" t="s">
        <v>410</v>
      </c>
      <c r="E176" s="380">
        <v>33001</v>
      </c>
      <c r="F176" s="231">
        <v>79.41</v>
      </c>
      <c r="G176" s="231">
        <v>79.81</v>
      </c>
      <c r="H176" s="231">
        <v>79.06</v>
      </c>
      <c r="I176" s="231">
        <v>79.28</v>
      </c>
      <c r="J176" s="231"/>
      <c r="K176" s="231"/>
      <c r="L176" s="231">
        <v>0</v>
      </c>
      <c r="M176" s="231">
        <v>0</v>
      </c>
      <c r="N176" s="231">
        <v>0</v>
      </c>
      <c r="O176" s="231">
        <v>0</v>
      </c>
      <c r="P176" s="231">
        <v>0</v>
      </c>
      <c r="Q176" s="231">
        <v>0</v>
      </c>
      <c r="R176" s="231">
        <v>0</v>
      </c>
      <c r="S176" s="231">
        <v>0</v>
      </c>
      <c r="T176" s="231">
        <v>79.28</v>
      </c>
      <c r="U176" s="231">
        <v>0</v>
      </c>
      <c r="V176" s="231">
        <v>0</v>
      </c>
      <c r="W176" s="231"/>
      <c r="X176" s="388">
        <f t="shared" si="49"/>
        <v>79.28</v>
      </c>
      <c r="Y176" s="389"/>
      <c r="Z176" s="389"/>
      <c r="AA176" s="233"/>
      <c r="AB176" s="233"/>
      <c r="AC176" s="233">
        <f t="shared" si="50"/>
        <v>0</v>
      </c>
      <c r="AD176" s="233">
        <f t="shared" si="51"/>
        <v>0</v>
      </c>
      <c r="AE176" s="232">
        <f t="shared" si="52"/>
        <v>0</v>
      </c>
      <c r="AF176" s="232">
        <f t="shared" si="53"/>
        <v>0</v>
      </c>
      <c r="AG176" s="232">
        <f t="shared" si="54"/>
        <v>0</v>
      </c>
      <c r="AH176" s="232">
        <f t="shared" si="55"/>
        <v>0</v>
      </c>
      <c r="AI176" s="232">
        <f t="shared" si="56"/>
        <v>1.0027826966860611</v>
      </c>
      <c r="AJ176" s="232">
        <f t="shared" si="57"/>
        <v>0</v>
      </c>
      <c r="AK176" s="232">
        <f t="shared" si="58"/>
        <v>0</v>
      </c>
      <c r="AL176" s="232">
        <f>IFERROR(#REF!/$H176,0)</f>
        <v>0</v>
      </c>
      <c r="AM176" s="260">
        <f t="shared" si="59"/>
        <v>0.10027826966860612</v>
      </c>
      <c r="AN176" s="260">
        <f t="shared" si="60"/>
        <v>1.0027826966860611</v>
      </c>
      <c r="AO176" s="218" t="str">
        <f>+VLOOKUP($B176,Mapping!$C$31:$C$81,1,FALSE)</f>
        <v>SP2-COMM</v>
      </c>
    </row>
    <row r="177" spans="1:41">
      <c r="A177" s="218" t="str">
        <f>$A$1&amp;"Commercial"&amp;B177</f>
        <v>PIERCE EA UTCCommercialSP3-COMM</v>
      </c>
      <c r="B177" s="230" t="s">
        <v>471</v>
      </c>
      <c r="C177" s="230" t="s">
        <v>472</v>
      </c>
      <c r="D177" s="230" t="s">
        <v>410</v>
      </c>
      <c r="E177" s="380">
        <v>33001</v>
      </c>
      <c r="F177" s="231">
        <v>91.89</v>
      </c>
      <c r="G177" s="231">
        <v>92.48</v>
      </c>
      <c r="H177" s="231">
        <v>91.61</v>
      </c>
      <c r="I177" s="231">
        <v>91.86</v>
      </c>
      <c r="J177" s="231"/>
      <c r="K177" s="231"/>
      <c r="L177" s="231">
        <v>0</v>
      </c>
      <c r="M177" s="231">
        <v>0</v>
      </c>
      <c r="N177" s="231">
        <v>0</v>
      </c>
      <c r="O177" s="231">
        <v>0</v>
      </c>
      <c r="P177" s="231">
        <v>0</v>
      </c>
      <c r="Q177" s="231">
        <v>0</v>
      </c>
      <c r="R177" s="231">
        <v>0</v>
      </c>
      <c r="S177" s="231">
        <v>0</v>
      </c>
      <c r="T177" s="231">
        <v>0</v>
      </c>
      <c r="U177" s="231">
        <v>0</v>
      </c>
      <c r="V177" s="231">
        <v>0</v>
      </c>
      <c r="W177" s="231"/>
      <c r="X177" s="388">
        <f t="shared" si="49"/>
        <v>0</v>
      </c>
      <c r="Y177" s="389"/>
      <c r="Z177" s="389"/>
      <c r="AA177" s="233"/>
      <c r="AB177" s="233"/>
      <c r="AC177" s="233">
        <f t="shared" si="50"/>
        <v>0</v>
      </c>
      <c r="AD177" s="233">
        <f t="shared" si="51"/>
        <v>0</v>
      </c>
      <c r="AE177" s="232">
        <f t="shared" si="52"/>
        <v>0</v>
      </c>
      <c r="AF177" s="232">
        <f t="shared" si="53"/>
        <v>0</v>
      </c>
      <c r="AG177" s="232">
        <f t="shared" si="54"/>
        <v>0</v>
      </c>
      <c r="AH177" s="232">
        <f t="shared" si="55"/>
        <v>0</v>
      </c>
      <c r="AI177" s="232">
        <f t="shared" si="56"/>
        <v>0</v>
      </c>
      <c r="AJ177" s="232">
        <f t="shared" si="57"/>
        <v>0</v>
      </c>
      <c r="AK177" s="232">
        <f t="shared" si="58"/>
        <v>0</v>
      </c>
      <c r="AL177" s="232">
        <f>IFERROR(#REF!/$H177,0)</f>
        <v>0</v>
      </c>
      <c r="AM177" s="260">
        <f t="shared" si="59"/>
        <v>0</v>
      </c>
      <c r="AN177" s="260">
        <f t="shared" si="60"/>
        <v>0</v>
      </c>
      <c r="AO177" s="218" t="str">
        <f>+VLOOKUP($B177,Mapping!$C$31:$C$81,1,FALSE)</f>
        <v>SP3-COMM</v>
      </c>
    </row>
    <row r="178" spans="1:41">
      <c r="A178" s="218" t="str">
        <f>$A$1&amp;"Commercial"&amp;B178</f>
        <v>PIERCE EA UTCCommercialSP4-COMM</v>
      </c>
      <c r="B178" s="230" t="s">
        <v>473</v>
      </c>
      <c r="C178" s="230" t="s">
        <v>474</v>
      </c>
      <c r="D178" s="230" t="s">
        <v>410</v>
      </c>
      <c r="E178" s="380">
        <v>33001</v>
      </c>
      <c r="F178" s="231">
        <v>106.14</v>
      </c>
      <c r="G178" s="231">
        <v>106.9</v>
      </c>
      <c r="H178" s="231">
        <v>105.9</v>
      </c>
      <c r="I178" s="231">
        <v>106.19</v>
      </c>
      <c r="J178" s="231"/>
      <c r="K178" s="231"/>
      <c r="L178" s="231">
        <v>0</v>
      </c>
      <c r="M178" s="231">
        <v>0</v>
      </c>
      <c r="N178" s="231">
        <v>0</v>
      </c>
      <c r="O178" s="231">
        <v>0</v>
      </c>
      <c r="P178" s="231">
        <v>0</v>
      </c>
      <c r="Q178" s="231">
        <v>0</v>
      </c>
      <c r="R178" s="231">
        <v>0</v>
      </c>
      <c r="S178" s="231">
        <v>0</v>
      </c>
      <c r="T178" s="231">
        <v>0</v>
      </c>
      <c r="U178" s="231">
        <v>0</v>
      </c>
      <c r="V178" s="231">
        <v>0</v>
      </c>
      <c r="W178" s="231"/>
      <c r="X178" s="388">
        <f t="shared" si="49"/>
        <v>0</v>
      </c>
      <c r="Y178" s="389"/>
      <c r="Z178" s="389"/>
      <c r="AA178" s="233"/>
      <c r="AB178" s="233"/>
      <c r="AC178" s="233">
        <f t="shared" si="50"/>
        <v>0</v>
      </c>
      <c r="AD178" s="233">
        <f t="shared" si="51"/>
        <v>0</v>
      </c>
      <c r="AE178" s="232">
        <f t="shared" si="52"/>
        <v>0</v>
      </c>
      <c r="AF178" s="232">
        <f t="shared" si="53"/>
        <v>0</v>
      </c>
      <c r="AG178" s="232">
        <f t="shared" si="54"/>
        <v>0</v>
      </c>
      <c r="AH178" s="232">
        <f t="shared" si="55"/>
        <v>0</v>
      </c>
      <c r="AI178" s="232">
        <f t="shared" si="56"/>
        <v>0</v>
      </c>
      <c r="AJ178" s="232">
        <f t="shared" si="57"/>
        <v>0</v>
      </c>
      <c r="AK178" s="232">
        <f t="shared" si="58"/>
        <v>0</v>
      </c>
      <c r="AL178" s="232">
        <f>IFERROR(#REF!/$H178,0)</f>
        <v>0</v>
      </c>
      <c r="AM178" s="260">
        <f t="shared" si="59"/>
        <v>0</v>
      </c>
      <c r="AN178" s="260">
        <f t="shared" si="60"/>
        <v>0</v>
      </c>
      <c r="AO178" s="218" t="str">
        <f>+VLOOKUP($B178,Mapping!$C$31:$C$81,1,FALSE)</f>
        <v>SP4-COMM</v>
      </c>
    </row>
    <row r="179" spans="1:41">
      <c r="A179" s="218" t="str">
        <f>$A$1&amp;"Commercial"&amp;B179</f>
        <v>PIERCE EA UTCCommercialSP6-COMM</v>
      </c>
      <c r="B179" s="230" t="s">
        <v>475</v>
      </c>
      <c r="C179" s="230" t="s">
        <v>476</v>
      </c>
      <c r="D179" s="230" t="s">
        <v>410</v>
      </c>
      <c r="E179" s="380">
        <v>33001</v>
      </c>
      <c r="F179" s="231">
        <v>126.22</v>
      </c>
      <c r="G179" s="231">
        <v>127.27</v>
      </c>
      <c r="H179" s="231">
        <v>126.08</v>
      </c>
      <c r="I179" s="231">
        <v>126.43</v>
      </c>
      <c r="J179" s="231"/>
      <c r="K179" s="231"/>
      <c r="L179" s="231">
        <v>0</v>
      </c>
      <c r="M179" s="231">
        <v>0</v>
      </c>
      <c r="N179" s="231">
        <v>0</v>
      </c>
      <c r="O179" s="231">
        <v>0</v>
      </c>
      <c r="P179" s="231">
        <v>0</v>
      </c>
      <c r="Q179" s="231">
        <v>0</v>
      </c>
      <c r="R179" s="231">
        <v>0</v>
      </c>
      <c r="S179" s="231">
        <v>0</v>
      </c>
      <c r="T179" s="231">
        <v>0</v>
      </c>
      <c r="U179" s="231">
        <v>0</v>
      </c>
      <c r="V179" s="231">
        <v>0</v>
      </c>
      <c r="W179" s="231"/>
      <c r="X179" s="388">
        <f t="shared" ref="X179:X194" si="61">SUM(K179:V179)</f>
        <v>0</v>
      </c>
      <c r="Y179" s="389"/>
      <c r="Z179" s="389"/>
      <c r="AA179" s="233"/>
      <c r="AB179" s="233"/>
      <c r="AC179" s="233">
        <f t="shared" ref="AC179:AC194" si="62">IFERROR(N179/$G179,0)</f>
        <v>0</v>
      </c>
      <c r="AD179" s="233">
        <f t="shared" ref="AD179:AD194" si="63">IFERROR(O179/$G179,0)</f>
        <v>0</v>
      </c>
      <c r="AE179" s="232">
        <f t="shared" ref="AE179:AE194" si="64">IFERROR(P179/$H179,0)</f>
        <v>0</v>
      </c>
      <c r="AF179" s="232">
        <f t="shared" ref="AF179:AF194" si="65">IFERROR(Q179/$H179,0)</f>
        <v>0</v>
      </c>
      <c r="AG179" s="232">
        <f t="shared" ref="AG179:AG194" si="66">IFERROR(R179/$H179,0)</f>
        <v>0</v>
      </c>
      <c r="AH179" s="232">
        <f t="shared" ref="AH179:AH194" si="67">IFERROR(S179/$H179,0)</f>
        <v>0</v>
      </c>
      <c r="AI179" s="232">
        <f t="shared" ref="AI179:AI194" si="68">IFERROR(T179/$H179,0)</f>
        <v>0</v>
      </c>
      <c r="AJ179" s="232">
        <f t="shared" ref="AJ179:AJ194" si="69">IFERROR(U179/$H179,0)</f>
        <v>0</v>
      </c>
      <c r="AK179" s="232">
        <f t="shared" ref="AK179:AK194" si="70">IFERROR(V179/$H179,0)</f>
        <v>0</v>
      </c>
      <c r="AL179" s="232">
        <f>IFERROR(#REF!/$H179,0)</f>
        <v>0</v>
      </c>
      <c r="AM179" s="260">
        <f t="shared" ref="AM179:AM194" si="71">AVERAGE(Z179:AL179)</f>
        <v>0</v>
      </c>
      <c r="AN179" s="260">
        <f t="shared" si="60"/>
        <v>0</v>
      </c>
      <c r="AO179" s="218" t="str">
        <f>+VLOOKUP($B179,Mapping!$C$31:$C$81,1,FALSE)</f>
        <v>SP6-COMM</v>
      </c>
    </row>
    <row r="180" spans="1:41">
      <c r="A180" s="218" t="str">
        <f>$A$1&amp;"Commercial"&amp;B180</f>
        <v>PIERCE EA UTCCommercialSP4CMP-COMM</v>
      </c>
      <c r="B180" s="230" t="s">
        <v>489</v>
      </c>
      <c r="C180" s="230" t="s">
        <v>476</v>
      </c>
      <c r="D180" s="230" t="s">
        <v>410</v>
      </c>
      <c r="E180" s="380">
        <v>33001</v>
      </c>
      <c r="F180" s="231">
        <v>190.99</v>
      </c>
      <c r="G180" s="231">
        <v>193.28</v>
      </c>
      <c r="H180" s="231">
        <v>191.48</v>
      </c>
      <c r="I180" s="231">
        <v>192.01</v>
      </c>
      <c r="J180" s="231"/>
      <c r="K180" s="231"/>
      <c r="L180" s="231">
        <v>0</v>
      </c>
      <c r="M180" s="231">
        <v>0</v>
      </c>
      <c r="N180" s="231">
        <v>0</v>
      </c>
      <c r="O180" s="231">
        <v>0</v>
      </c>
      <c r="P180" s="231">
        <v>0</v>
      </c>
      <c r="Q180" s="231">
        <v>0</v>
      </c>
      <c r="R180" s="231">
        <v>0</v>
      </c>
      <c r="S180" s="231">
        <v>0</v>
      </c>
      <c r="T180" s="231">
        <v>0</v>
      </c>
      <c r="U180" s="231">
        <v>0</v>
      </c>
      <c r="V180" s="231">
        <v>0</v>
      </c>
      <c r="W180" s="231"/>
      <c r="X180" s="388">
        <f t="shared" si="61"/>
        <v>0</v>
      </c>
      <c r="Y180" s="389"/>
      <c r="Z180" s="389"/>
      <c r="AA180" s="233"/>
      <c r="AB180" s="233"/>
      <c r="AC180" s="233">
        <f t="shared" si="62"/>
        <v>0</v>
      </c>
      <c r="AD180" s="233">
        <f t="shared" si="63"/>
        <v>0</v>
      </c>
      <c r="AE180" s="232">
        <f t="shared" si="64"/>
        <v>0</v>
      </c>
      <c r="AF180" s="232">
        <f t="shared" si="65"/>
        <v>0</v>
      </c>
      <c r="AG180" s="232">
        <f t="shared" si="66"/>
        <v>0</v>
      </c>
      <c r="AH180" s="232">
        <f t="shared" si="67"/>
        <v>0</v>
      </c>
      <c r="AI180" s="232">
        <f t="shared" si="68"/>
        <v>0</v>
      </c>
      <c r="AJ180" s="232">
        <f t="shared" si="69"/>
        <v>0</v>
      </c>
      <c r="AK180" s="232">
        <f t="shared" si="70"/>
        <v>0</v>
      </c>
      <c r="AL180" s="232">
        <f>IFERROR(#REF!/$H180,0)</f>
        <v>0</v>
      </c>
      <c r="AM180" s="260">
        <f t="shared" si="71"/>
        <v>0</v>
      </c>
      <c r="AN180" s="260">
        <f t="shared" si="60"/>
        <v>0</v>
      </c>
      <c r="AO180" s="218" t="e">
        <f>+VLOOKUP($B180,Mapping!$C$31:$C$81,1,FALSE)</f>
        <v>#N/A</v>
      </c>
    </row>
    <row r="181" spans="1:41">
      <c r="A181" s="218" t="str">
        <f>$A$1&amp;"Commercial"&amp;B181</f>
        <v>PIERCE EA UTCCommercialSP5CMP-COMM</v>
      </c>
      <c r="B181" s="230" t="s">
        <v>496</v>
      </c>
      <c r="C181" s="230" t="s">
        <v>476</v>
      </c>
      <c r="D181" s="230" t="s">
        <v>410</v>
      </c>
      <c r="E181" s="380">
        <v>33001</v>
      </c>
      <c r="F181" s="231">
        <v>61.6</v>
      </c>
      <c r="G181" s="231">
        <v>61.6</v>
      </c>
      <c r="H181" s="231">
        <v>61.6</v>
      </c>
      <c r="I181" s="231">
        <v>61.6</v>
      </c>
      <c r="J181" s="231"/>
      <c r="K181" s="231"/>
      <c r="L181" s="231">
        <v>0</v>
      </c>
      <c r="M181" s="231">
        <v>0</v>
      </c>
      <c r="N181" s="231">
        <v>0</v>
      </c>
      <c r="O181" s="231">
        <v>0</v>
      </c>
      <c r="P181" s="231">
        <v>0</v>
      </c>
      <c r="Q181" s="231">
        <v>0</v>
      </c>
      <c r="R181" s="231">
        <v>0</v>
      </c>
      <c r="S181" s="231">
        <v>0</v>
      </c>
      <c r="T181" s="231">
        <v>0</v>
      </c>
      <c r="U181" s="231">
        <v>0</v>
      </c>
      <c r="V181" s="231">
        <v>0</v>
      </c>
      <c r="W181" s="231"/>
      <c r="X181" s="388">
        <f t="shared" si="61"/>
        <v>0</v>
      </c>
      <c r="Y181" s="389"/>
      <c r="Z181" s="389"/>
      <c r="AA181" s="233"/>
      <c r="AB181" s="233"/>
      <c r="AC181" s="233">
        <f t="shared" si="62"/>
        <v>0</v>
      </c>
      <c r="AD181" s="233">
        <f t="shared" si="63"/>
        <v>0</v>
      </c>
      <c r="AE181" s="232">
        <f t="shared" si="64"/>
        <v>0</v>
      </c>
      <c r="AF181" s="232">
        <f t="shared" si="65"/>
        <v>0</v>
      </c>
      <c r="AG181" s="232">
        <f t="shared" si="66"/>
        <v>0</v>
      </c>
      <c r="AH181" s="232">
        <f t="shared" si="67"/>
        <v>0</v>
      </c>
      <c r="AI181" s="232">
        <f t="shared" si="68"/>
        <v>0</v>
      </c>
      <c r="AJ181" s="232">
        <f t="shared" si="69"/>
        <v>0</v>
      </c>
      <c r="AK181" s="232">
        <f t="shared" si="70"/>
        <v>0</v>
      </c>
      <c r="AL181" s="232">
        <f>IFERROR(#REF!/$H181,0)</f>
        <v>0</v>
      </c>
      <c r="AM181" s="260">
        <f t="shared" si="71"/>
        <v>0</v>
      </c>
      <c r="AN181" s="260">
        <f t="shared" si="60"/>
        <v>0</v>
      </c>
      <c r="AO181" s="218" t="str">
        <f>+VLOOKUP($B181,Mapping!$C$31:$C$81,1,FALSE)</f>
        <v>SP5CMP-COMM</v>
      </c>
    </row>
    <row r="182" spans="1:41">
      <c r="A182" s="218" t="str">
        <f>$A$1&amp;"Commercial"&amp;B182</f>
        <v>PIERCE EA UTCCommercialSP6CMP-COMM</v>
      </c>
      <c r="B182" s="230" t="s">
        <v>709</v>
      </c>
      <c r="C182" s="230" t="s">
        <v>476</v>
      </c>
      <c r="D182" s="230" t="s">
        <v>410</v>
      </c>
      <c r="E182" s="380">
        <v>33001</v>
      </c>
      <c r="F182" s="231">
        <v>262.14</v>
      </c>
      <c r="G182" s="231">
        <v>265.27999999999997</v>
      </c>
      <c r="H182" s="231">
        <v>262.8</v>
      </c>
      <c r="I182" s="231">
        <v>263.52999999999997</v>
      </c>
      <c r="J182" s="231"/>
      <c r="K182" s="231"/>
      <c r="L182" s="231">
        <v>0</v>
      </c>
      <c r="M182" s="231">
        <v>0</v>
      </c>
      <c r="N182" s="231">
        <v>0</v>
      </c>
      <c r="O182" s="231">
        <v>0</v>
      </c>
      <c r="P182" s="231">
        <v>0</v>
      </c>
      <c r="Q182" s="231">
        <v>0</v>
      </c>
      <c r="R182" s="231">
        <v>0</v>
      </c>
      <c r="S182" s="231">
        <v>0</v>
      </c>
      <c r="T182" s="231">
        <v>0</v>
      </c>
      <c r="U182" s="231">
        <v>0</v>
      </c>
      <c r="V182" s="231">
        <v>0</v>
      </c>
      <c r="W182" s="231"/>
      <c r="X182" s="388">
        <f t="shared" si="61"/>
        <v>0</v>
      </c>
      <c r="Y182" s="389"/>
      <c r="Z182" s="389"/>
      <c r="AA182" s="233"/>
      <c r="AB182" s="233"/>
      <c r="AC182" s="233">
        <f t="shared" si="62"/>
        <v>0</v>
      </c>
      <c r="AD182" s="233">
        <f t="shared" si="63"/>
        <v>0</v>
      </c>
      <c r="AE182" s="232">
        <f t="shared" si="64"/>
        <v>0</v>
      </c>
      <c r="AF182" s="232">
        <f t="shared" si="65"/>
        <v>0</v>
      </c>
      <c r="AG182" s="232">
        <f t="shared" si="66"/>
        <v>0</v>
      </c>
      <c r="AH182" s="232">
        <f t="shared" si="67"/>
        <v>0</v>
      </c>
      <c r="AI182" s="232">
        <f t="shared" si="68"/>
        <v>0</v>
      </c>
      <c r="AJ182" s="232">
        <f t="shared" si="69"/>
        <v>0</v>
      </c>
      <c r="AK182" s="232">
        <f t="shared" si="70"/>
        <v>0</v>
      </c>
      <c r="AL182" s="232">
        <f>IFERROR(#REF!/$H182,0)</f>
        <v>0</v>
      </c>
      <c r="AM182" s="260">
        <f t="shared" si="71"/>
        <v>0</v>
      </c>
      <c r="AN182" s="260">
        <f t="shared" si="60"/>
        <v>0</v>
      </c>
      <c r="AO182" s="218" t="e">
        <f>+VLOOKUP($B182,Mapping!$C$31:$C$81,1,FALSE)</f>
        <v>#N/A</v>
      </c>
    </row>
    <row r="183" spans="1:41">
      <c r="A183" s="218" t="str">
        <f>$A$1&amp;"Commercial"&amp;B183</f>
        <v>PIERCE EA UTCCommercialSPGRAD1S-COMM</v>
      </c>
      <c r="B183" s="230" t="s">
        <v>477</v>
      </c>
      <c r="C183" s="230" t="s">
        <v>771</v>
      </c>
      <c r="D183" s="230"/>
      <c r="F183" s="231">
        <v>10.83</v>
      </c>
      <c r="G183" s="231">
        <v>10.83</v>
      </c>
      <c r="H183" s="231">
        <v>0</v>
      </c>
      <c r="I183" s="231">
        <v>0</v>
      </c>
      <c r="J183" s="231"/>
      <c r="K183" s="231"/>
      <c r="L183" s="231">
        <v>0</v>
      </c>
      <c r="M183" s="231">
        <v>0</v>
      </c>
      <c r="N183" s="231">
        <v>0</v>
      </c>
      <c r="O183" s="231">
        <v>0</v>
      </c>
      <c r="P183" s="231">
        <v>0</v>
      </c>
      <c r="Q183" s="231">
        <v>0</v>
      </c>
      <c r="R183" s="231">
        <v>0</v>
      </c>
      <c r="S183" s="231">
        <v>0</v>
      </c>
      <c r="T183" s="231">
        <v>0</v>
      </c>
      <c r="U183" s="231">
        <v>0</v>
      </c>
      <c r="V183" s="231">
        <v>0</v>
      </c>
      <c r="W183" s="231"/>
      <c r="X183" s="388">
        <f t="shared" si="61"/>
        <v>0</v>
      </c>
      <c r="Y183" s="389"/>
      <c r="Z183" s="389"/>
      <c r="AA183" s="233"/>
      <c r="AB183" s="233"/>
      <c r="AC183" s="233">
        <f t="shared" si="62"/>
        <v>0</v>
      </c>
      <c r="AD183" s="233">
        <f t="shared" si="63"/>
        <v>0</v>
      </c>
      <c r="AE183" s="232">
        <f t="shared" si="64"/>
        <v>0</v>
      </c>
      <c r="AF183" s="232">
        <f t="shared" si="65"/>
        <v>0</v>
      </c>
      <c r="AG183" s="232">
        <f t="shared" si="66"/>
        <v>0</v>
      </c>
      <c r="AH183" s="232">
        <f t="shared" si="67"/>
        <v>0</v>
      </c>
      <c r="AI183" s="232">
        <f t="shared" si="68"/>
        <v>0</v>
      </c>
      <c r="AJ183" s="232">
        <f t="shared" si="69"/>
        <v>0</v>
      </c>
      <c r="AK183" s="232">
        <f t="shared" si="70"/>
        <v>0</v>
      </c>
      <c r="AL183" s="232">
        <f>IFERROR(#REF!/$H183,0)</f>
        <v>0</v>
      </c>
      <c r="AM183" s="260">
        <f t="shared" si="71"/>
        <v>0</v>
      </c>
      <c r="AN183" s="260">
        <f t="shared" si="60"/>
        <v>0</v>
      </c>
      <c r="AO183" s="218" t="e">
        <f>+VLOOKUP($B183,Mapping!$C$31:$C$81,1,FALSE)</f>
        <v>#N/A</v>
      </c>
    </row>
    <row r="184" spans="1:41">
      <c r="A184" s="218" t="str">
        <f>$A$1&amp;"Commercial"&amp;B184</f>
        <v>PIERCE EA UTCCommercialSPGRAD2S-COMM</v>
      </c>
      <c r="B184" s="230" t="s">
        <v>478</v>
      </c>
      <c r="C184" s="230" t="s">
        <v>772</v>
      </c>
      <c r="D184" s="230"/>
      <c r="F184" s="231">
        <v>3.97</v>
      </c>
      <c r="G184" s="231">
        <v>3.97</v>
      </c>
      <c r="H184" s="231">
        <v>0</v>
      </c>
      <c r="I184" s="231">
        <v>0</v>
      </c>
      <c r="J184" s="231"/>
      <c r="K184" s="231"/>
      <c r="L184" s="231">
        <v>0</v>
      </c>
      <c r="M184" s="231">
        <v>0</v>
      </c>
      <c r="N184" s="231">
        <v>0</v>
      </c>
      <c r="O184" s="231">
        <v>0</v>
      </c>
      <c r="P184" s="231">
        <v>0</v>
      </c>
      <c r="Q184" s="231">
        <v>0</v>
      </c>
      <c r="R184" s="231">
        <v>0</v>
      </c>
      <c r="S184" s="231">
        <v>0</v>
      </c>
      <c r="T184" s="231">
        <v>0</v>
      </c>
      <c r="U184" s="231">
        <v>0</v>
      </c>
      <c r="V184" s="231">
        <v>0</v>
      </c>
      <c r="W184" s="231"/>
      <c r="X184" s="388">
        <f t="shared" si="61"/>
        <v>0</v>
      </c>
      <c r="Y184" s="389"/>
      <c r="Z184" s="389"/>
      <c r="AA184" s="233"/>
      <c r="AB184" s="233"/>
      <c r="AC184" s="233">
        <f t="shared" si="62"/>
        <v>0</v>
      </c>
      <c r="AD184" s="233">
        <f t="shared" si="63"/>
        <v>0</v>
      </c>
      <c r="AE184" s="232">
        <f t="shared" si="64"/>
        <v>0</v>
      </c>
      <c r="AF184" s="232">
        <f t="shared" si="65"/>
        <v>0</v>
      </c>
      <c r="AG184" s="232">
        <f t="shared" si="66"/>
        <v>0</v>
      </c>
      <c r="AH184" s="232">
        <f t="shared" si="67"/>
        <v>0</v>
      </c>
      <c r="AI184" s="232">
        <f t="shared" si="68"/>
        <v>0</v>
      </c>
      <c r="AJ184" s="232">
        <f t="shared" si="69"/>
        <v>0</v>
      </c>
      <c r="AK184" s="232">
        <f t="shared" si="70"/>
        <v>0</v>
      </c>
      <c r="AL184" s="232">
        <f>IFERROR(#REF!/$H184,0)</f>
        <v>0</v>
      </c>
      <c r="AM184" s="260">
        <f t="shared" si="71"/>
        <v>0</v>
      </c>
      <c r="AN184" s="260">
        <f t="shared" si="60"/>
        <v>0</v>
      </c>
      <c r="AO184" s="218" t="e">
        <f>+VLOOKUP($B184,Mapping!$C$31:$C$81,1,FALSE)</f>
        <v>#N/A</v>
      </c>
    </row>
    <row r="185" spans="1:41">
      <c r="A185" s="218" t="str">
        <f>$A$1&amp;"Commercial"&amp;B185</f>
        <v>PIERCE EA UTCCommercialSPGRAD1-COMM</v>
      </c>
      <c r="B185" s="230" t="s">
        <v>479</v>
      </c>
      <c r="C185" s="230" t="s">
        <v>773</v>
      </c>
      <c r="D185" s="230"/>
      <c r="F185" s="231">
        <v>12.25</v>
      </c>
      <c r="G185" s="231">
        <v>12.25</v>
      </c>
      <c r="H185" s="231">
        <v>0</v>
      </c>
      <c r="I185" s="231">
        <v>0</v>
      </c>
      <c r="J185" s="231"/>
      <c r="K185" s="231"/>
      <c r="L185" s="231">
        <v>0</v>
      </c>
      <c r="M185" s="231">
        <v>0</v>
      </c>
      <c r="N185" s="231">
        <v>0</v>
      </c>
      <c r="O185" s="231">
        <v>0</v>
      </c>
      <c r="P185" s="231">
        <v>0</v>
      </c>
      <c r="Q185" s="231">
        <v>0</v>
      </c>
      <c r="R185" s="231">
        <v>0</v>
      </c>
      <c r="S185" s="231">
        <v>0</v>
      </c>
      <c r="T185" s="231">
        <v>0</v>
      </c>
      <c r="U185" s="231">
        <v>0</v>
      </c>
      <c r="V185" s="231">
        <v>0</v>
      </c>
      <c r="W185" s="231"/>
      <c r="X185" s="388">
        <f t="shared" si="61"/>
        <v>0</v>
      </c>
      <c r="Y185" s="389"/>
      <c r="Z185" s="389"/>
      <c r="AA185" s="233"/>
      <c r="AB185" s="233"/>
      <c r="AC185" s="233">
        <f t="shared" si="62"/>
        <v>0</v>
      </c>
      <c r="AD185" s="233">
        <f t="shared" si="63"/>
        <v>0</v>
      </c>
      <c r="AE185" s="232">
        <f t="shared" si="64"/>
        <v>0</v>
      </c>
      <c r="AF185" s="232">
        <f t="shared" si="65"/>
        <v>0</v>
      </c>
      <c r="AG185" s="232">
        <f t="shared" si="66"/>
        <v>0</v>
      </c>
      <c r="AH185" s="232">
        <f t="shared" si="67"/>
        <v>0</v>
      </c>
      <c r="AI185" s="232">
        <f t="shared" si="68"/>
        <v>0</v>
      </c>
      <c r="AJ185" s="232">
        <f t="shared" si="69"/>
        <v>0</v>
      </c>
      <c r="AK185" s="232">
        <f t="shared" si="70"/>
        <v>0</v>
      </c>
      <c r="AL185" s="232">
        <f>IFERROR(#REF!/$H185,0)</f>
        <v>0</v>
      </c>
      <c r="AM185" s="260">
        <f t="shared" si="71"/>
        <v>0</v>
      </c>
      <c r="AN185" s="260">
        <f t="shared" si="60"/>
        <v>0</v>
      </c>
      <c r="AO185" s="218" t="e">
        <f>+VLOOKUP($B185,Mapping!$C$31:$C$81,1,FALSE)</f>
        <v>#N/A</v>
      </c>
    </row>
    <row r="186" spans="1:41">
      <c r="A186" s="218" t="str">
        <f>$A$1&amp;"Commercial"&amp;B186</f>
        <v>PIERCE EA UTCCommercialSPGRAD2-COMM</v>
      </c>
      <c r="B186" s="230" t="s">
        <v>480</v>
      </c>
      <c r="C186" s="230" t="s">
        <v>774</v>
      </c>
      <c r="D186" s="230"/>
      <c r="F186" s="231">
        <v>4.2300000000000004</v>
      </c>
      <c r="G186" s="231">
        <v>4.2300000000000004</v>
      </c>
      <c r="H186" s="231">
        <v>0</v>
      </c>
      <c r="I186" s="231">
        <v>0</v>
      </c>
      <c r="J186" s="231"/>
      <c r="K186" s="231"/>
      <c r="L186" s="231">
        <v>0</v>
      </c>
      <c r="M186" s="231">
        <v>0</v>
      </c>
      <c r="N186" s="231">
        <v>0</v>
      </c>
      <c r="O186" s="231">
        <v>0</v>
      </c>
      <c r="P186" s="231">
        <v>0</v>
      </c>
      <c r="Q186" s="231">
        <v>0</v>
      </c>
      <c r="R186" s="231">
        <v>0</v>
      </c>
      <c r="S186" s="231">
        <v>0</v>
      </c>
      <c r="T186" s="231">
        <v>0</v>
      </c>
      <c r="U186" s="231">
        <v>0</v>
      </c>
      <c r="V186" s="231">
        <v>0</v>
      </c>
      <c r="W186" s="231"/>
      <c r="X186" s="388">
        <f t="shared" si="61"/>
        <v>0</v>
      </c>
      <c r="Y186" s="389"/>
      <c r="Z186" s="389"/>
      <c r="AA186" s="233"/>
      <c r="AB186" s="233"/>
      <c r="AC186" s="233">
        <f t="shared" si="62"/>
        <v>0</v>
      </c>
      <c r="AD186" s="233">
        <f t="shared" si="63"/>
        <v>0</v>
      </c>
      <c r="AE186" s="232">
        <f t="shared" si="64"/>
        <v>0</v>
      </c>
      <c r="AF186" s="232">
        <f t="shared" si="65"/>
        <v>0</v>
      </c>
      <c r="AG186" s="232">
        <f t="shared" si="66"/>
        <v>0</v>
      </c>
      <c r="AH186" s="232">
        <f t="shared" si="67"/>
        <v>0</v>
      </c>
      <c r="AI186" s="232">
        <f t="shared" si="68"/>
        <v>0</v>
      </c>
      <c r="AJ186" s="232">
        <f t="shared" si="69"/>
        <v>0</v>
      </c>
      <c r="AK186" s="232">
        <f t="shared" si="70"/>
        <v>0</v>
      </c>
      <c r="AL186" s="232">
        <f>IFERROR(#REF!/$H186,0)</f>
        <v>0</v>
      </c>
      <c r="AM186" s="260">
        <f t="shared" si="71"/>
        <v>0</v>
      </c>
      <c r="AN186" s="260">
        <f t="shared" si="60"/>
        <v>0</v>
      </c>
      <c r="AO186" s="218" t="e">
        <f>+VLOOKUP($B186,Mapping!$C$31:$C$81,1,FALSE)</f>
        <v>#N/A</v>
      </c>
    </row>
    <row r="187" spans="1:41">
      <c r="A187" s="218" t="str">
        <f>$A$1&amp;"Commercial"&amp;B187</f>
        <v>PIERCE EA UTCCommercialTIME-COMM</v>
      </c>
      <c r="B187" s="230" t="s">
        <v>481</v>
      </c>
      <c r="C187" s="230" t="s">
        <v>482</v>
      </c>
      <c r="D187" s="230" t="s">
        <v>410</v>
      </c>
      <c r="E187" s="380">
        <v>33001</v>
      </c>
      <c r="F187" s="231">
        <v>106</v>
      </c>
      <c r="G187" s="231">
        <v>106</v>
      </c>
      <c r="H187" s="231">
        <v>105</v>
      </c>
      <c r="I187" s="231">
        <v>105.29</v>
      </c>
      <c r="J187" s="231"/>
      <c r="K187" s="231"/>
      <c r="L187" s="231">
        <v>0</v>
      </c>
      <c r="M187" s="231">
        <v>0</v>
      </c>
      <c r="N187" s="231">
        <v>0</v>
      </c>
      <c r="O187" s="231">
        <v>0</v>
      </c>
      <c r="P187" s="231">
        <v>0</v>
      </c>
      <c r="Q187" s="231">
        <v>0</v>
      </c>
      <c r="R187" s="231">
        <v>0</v>
      </c>
      <c r="S187" s="231">
        <v>0</v>
      </c>
      <c r="T187" s="231">
        <v>0</v>
      </c>
      <c r="U187" s="231">
        <v>0</v>
      </c>
      <c r="V187" s="231">
        <v>0</v>
      </c>
      <c r="W187" s="231"/>
      <c r="X187" s="388">
        <f t="shared" si="61"/>
        <v>0</v>
      </c>
      <c r="Y187" s="389"/>
      <c r="Z187" s="389"/>
      <c r="AA187" s="233"/>
      <c r="AB187" s="233"/>
      <c r="AC187" s="233">
        <f t="shared" si="62"/>
        <v>0</v>
      </c>
      <c r="AD187" s="233">
        <f t="shared" si="63"/>
        <v>0</v>
      </c>
      <c r="AE187" s="232">
        <f t="shared" si="64"/>
        <v>0</v>
      </c>
      <c r="AF187" s="232">
        <f t="shared" si="65"/>
        <v>0</v>
      </c>
      <c r="AG187" s="232">
        <f t="shared" si="66"/>
        <v>0</v>
      </c>
      <c r="AH187" s="232">
        <f t="shared" si="67"/>
        <v>0</v>
      </c>
      <c r="AI187" s="232">
        <f t="shared" si="68"/>
        <v>0</v>
      </c>
      <c r="AJ187" s="232">
        <f t="shared" si="69"/>
        <v>0</v>
      </c>
      <c r="AK187" s="232">
        <f t="shared" si="70"/>
        <v>0</v>
      </c>
      <c r="AL187" s="232">
        <f>IFERROR(#REF!/$H187,0)</f>
        <v>0</v>
      </c>
      <c r="AM187" s="260">
        <f t="shared" si="71"/>
        <v>0</v>
      </c>
      <c r="AN187" s="260">
        <f t="shared" si="60"/>
        <v>0</v>
      </c>
      <c r="AO187" s="218" t="e">
        <f>+VLOOKUP($B187,Mapping!$C$31:$C$81,1,FALSE)</f>
        <v>#N/A</v>
      </c>
    </row>
    <row r="188" spans="1:41">
      <c r="A188" s="218" t="str">
        <f>$A$1&amp;"Commercial"&amp;B188</f>
        <v>PIERCE EA UTCCommercialLCKC</v>
      </c>
      <c r="B188" s="230" t="s">
        <v>483</v>
      </c>
      <c r="C188" s="230" t="s">
        <v>484</v>
      </c>
      <c r="D188" s="230" t="s">
        <v>397</v>
      </c>
      <c r="E188" s="380">
        <v>33000</v>
      </c>
      <c r="F188" s="231">
        <v>0</v>
      </c>
      <c r="G188" s="231">
        <v>0</v>
      </c>
      <c r="H188" s="231">
        <v>0</v>
      </c>
      <c r="I188" s="231">
        <v>0</v>
      </c>
      <c r="J188" s="231"/>
      <c r="K188" s="231"/>
      <c r="L188" s="231">
        <v>0</v>
      </c>
      <c r="M188" s="231">
        <v>0</v>
      </c>
      <c r="N188" s="231">
        <v>0</v>
      </c>
      <c r="O188" s="231">
        <v>0</v>
      </c>
      <c r="P188" s="231">
        <v>0</v>
      </c>
      <c r="Q188" s="231">
        <v>0</v>
      </c>
      <c r="R188" s="231">
        <v>0</v>
      </c>
      <c r="S188" s="231">
        <v>0</v>
      </c>
      <c r="T188" s="231">
        <v>0</v>
      </c>
      <c r="U188" s="231">
        <v>0</v>
      </c>
      <c r="V188" s="231">
        <v>0</v>
      </c>
      <c r="W188" s="231"/>
      <c r="X188" s="388">
        <f t="shared" si="61"/>
        <v>0</v>
      </c>
      <c r="Y188" s="389"/>
      <c r="Z188" s="389"/>
      <c r="AA188" s="233"/>
      <c r="AB188" s="233"/>
      <c r="AC188" s="233">
        <f t="shared" si="62"/>
        <v>0</v>
      </c>
      <c r="AD188" s="233">
        <f t="shared" si="63"/>
        <v>0</v>
      </c>
      <c r="AE188" s="232">
        <f t="shared" si="64"/>
        <v>0</v>
      </c>
      <c r="AF188" s="232">
        <f t="shared" si="65"/>
        <v>0</v>
      </c>
      <c r="AG188" s="232">
        <f t="shared" si="66"/>
        <v>0</v>
      </c>
      <c r="AH188" s="232">
        <f t="shared" si="67"/>
        <v>0</v>
      </c>
      <c r="AI188" s="232">
        <f t="shared" si="68"/>
        <v>0</v>
      </c>
      <c r="AJ188" s="232">
        <f t="shared" si="69"/>
        <v>0</v>
      </c>
      <c r="AK188" s="232">
        <f t="shared" si="70"/>
        <v>0</v>
      </c>
      <c r="AL188" s="232">
        <f>IFERROR(#REF!/$H188,0)</f>
        <v>0</v>
      </c>
      <c r="AM188" s="260">
        <f t="shared" si="71"/>
        <v>0</v>
      </c>
      <c r="AN188" s="260">
        <f t="shared" si="60"/>
        <v>0</v>
      </c>
      <c r="AO188" s="218" t="e">
        <f>+VLOOKUP($B188,Mapping!$C$31:$C$81,1,FALSE)</f>
        <v>#N/A</v>
      </c>
    </row>
    <row r="189" spans="1:41">
      <c r="A189" s="218" t="str">
        <f>$A$1&amp;"Commercial"&amp;B189</f>
        <v>PIERCE EA UTCCommercialREDEL-COMM</v>
      </c>
      <c r="B189" s="230" t="s">
        <v>485</v>
      </c>
      <c r="C189" s="230" t="s">
        <v>486</v>
      </c>
      <c r="D189" s="230" t="s">
        <v>397</v>
      </c>
      <c r="E189" s="380">
        <v>33000</v>
      </c>
      <c r="F189" s="231">
        <v>17.25</v>
      </c>
      <c r="G189" s="231">
        <v>17.25</v>
      </c>
      <c r="H189" s="231">
        <v>17.09</v>
      </c>
      <c r="I189" s="231">
        <v>17.14</v>
      </c>
      <c r="J189" s="231"/>
      <c r="K189" s="231"/>
      <c r="L189" s="231">
        <v>0</v>
      </c>
      <c r="M189" s="231">
        <v>0</v>
      </c>
      <c r="N189" s="231">
        <v>0</v>
      </c>
      <c r="O189" s="231">
        <v>0</v>
      </c>
      <c r="P189" s="231">
        <v>0</v>
      </c>
      <c r="Q189" s="231">
        <v>0</v>
      </c>
      <c r="R189" s="231">
        <v>0</v>
      </c>
      <c r="S189" s="231">
        <v>0</v>
      </c>
      <c r="T189" s="231">
        <v>17.14</v>
      </c>
      <c r="U189" s="231">
        <v>0</v>
      </c>
      <c r="V189" s="231">
        <v>0</v>
      </c>
      <c r="W189" s="231"/>
      <c r="X189" s="388">
        <f t="shared" si="61"/>
        <v>17.14</v>
      </c>
      <c r="Y189" s="389"/>
      <c r="Z189" s="389"/>
      <c r="AA189" s="233"/>
      <c r="AB189" s="233"/>
      <c r="AC189" s="233">
        <f t="shared" si="62"/>
        <v>0</v>
      </c>
      <c r="AD189" s="233">
        <f t="shared" si="63"/>
        <v>0</v>
      </c>
      <c r="AE189" s="232">
        <f t="shared" si="64"/>
        <v>0</v>
      </c>
      <c r="AF189" s="232">
        <f t="shared" si="65"/>
        <v>0</v>
      </c>
      <c r="AG189" s="232">
        <f t="shared" si="66"/>
        <v>0</v>
      </c>
      <c r="AH189" s="232">
        <f t="shared" si="67"/>
        <v>0</v>
      </c>
      <c r="AI189" s="232">
        <f t="shared" si="68"/>
        <v>1.0029256875365711</v>
      </c>
      <c r="AJ189" s="232">
        <f t="shared" si="69"/>
        <v>0</v>
      </c>
      <c r="AK189" s="232">
        <f t="shared" si="70"/>
        <v>0</v>
      </c>
      <c r="AL189" s="232">
        <f>IFERROR(#REF!/$H189,0)</f>
        <v>0</v>
      </c>
      <c r="AM189" s="260">
        <f t="shared" si="71"/>
        <v>0.10029256875365711</v>
      </c>
      <c r="AN189" s="260">
        <f t="shared" si="60"/>
        <v>1.0029256875365711</v>
      </c>
      <c r="AO189" s="218" t="e">
        <f>+VLOOKUP($B189,Mapping!$C$31:$C$81,1,FALSE)</f>
        <v>#N/A</v>
      </c>
    </row>
    <row r="190" spans="1:41">
      <c r="A190" s="218" t="str">
        <f>$A$1&amp;"Commercial"&amp;B190</f>
        <v>PIERCE EA UTCCommercialSP2CMP-COMM</v>
      </c>
      <c r="B190" s="230" t="s">
        <v>488</v>
      </c>
      <c r="C190" s="230" t="s">
        <v>775</v>
      </c>
      <c r="D190" s="230"/>
      <c r="F190" s="231">
        <v>103.21</v>
      </c>
      <c r="G190" s="231">
        <v>104.42</v>
      </c>
      <c r="H190" s="231">
        <v>103.45</v>
      </c>
      <c r="I190" s="231">
        <v>103.74</v>
      </c>
      <c r="J190" s="231"/>
      <c r="K190" s="231"/>
      <c r="L190" s="231">
        <v>0</v>
      </c>
      <c r="M190" s="231">
        <v>0</v>
      </c>
      <c r="N190" s="231">
        <v>0</v>
      </c>
      <c r="O190" s="231">
        <v>0</v>
      </c>
      <c r="P190" s="231">
        <v>0</v>
      </c>
      <c r="Q190" s="231">
        <v>0</v>
      </c>
      <c r="R190" s="231">
        <v>0</v>
      </c>
      <c r="S190" s="231">
        <v>0</v>
      </c>
      <c r="T190" s="231">
        <v>0</v>
      </c>
      <c r="U190" s="231">
        <v>0</v>
      </c>
      <c r="V190" s="231">
        <v>0</v>
      </c>
      <c r="W190" s="231"/>
      <c r="X190" s="388">
        <f t="shared" si="61"/>
        <v>0</v>
      </c>
      <c r="Y190" s="389"/>
      <c r="Z190" s="389"/>
      <c r="AA190" s="233"/>
      <c r="AB190" s="233"/>
      <c r="AC190" s="233">
        <f t="shared" si="62"/>
        <v>0</v>
      </c>
      <c r="AD190" s="233">
        <f t="shared" si="63"/>
        <v>0</v>
      </c>
      <c r="AE190" s="232">
        <f t="shared" si="64"/>
        <v>0</v>
      </c>
      <c r="AF190" s="232">
        <f t="shared" si="65"/>
        <v>0</v>
      </c>
      <c r="AG190" s="232">
        <f t="shared" si="66"/>
        <v>0</v>
      </c>
      <c r="AH190" s="232">
        <f t="shared" si="67"/>
        <v>0</v>
      </c>
      <c r="AI190" s="232">
        <f t="shared" si="68"/>
        <v>0</v>
      </c>
      <c r="AJ190" s="232">
        <f t="shared" si="69"/>
        <v>0</v>
      </c>
      <c r="AK190" s="232">
        <f t="shared" si="70"/>
        <v>0</v>
      </c>
      <c r="AL190" s="232">
        <f>IFERROR(#REF!/$H190,0)</f>
        <v>0</v>
      </c>
      <c r="AM190" s="260">
        <f t="shared" si="71"/>
        <v>0</v>
      </c>
      <c r="AN190" s="260">
        <f t="shared" si="60"/>
        <v>0</v>
      </c>
      <c r="AO190" s="218" t="e">
        <f>+VLOOKUP($B190,Mapping!$C$31:$C$81,1,FALSE)</f>
        <v>#N/A</v>
      </c>
    </row>
    <row r="191" spans="1:41">
      <c r="A191" s="218" t="str">
        <f>$A$1&amp;"Commercial"&amp;B191</f>
        <v>PIERCE EA UTCCommercialRTRNCART32-COMM</v>
      </c>
      <c r="B191" s="230" t="s">
        <v>494</v>
      </c>
      <c r="C191" s="230" t="s">
        <v>766</v>
      </c>
      <c r="D191" s="230"/>
      <c r="F191" s="231">
        <v>6.35</v>
      </c>
      <c r="G191" s="231">
        <v>6.35</v>
      </c>
      <c r="H191" s="231">
        <v>0</v>
      </c>
      <c r="I191" s="231">
        <v>0</v>
      </c>
      <c r="J191" s="231"/>
      <c r="K191" s="231"/>
      <c r="L191" s="231">
        <v>0</v>
      </c>
      <c r="M191" s="231">
        <v>0</v>
      </c>
      <c r="N191" s="231">
        <v>0</v>
      </c>
      <c r="O191" s="231">
        <v>0</v>
      </c>
      <c r="P191" s="231">
        <v>0</v>
      </c>
      <c r="Q191" s="231">
        <v>0</v>
      </c>
      <c r="R191" s="231">
        <v>0</v>
      </c>
      <c r="S191" s="231">
        <v>0</v>
      </c>
      <c r="T191" s="231">
        <v>0</v>
      </c>
      <c r="U191" s="231">
        <v>0</v>
      </c>
      <c r="V191" s="231">
        <v>0</v>
      </c>
      <c r="W191" s="231"/>
      <c r="X191" s="388">
        <f t="shared" si="61"/>
        <v>0</v>
      </c>
      <c r="Y191" s="389"/>
      <c r="Z191" s="389"/>
      <c r="AA191" s="233"/>
      <c r="AB191" s="233"/>
      <c r="AC191" s="233">
        <f t="shared" si="62"/>
        <v>0</v>
      </c>
      <c r="AD191" s="233">
        <f t="shared" si="63"/>
        <v>0</v>
      </c>
      <c r="AE191" s="232">
        <f t="shared" si="64"/>
        <v>0</v>
      </c>
      <c r="AF191" s="232">
        <f t="shared" si="65"/>
        <v>0</v>
      </c>
      <c r="AG191" s="232">
        <f t="shared" si="66"/>
        <v>0</v>
      </c>
      <c r="AH191" s="232">
        <f t="shared" si="67"/>
        <v>0</v>
      </c>
      <c r="AI191" s="232">
        <f t="shared" si="68"/>
        <v>0</v>
      </c>
      <c r="AJ191" s="232">
        <f t="shared" si="69"/>
        <v>0</v>
      </c>
      <c r="AK191" s="232">
        <f t="shared" si="70"/>
        <v>0</v>
      </c>
      <c r="AL191" s="232">
        <f>IFERROR(#REF!/$H191,0)</f>
        <v>0</v>
      </c>
      <c r="AM191" s="260">
        <f t="shared" si="71"/>
        <v>0</v>
      </c>
      <c r="AN191" s="260">
        <f t="shared" si="60"/>
        <v>0</v>
      </c>
      <c r="AO191" s="218" t="e">
        <f>+VLOOKUP($B191,Mapping!$C$31:$C$81,1,FALSE)</f>
        <v>#N/A</v>
      </c>
    </row>
    <row r="192" spans="1:41">
      <c r="A192" s="218" t="str">
        <f>$A$1&amp;"Commercial"&amp;B192</f>
        <v>PIERCE EA UTCCommercialRTRNCART35-COMM</v>
      </c>
      <c r="B192" s="230" t="s">
        <v>495</v>
      </c>
      <c r="C192" s="230" t="s">
        <v>767</v>
      </c>
      <c r="D192" s="230"/>
      <c r="F192" s="231">
        <v>6.35</v>
      </c>
      <c r="G192" s="231">
        <v>6.35</v>
      </c>
      <c r="H192" s="231">
        <v>6.29</v>
      </c>
      <c r="I192" s="231">
        <v>6.31</v>
      </c>
      <c r="J192" s="231"/>
      <c r="K192" s="231"/>
      <c r="L192" s="231">
        <v>0</v>
      </c>
      <c r="M192" s="231">
        <v>0</v>
      </c>
      <c r="N192" s="231">
        <v>0</v>
      </c>
      <c r="O192" s="231">
        <v>0</v>
      </c>
      <c r="P192" s="231">
        <v>0</v>
      </c>
      <c r="Q192" s="231">
        <v>0</v>
      </c>
      <c r="R192" s="231">
        <v>0</v>
      </c>
      <c r="S192" s="231">
        <v>0</v>
      </c>
      <c r="T192" s="231">
        <v>0</v>
      </c>
      <c r="U192" s="231">
        <v>0</v>
      </c>
      <c r="V192" s="231">
        <v>0</v>
      </c>
      <c r="W192" s="240"/>
      <c r="X192" s="388">
        <f t="shared" si="61"/>
        <v>0</v>
      </c>
      <c r="Y192" s="389"/>
      <c r="Z192" s="389"/>
      <c r="AA192" s="233"/>
      <c r="AB192" s="233"/>
      <c r="AC192" s="233">
        <f t="shared" si="62"/>
        <v>0</v>
      </c>
      <c r="AD192" s="233">
        <f t="shared" si="63"/>
        <v>0</v>
      </c>
      <c r="AE192" s="232">
        <f t="shared" si="64"/>
        <v>0</v>
      </c>
      <c r="AF192" s="232">
        <f t="shared" si="65"/>
        <v>0</v>
      </c>
      <c r="AG192" s="232">
        <f t="shared" si="66"/>
        <v>0</v>
      </c>
      <c r="AH192" s="232">
        <f t="shared" si="67"/>
        <v>0</v>
      </c>
      <c r="AI192" s="232">
        <f t="shared" si="68"/>
        <v>0</v>
      </c>
      <c r="AJ192" s="232">
        <f t="shared" si="69"/>
        <v>0</v>
      </c>
      <c r="AK192" s="232">
        <f t="shared" si="70"/>
        <v>0</v>
      </c>
      <c r="AL192" s="232">
        <f>IFERROR(#REF!/$H192,0)</f>
        <v>0</v>
      </c>
      <c r="AM192" s="260">
        <f t="shared" si="71"/>
        <v>0</v>
      </c>
      <c r="AN192" s="260">
        <f t="shared" si="60"/>
        <v>0</v>
      </c>
      <c r="AO192" s="218" t="e">
        <f>+VLOOKUP($B192,Mapping!$C$31:$C$81,1,FALSE)</f>
        <v>#N/A</v>
      </c>
    </row>
    <row r="193" spans="1:41">
      <c r="A193" s="218" t="str">
        <f>$A$1&amp;"Commercial"&amp;B193</f>
        <v>PIERCE EA UTCCommercialADJ-COMM</v>
      </c>
      <c r="B193" s="230" t="s">
        <v>487</v>
      </c>
      <c r="C193" s="230" t="s">
        <v>710</v>
      </c>
      <c r="D193" s="230"/>
      <c r="F193" s="231">
        <v>0</v>
      </c>
      <c r="G193" s="231">
        <v>0</v>
      </c>
      <c r="H193" s="231">
        <v>0</v>
      </c>
      <c r="I193" s="231">
        <v>0</v>
      </c>
      <c r="J193" s="231"/>
      <c r="K193" s="231"/>
      <c r="L193" s="231">
        <v>0</v>
      </c>
      <c r="M193" s="231">
        <v>0</v>
      </c>
      <c r="N193" s="231">
        <v>0</v>
      </c>
      <c r="O193" s="231">
        <v>0</v>
      </c>
      <c r="P193" s="231">
        <v>0</v>
      </c>
      <c r="Q193" s="231">
        <v>0</v>
      </c>
      <c r="R193" s="231">
        <v>0</v>
      </c>
      <c r="S193" s="231">
        <v>0</v>
      </c>
      <c r="T193" s="231">
        <v>0</v>
      </c>
      <c r="U193" s="231">
        <v>0</v>
      </c>
      <c r="V193" s="231">
        <v>0</v>
      </c>
      <c r="W193" s="240"/>
      <c r="X193" s="388">
        <f t="shared" si="61"/>
        <v>0</v>
      </c>
      <c r="Y193" s="389"/>
      <c r="Z193" s="389"/>
      <c r="AA193" s="233"/>
      <c r="AB193" s="233"/>
      <c r="AC193" s="233">
        <f t="shared" si="62"/>
        <v>0</v>
      </c>
      <c r="AD193" s="233">
        <f t="shared" si="63"/>
        <v>0</v>
      </c>
      <c r="AE193" s="232">
        <f t="shared" si="64"/>
        <v>0</v>
      </c>
      <c r="AF193" s="232">
        <f t="shared" si="65"/>
        <v>0</v>
      </c>
      <c r="AG193" s="232">
        <f t="shared" si="66"/>
        <v>0</v>
      </c>
      <c r="AH193" s="232">
        <f t="shared" si="67"/>
        <v>0</v>
      </c>
      <c r="AI193" s="232">
        <f t="shared" si="68"/>
        <v>0</v>
      </c>
      <c r="AJ193" s="232">
        <f t="shared" si="69"/>
        <v>0</v>
      </c>
      <c r="AK193" s="232">
        <f t="shared" si="70"/>
        <v>0</v>
      </c>
      <c r="AL193" s="232">
        <f>IFERROR(#REF!/$H193,0)</f>
        <v>0</v>
      </c>
      <c r="AM193" s="260">
        <f t="shared" si="71"/>
        <v>0</v>
      </c>
      <c r="AN193" s="260">
        <f t="shared" si="60"/>
        <v>0</v>
      </c>
      <c r="AO193" s="218" t="e">
        <f>+VLOOKUP($B193,Mapping!$C$31:$C$81,1,FALSE)</f>
        <v>#N/A</v>
      </c>
    </row>
    <row r="194" spans="1:41">
      <c r="A194" s="218" t="str">
        <f>$A$1&amp;"Commercial"&amp;B194</f>
        <v>PIERCE EA UTCCommercialSURCHGC</v>
      </c>
      <c r="B194" s="230" t="s">
        <v>497</v>
      </c>
      <c r="C194" s="230" t="s">
        <v>768</v>
      </c>
      <c r="D194" s="230"/>
      <c r="F194" s="231">
        <v>0</v>
      </c>
      <c r="G194" s="231">
        <v>0</v>
      </c>
      <c r="H194" s="231">
        <v>0</v>
      </c>
      <c r="I194" s="231">
        <v>0</v>
      </c>
      <c r="J194" s="231"/>
      <c r="K194" s="231"/>
      <c r="L194" s="231">
        <v>0</v>
      </c>
      <c r="M194" s="231">
        <v>0</v>
      </c>
      <c r="N194" s="231">
        <v>0</v>
      </c>
      <c r="O194" s="231">
        <v>0</v>
      </c>
      <c r="P194" s="231">
        <v>0</v>
      </c>
      <c r="Q194" s="231">
        <v>0</v>
      </c>
      <c r="R194" s="231">
        <v>0</v>
      </c>
      <c r="S194" s="231">
        <v>0</v>
      </c>
      <c r="T194" s="231">
        <v>0</v>
      </c>
      <c r="U194" s="231">
        <v>0</v>
      </c>
      <c r="V194" s="231">
        <v>0</v>
      </c>
      <c r="W194" s="240"/>
      <c r="X194" s="388">
        <f t="shared" si="61"/>
        <v>0</v>
      </c>
      <c r="Y194" s="389"/>
      <c r="Z194" s="389"/>
      <c r="AA194" s="233"/>
      <c r="AB194" s="233"/>
      <c r="AC194" s="233">
        <f t="shared" si="62"/>
        <v>0</v>
      </c>
      <c r="AD194" s="233">
        <f t="shared" si="63"/>
        <v>0</v>
      </c>
      <c r="AE194" s="232">
        <f t="shared" si="64"/>
        <v>0</v>
      </c>
      <c r="AF194" s="232">
        <f t="shared" si="65"/>
        <v>0</v>
      </c>
      <c r="AG194" s="232">
        <f t="shared" si="66"/>
        <v>0</v>
      </c>
      <c r="AH194" s="232">
        <f t="shared" si="67"/>
        <v>0</v>
      </c>
      <c r="AI194" s="232">
        <f t="shared" si="68"/>
        <v>0</v>
      </c>
      <c r="AJ194" s="232">
        <f t="shared" si="69"/>
        <v>0</v>
      </c>
      <c r="AK194" s="232">
        <f t="shared" si="70"/>
        <v>0</v>
      </c>
      <c r="AL194" s="232">
        <f>IFERROR(#REF!/$H194,0)</f>
        <v>0</v>
      </c>
      <c r="AM194" s="260">
        <f t="shared" si="71"/>
        <v>0</v>
      </c>
      <c r="AN194" s="260">
        <f t="shared" si="60"/>
        <v>0</v>
      </c>
      <c r="AO194" s="218" t="e">
        <f>+VLOOKUP($B194,Mapping!$C$31:$C$81,1,FALSE)</f>
        <v>#N/A</v>
      </c>
    </row>
    <row r="195" spans="1:41" ht="14.25">
      <c r="B195" s="249"/>
      <c r="C195" s="230"/>
      <c r="D195" s="230"/>
      <c r="F195" s="231"/>
      <c r="G195" s="231"/>
      <c r="H195" s="231"/>
      <c r="I195" s="231"/>
      <c r="J195" s="231"/>
      <c r="K195" s="231"/>
      <c r="L195" s="231"/>
      <c r="M195" s="231"/>
      <c r="N195" s="231"/>
      <c r="O195" s="231"/>
      <c r="P195" s="231"/>
      <c r="Q195" s="231"/>
      <c r="R195" s="231"/>
      <c r="S195" s="231"/>
      <c r="T195" s="231"/>
      <c r="U195" s="231"/>
      <c r="V195" s="231"/>
      <c r="W195" s="240"/>
      <c r="X195" s="388"/>
      <c r="Y195" s="389"/>
      <c r="Z195" s="389"/>
      <c r="AA195" s="233"/>
      <c r="AB195" s="233"/>
      <c r="AC195" s="232"/>
      <c r="AD195" s="232"/>
      <c r="AE195" s="232"/>
      <c r="AF195" s="232"/>
      <c r="AG195" s="232"/>
      <c r="AH195" s="232"/>
      <c r="AI195" s="232"/>
      <c r="AJ195" s="232"/>
      <c r="AK195" s="232"/>
      <c r="AL195" s="232"/>
    </row>
    <row r="196" spans="1:41">
      <c r="B196" s="230"/>
      <c r="C196" s="235" t="s">
        <v>141</v>
      </c>
      <c r="D196" s="230"/>
      <c r="E196" s="250"/>
      <c r="F196" s="231"/>
      <c r="G196" s="231"/>
      <c r="H196" s="231"/>
      <c r="I196" s="231"/>
      <c r="J196" s="236"/>
      <c r="K196" s="237"/>
      <c r="L196" s="237">
        <f t="shared" ref="L196:V196" si="72">SUM(L84:L194)</f>
        <v>0</v>
      </c>
      <c r="M196" s="237">
        <f t="shared" si="72"/>
        <v>0</v>
      </c>
      <c r="N196" s="237">
        <f t="shared" si="72"/>
        <v>4969.2500000000009</v>
      </c>
      <c r="O196" s="237">
        <f t="shared" si="72"/>
        <v>3529.44</v>
      </c>
      <c r="P196" s="237">
        <f t="shared" si="72"/>
        <v>3221.0299999999997</v>
      </c>
      <c r="Q196" s="237">
        <f t="shared" si="72"/>
        <v>4495.1299999999983</v>
      </c>
      <c r="R196" s="237">
        <f t="shared" si="72"/>
        <v>6126.9999999999991</v>
      </c>
      <c r="S196" s="237">
        <f t="shared" si="72"/>
        <v>6876.1299999999992</v>
      </c>
      <c r="T196" s="237">
        <f t="shared" si="72"/>
        <v>7434.04</v>
      </c>
      <c r="U196" s="237">
        <f t="shared" si="72"/>
        <v>6870.2</v>
      </c>
      <c r="V196" s="237">
        <f t="shared" si="72"/>
        <v>5732.84</v>
      </c>
      <c r="W196" s="240"/>
      <c r="X196" s="237">
        <f>SUM(X83:X194)</f>
        <v>56915.299999999996</v>
      </c>
      <c r="Y196" s="241"/>
      <c r="Z196" s="241"/>
      <c r="AA196" s="233"/>
      <c r="AB196" s="233"/>
      <c r="AC196" s="233">
        <f t="shared" ref="AC196:AL196" si="73">+SUM(AC84:AC126)</f>
        <v>42.987989746394604</v>
      </c>
      <c r="AD196" s="233">
        <f t="shared" si="73"/>
        <v>34.199915647406158</v>
      </c>
      <c r="AE196" s="233">
        <f t="shared" si="73"/>
        <v>32.490450121654504</v>
      </c>
      <c r="AF196" s="233">
        <f t="shared" si="73"/>
        <v>39.600021346995405</v>
      </c>
      <c r="AG196" s="233">
        <f t="shared" si="73"/>
        <v>49.000119001143204</v>
      </c>
      <c r="AH196" s="233">
        <f t="shared" si="73"/>
        <v>54.59793118333247</v>
      </c>
      <c r="AI196" s="233">
        <f t="shared" si="73"/>
        <v>57.243261440059037</v>
      </c>
      <c r="AJ196" s="233">
        <f t="shared" si="73"/>
        <v>55.405525888509736</v>
      </c>
      <c r="AK196" s="233">
        <f t="shared" si="73"/>
        <v>48.33646442340882</v>
      </c>
      <c r="AL196" s="233">
        <f t="shared" si="73"/>
        <v>0</v>
      </c>
      <c r="AM196" s="390">
        <f>+SUM(AM83:AM126,AN127:AN129,AM130,AN137:AN142)</f>
        <v>89.686916183903833</v>
      </c>
      <c r="AN196" s="390">
        <f>+SUM(AN83:AN126,AN127:AN129,AN130:AN136,AN143:AN144,AN174:AN182,AN146)</f>
        <v>729.22523458736237</v>
      </c>
      <c r="AO196" s="410"/>
    </row>
    <row r="197" spans="1:41">
      <c r="B197" s="230"/>
      <c r="C197" s="235"/>
      <c r="D197" s="230"/>
      <c r="E197" s="250"/>
      <c r="F197" s="231"/>
      <c r="G197" s="231"/>
      <c r="H197" s="231"/>
      <c r="I197" s="231"/>
      <c r="J197" s="236"/>
      <c r="K197" s="231"/>
      <c r="L197" s="231"/>
      <c r="M197" s="231"/>
      <c r="N197" s="231"/>
      <c r="O197" s="231"/>
      <c r="P197" s="231"/>
      <c r="Q197" s="231"/>
      <c r="R197" s="231"/>
      <c r="S197" s="231"/>
      <c r="T197" s="231"/>
      <c r="U197" s="231"/>
      <c r="V197" s="231"/>
      <c r="W197" s="240"/>
      <c r="X197" s="388"/>
      <c r="Y197" s="241"/>
      <c r="Z197" s="241"/>
      <c r="AA197" s="233"/>
      <c r="AB197" s="233"/>
      <c r="AC197" s="232"/>
      <c r="AD197" s="232"/>
      <c r="AE197" s="232"/>
      <c r="AF197" s="232"/>
      <c r="AG197" s="232"/>
      <c r="AH197" s="232"/>
      <c r="AI197" s="232"/>
      <c r="AJ197" s="232"/>
      <c r="AK197" s="232"/>
      <c r="AL197" s="232"/>
      <c r="AM197" s="220">
        <f>SUM(AN127:AN129,AM111:AM126,AM130)</f>
        <v>9.7132658830318537</v>
      </c>
      <c r="AN197" s="220">
        <f>SUM(AN127:AN129,AN111:AN126,AN130)</f>
        <v>97.132658830318519</v>
      </c>
      <c r="AO197" s="218" t="s">
        <v>57</v>
      </c>
    </row>
    <row r="198" spans="1:41">
      <c r="B198" s="239" t="s">
        <v>142</v>
      </c>
      <c r="C198" s="235"/>
      <c r="D198" s="230"/>
      <c r="E198" s="250"/>
      <c r="F198" s="231"/>
      <c r="G198" s="231"/>
      <c r="H198" s="231"/>
      <c r="I198" s="231"/>
      <c r="J198" s="236"/>
      <c r="K198" s="231"/>
      <c r="L198" s="231"/>
      <c r="M198" s="231"/>
      <c r="N198" s="231"/>
      <c r="O198" s="231"/>
      <c r="P198" s="231"/>
      <c r="Q198" s="231"/>
      <c r="R198" s="231"/>
      <c r="S198" s="231"/>
      <c r="T198" s="231"/>
      <c r="U198" s="231"/>
      <c r="V198" s="231"/>
      <c r="W198" s="240"/>
      <c r="X198" s="388"/>
      <c r="Y198" s="241"/>
      <c r="Z198" s="241"/>
      <c r="AA198" s="233"/>
      <c r="AB198" s="233"/>
      <c r="AC198" s="232"/>
      <c r="AD198" s="232"/>
      <c r="AE198" s="232"/>
      <c r="AF198" s="232"/>
      <c r="AG198" s="232"/>
      <c r="AH198" s="232"/>
      <c r="AI198" s="232"/>
      <c r="AJ198" s="232"/>
      <c r="AK198" s="232"/>
      <c r="AL198" s="232"/>
      <c r="AM198" s="220">
        <f>SUM(AM83:AM110,AN137:AN142)</f>
        <v>79.973650300871981</v>
      </c>
      <c r="AN198" s="220">
        <f>SUM(AN83:AN110,AN137:AN142)</f>
        <v>493.73650300871975</v>
      </c>
      <c r="AO198" s="218" t="s">
        <v>711</v>
      </c>
    </row>
    <row r="199" spans="1:41">
      <c r="A199" s="218" t="str">
        <f>$A$1&amp;"Commercial Recycle"&amp;B199</f>
        <v>PIERCE EA UTCCommercial RecycleMFNBINS</v>
      </c>
      <c r="B199" s="230" t="s">
        <v>498</v>
      </c>
      <c r="C199" s="230" t="s">
        <v>499</v>
      </c>
      <c r="D199" s="230" t="s">
        <v>397</v>
      </c>
      <c r="E199" s="380">
        <v>33000</v>
      </c>
      <c r="F199" s="231">
        <v>2.4500000000000002</v>
      </c>
      <c r="G199" s="231">
        <v>2.4500000000000002</v>
      </c>
      <c r="H199" s="231">
        <v>3.2</v>
      </c>
      <c r="I199" s="231">
        <v>3.21</v>
      </c>
      <c r="J199" s="231"/>
      <c r="K199" s="231"/>
      <c r="L199" s="231">
        <v>0</v>
      </c>
      <c r="M199" s="231">
        <v>0</v>
      </c>
      <c r="N199" s="231">
        <v>0</v>
      </c>
      <c r="O199" s="231">
        <v>0</v>
      </c>
      <c r="P199" s="231">
        <v>0</v>
      </c>
      <c r="Q199" s="231">
        <v>0</v>
      </c>
      <c r="R199" s="231">
        <v>0</v>
      </c>
      <c r="S199" s="231">
        <v>0</v>
      </c>
      <c r="T199" s="231">
        <v>0</v>
      </c>
      <c r="U199" s="231">
        <v>0</v>
      </c>
      <c r="V199" s="231">
        <v>0</v>
      </c>
      <c r="W199" s="240"/>
      <c r="X199" s="388">
        <f>SUM(K199:V199)</f>
        <v>0</v>
      </c>
      <c r="Y199" s="389"/>
      <c r="Z199" s="389"/>
      <c r="AA199" s="233"/>
      <c r="AB199" s="233"/>
      <c r="AC199" s="233">
        <f>IFERROR(N199/$G199,0)</f>
        <v>0</v>
      </c>
      <c r="AD199" s="233">
        <f>IFERROR(O199/$G199,0)</f>
        <v>0</v>
      </c>
      <c r="AE199" s="232">
        <f t="shared" ref="AE199:AK200" si="74">IFERROR(P199/$H199,0)</f>
        <v>0</v>
      </c>
      <c r="AF199" s="232">
        <f t="shared" si="74"/>
        <v>0</v>
      </c>
      <c r="AG199" s="232">
        <f t="shared" si="74"/>
        <v>0</v>
      </c>
      <c r="AH199" s="232">
        <f t="shared" si="74"/>
        <v>0</v>
      </c>
      <c r="AI199" s="232">
        <f t="shared" si="74"/>
        <v>0</v>
      </c>
      <c r="AJ199" s="232">
        <f t="shared" si="74"/>
        <v>0</v>
      </c>
      <c r="AK199" s="232">
        <f t="shared" si="74"/>
        <v>0</v>
      </c>
      <c r="AL199" s="232">
        <f>IFERROR(#REF!/$H199,0)</f>
        <v>0</v>
      </c>
      <c r="AM199" s="234">
        <f>AVERAGE(Z199:AL199)</f>
        <v>0</v>
      </c>
      <c r="AN199" s="234">
        <f>+SUM(AA199:AK199)</f>
        <v>0</v>
      </c>
    </row>
    <row r="200" spans="1:41">
      <c r="A200" s="218" t="str">
        <f>$A$1&amp;"Commercial Recycle"&amp;B200</f>
        <v>PIERCE EA UTCCommercial RecycleMFWBINS</v>
      </c>
      <c r="B200" s="230" t="s">
        <v>500</v>
      </c>
      <c r="C200" s="230" t="s">
        <v>501</v>
      </c>
      <c r="D200" s="230" t="s">
        <v>502</v>
      </c>
      <c r="E200" s="250">
        <v>33020</v>
      </c>
      <c r="F200" s="231">
        <v>1.7</v>
      </c>
      <c r="G200" s="231">
        <v>1.7</v>
      </c>
      <c r="H200" s="231">
        <v>2.2200000000000002</v>
      </c>
      <c r="I200" s="231">
        <v>2.23</v>
      </c>
      <c r="J200" s="231"/>
      <c r="K200" s="231"/>
      <c r="L200" s="231">
        <v>0</v>
      </c>
      <c r="M200" s="231">
        <v>0</v>
      </c>
      <c r="N200" s="231">
        <v>15.3</v>
      </c>
      <c r="O200" s="231">
        <v>15.3</v>
      </c>
      <c r="P200" s="231">
        <v>19.98</v>
      </c>
      <c r="Q200" s="231">
        <v>19.98</v>
      </c>
      <c r="R200" s="231">
        <v>19.98</v>
      </c>
      <c r="S200" s="231">
        <v>20.07</v>
      </c>
      <c r="T200" s="231">
        <v>20.07</v>
      </c>
      <c r="U200" s="231">
        <v>20.07</v>
      </c>
      <c r="V200" s="231">
        <v>20.07</v>
      </c>
      <c r="W200" s="240"/>
      <c r="X200" s="388">
        <f>SUM(K200:V200)</f>
        <v>170.82</v>
      </c>
      <c r="Y200" s="389"/>
      <c r="Z200" s="389"/>
      <c r="AA200" s="233"/>
      <c r="AB200" s="233"/>
      <c r="AC200" s="233">
        <f>IFERROR(N200/$G200,0)</f>
        <v>9</v>
      </c>
      <c r="AD200" s="233">
        <f>IFERROR(O200/$G200,0)</f>
        <v>9</v>
      </c>
      <c r="AE200" s="232">
        <f t="shared" si="74"/>
        <v>9</v>
      </c>
      <c r="AF200" s="232">
        <f t="shared" si="74"/>
        <v>9</v>
      </c>
      <c r="AG200" s="232">
        <f t="shared" si="74"/>
        <v>9</v>
      </c>
      <c r="AH200" s="232">
        <f t="shared" si="74"/>
        <v>9.0405405405405403</v>
      </c>
      <c r="AI200" s="232">
        <f t="shared" si="74"/>
        <v>9.0405405405405403</v>
      </c>
      <c r="AJ200" s="232">
        <f t="shared" si="74"/>
        <v>9.0405405405405403</v>
      </c>
      <c r="AK200" s="232">
        <f t="shared" si="74"/>
        <v>9.0405405405405403</v>
      </c>
      <c r="AL200" s="232">
        <f>IFERROR(#REF!/$H200,0)</f>
        <v>0</v>
      </c>
      <c r="AM200" s="234">
        <f>AVERAGE(Z200:AL200)</f>
        <v>8.1162162162162161</v>
      </c>
      <c r="AN200" s="234">
        <f>+SUM(AA200:AK200)</f>
        <v>81.162162162162161</v>
      </c>
    </row>
    <row r="201" spans="1:41">
      <c r="B201" s="230"/>
      <c r="C201" s="235"/>
      <c r="D201" s="230"/>
      <c r="E201" s="250"/>
      <c r="F201" s="231"/>
      <c r="G201" s="231"/>
      <c r="H201" s="231"/>
      <c r="I201" s="231"/>
      <c r="J201" s="236"/>
      <c r="K201" s="231"/>
      <c r="L201" s="231"/>
      <c r="M201" s="231"/>
      <c r="N201" s="231"/>
      <c r="O201" s="231"/>
      <c r="P201" s="231"/>
      <c r="Q201" s="231"/>
      <c r="R201" s="231"/>
      <c r="S201" s="231"/>
      <c r="T201" s="231"/>
      <c r="U201" s="231"/>
      <c r="V201" s="231"/>
      <c r="W201" s="240"/>
      <c r="X201" s="388"/>
      <c r="Y201" s="241"/>
      <c r="Z201" s="241"/>
      <c r="AA201" s="233"/>
      <c r="AB201" s="233"/>
      <c r="AC201" s="232"/>
      <c r="AD201" s="232"/>
      <c r="AE201" s="232"/>
      <c r="AF201" s="232"/>
      <c r="AG201" s="232"/>
      <c r="AH201" s="232"/>
      <c r="AI201" s="232"/>
      <c r="AJ201" s="232"/>
      <c r="AK201" s="232"/>
      <c r="AL201" s="232"/>
    </row>
    <row r="202" spans="1:41">
      <c r="B202" s="230"/>
      <c r="C202" s="235" t="s">
        <v>143</v>
      </c>
      <c r="D202" s="230"/>
      <c r="E202" s="250"/>
      <c r="F202" s="231"/>
      <c r="G202" s="231"/>
      <c r="H202" s="231"/>
      <c r="I202" s="231"/>
      <c r="J202" s="236"/>
      <c r="K202" s="237"/>
      <c r="L202" s="237">
        <f t="shared" ref="L202:V202" si="75">SUM(L199:L201)</f>
        <v>0</v>
      </c>
      <c r="M202" s="237">
        <f t="shared" si="75"/>
        <v>0</v>
      </c>
      <c r="N202" s="237">
        <f t="shared" si="75"/>
        <v>15.3</v>
      </c>
      <c r="O202" s="237">
        <f t="shared" si="75"/>
        <v>15.3</v>
      </c>
      <c r="P202" s="237">
        <f t="shared" si="75"/>
        <v>19.98</v>
      </c>
      <c r="Q202" s="237">
        <f>SUM(Q199:Q201)</f>
        <v>19.98</v>
      </c>
      <c r="R202" s="237">
        <f>SUM(R199:R201)</f>
        <v>19.98</v>
      </c>
      <c r="S202" s="237">
        <f t="shared" si="75"/>
        <v>20.07</v>
      </c>
      <c r="T202" s="237">
        <f t="shared" si="75"/>
        <v>20.07</v>
      </c>
      <c r="U202" s="237">
        <f t="shared" si="75"/>
        <v>20.07</v>
      </c>
      <c r="V202" s="237">
        <f t="shared" si="75"/>
        <v>20.07</v>
      </c>
      <c r="W202" s="240"/>
      <c r="X202" s="237">
        <f>SUM(X199:X201)</f>
        <v>170.82</v>
      </c>
      <c r="Y202" s="241"/>
      <c r="Z202" s="241"/>
      <c r="AA202" s="237"/>
      <c r="AB202" s="237"/>
      <c r="AC202" s="237">
        <f t="shared" ref="AC202:AL202" si="76">SUM(AC199:AC201)</f>
        <v>9</v>
      </c>
      <c r="AD202" s="237">
        <f t="shared" si="76"/>
        <v>9</v>
      </c>
      <c r="AE202" s="237">
        <f t="shared" si="76"/>
        <v>9</v>
      </c>
      <c r="AF202" s="237">
        <f t="shared" si="76"/>
        <v>9</v>
      </c>
      <c r="AG202" s="237">
        <f t="shared" si="76"/>
        <v>9</v>
      </c>
      <c r="AH202" s="237">
        <f t="shared" si="76"/>
        <v>9.0405405405405403</v>
      </c>
      <c r="AI202" s="237">
        <f t="shared" si="76"/>
        <v>9.0405405405405403</v>
      </c>
      <c r="AJ202" s="237">
        <f t="shared" si="76"/>
        <v>9.0405405405405403</v>
      </c>
      <c r="AK202" s="237">
        <f t="shared" si="76"/>
        <v>9.0405405405405403</v>
      </c>
      <c r="AL202" s="237">
        <f t="shared" si="76"/>
        <v>0</v>
      </c>
      <c r="AM202" s="390">
        <f>SUM(AM199:AM201)</f>
        <v>8.1162162162162161</v>
      </c>
      <c r="AN202" s="390">
        <f>SUM(AN199:AN201)</f>
        <v>81.162162162162161</v>
      </c>
    </row>
    <row r="203" spans="1:41">
      <c r="B203" s="230"/>
      <c r="C203" s="235"/>
      <c r="D203" s="230"/>
      <c r="E203" s="250"/>
      <c r="F203" s="231"/>
      <c r="G203" s="231"/>
      <c r="H203" s="231"/>
      <c r="I203" s="231"/>
      <c r="J203" s="236"/>
      <c r="K203" s="231"/>
      <c r="L203" s="231"/>
      <c r="M203" s="231"/>
      <c r="N203" s="231"/>
      <c r="O203" s="231"/>
      <c r="P203" s="231"/>
      <c r="Q203" s="231"/>
      <c r="R203" s="231"/>
      <c r="S203" s="231"/>
      <c r="T203" s="231"/>
      <c r="U203" s="231"/>
      <c r="V203" s="231"/>
      <c r="W203" s="231"/>
      <c r="X203" s="388"/>
      <c r="Y203" s="241"/>
      <c r="Z203" s="241"/>
      <c r="AA203" s="233"/>
      <c r="AB203" s="233"/>
      <c r="AC203" s="232"/>
      <c r="AD203" s="232"/>
      <c r="AE203" s="232"/>
      <c r="AF203" s="232"/>
      <c r="AG203" s="232"/>
      <c r="AH203" s="232"/>
      <c r="AI203" s="232"/>
      <c r="AJ203" s="232"/>
      <c r="AK203" s="232"/>
      <c r="AL203" s="232"/>
    </row>
    <row r="204" spans="1:41">
      <c r="B204" s="230"/>
      <c r="C204" s="230"/>
      <c r="D204" s="230"/>
      <c r="F204" s="231"/>
      <c r="G204" s="231"/>
      <c r="H204" s="231"/>
      <c r="I204" s="231"/>
      <c r="J204" s="231"/>
      <c r="K204" s="231"/>
      <c r="L204" s="231"/>
      <c r="M204" s="231"/>
      <c r="N204" s="231"/>
      <c r="O204" s="231"/>
      <c r="P204" s="231"/>
      <c r="Q204" s="231"/>
      <c r="R204" s="231"/>
      <c r="S204" s="231"/>
      <c r="T204" s="231"/>
      <c r="U204" s="231"/>
      <c r="V204" s="231"/>
      <c r="W204" s="231"/>
      <c r="X204" s="388"/>
      <c r="Y204" s="389"/>
      <c r="Z204" s="389"/>
      <c r="AA204" s="233"/>
      <c r="AB204" s="233"/>
      <c r="AC204" s="232">
        <f t="shared" ref="AC204:AK204" si="77">IFERROR(N204/$H204,0)</f>
        <v>0</v>
      </c>
      <c r="AD204" s="232">
        <f t="shared" si="77"/>
        <v>0</v>
      </c>
      <c r="AE204" s="232">
        <f t="shared" si="77"/>
        <v>0</v>
      </c>
      <c r="AF204" s="232">
        <f t="shared" si="77"/>
        <v>0</v>
      </c>
      <c r="AG204" s="232">
        <f t="shared" si="77"/>
        <v>0</v>
      </c>
      <c r="AH204" s="232">
        <f t="shared" si="77"/>
        <v>0</v>
      </c>
      <c r="AI204" s="232">
        <f t="shared" si="77"/>
        <v>0</v>
      </c>
      <c r="AJ204" s="232">
        <f t="shared" si="77"/>
        <v>0</v>
      </c>
      <c r="AK204" s="232">
        <f t="shared" si="77"/>
        <v>0</v>
      </c>
      <c r="AL204" s="232">
        <f>IFERROR(#REF!/$H204,0)</f>
        <v>0</v>
      </c>
    </row>
    <row r="205" spans="1:41">
      <c r="F205" s="231"/>
      <c r="G205" s="231"/>
      <c r="H205" s="231"/>
      <c r="I205" s="231"/>
      <c r="K205" s="231"/>
      <c r="L205" s="231"/>
      <c r="M205" s="231"/>
      <c r="N205" s="231"/>
      <c r="O205" s="231"/>
      <c r="P205" s="231"/>
      <c r="Q205" s="231"/>
      <c r="R205" s="231"/>
      <c r="S205" s="231"/>
      <c r="T205" s="231"/>
      <c r="U205" s="231"/>
      <c r="V205" s="231"/>
      <c r="W205" s="231"/>
      <c r="X205" s="388"/>
      <c r="Y205" s="382"/>
      <c r="Z205" s="382"/>
      <c r="AA205" s="233"/>
      <c r="AB205" s="233"/>
      <c r="AC205" s="232"/>
      <c r="AD205" s="232"/>
      <c r="AE205" s="232"/>
      <c r="AF205" s="232"/>
      <c r="AG205" s="232"/>
      <c r="AH205" s="232"/>
      <c r="AI205" s="232"/>
      <c r="AJ205" s="232"/>
      <c r="AK205" s="232"/>
      <c r="AL205" s="232"/>
    </row>
    <row r="206" spans="1:41">
      <c r="F206" s="231"/>
      <c r="G206" s="231"/>
      <c r="H206" s="231"/>
      <c r="I206" s="231"/>
      <c r="K206" s="231"/>
      <c r="L206" s="231"/>
      <c r="M206" s="231"/>
      <c r="N206" s="231"/>
      <c r="O206" s="231"/>
      <c r="P206" s="231"/>
      <c r="Q206" s="231"/>
      <c r="R206" s="231"/>
      <c r="S206" s="231"/>
      <c r="T206" s="231"/>
      <c r="U206" s="231"/>
      <c r="V206" s="231"/>
      <c r="W206" s="231"/>
      <c r="X206" s="388"/>
      <c r="Y206" s="230"/>
      <c r="Z206" s="230"/>
      <c r="AA206" s="233"/>
      <c r="AB206" s="233"/>
      <c r="AC206" s="232"/>
      <c r="AD206" s="232"/>
      <c r="AE206" s="232"/>
      <c r="AF206" s="232"/>
      <c r="AG206" s="232"/>
      <c r="AH206" s="232"/>
      <c r="AI206" s="232"/>
      <c r="AJ206" s="232"/>
      <c r="AK206" s="232"/>
      <c r="AL206" s="232"/>
    </row>
    <row r="207" spans="1:41" s="242" customFormat="1" ht="13.5" thickBot="1">
      <c r="A207" s="415"/>
      <c r="B207" s="400" t="s">
        <v>507</v>
      </c>
      <c r="C207" s="400"/>
      <c r="D207" s="400"/>
      <c r="E207" s="401"/>
      <c r="F207" s="402"/>
      <c r="G207" s="402"/>
      <c r="H207" s="402"/>
      <c r="I207" s="402"/>
      <c r="J207" s="400"/>
      <c r="K207" s="403"/>
      <c r="L207" s="403">
        <f t="shared" ref="L207:V207" si="78">+L196+L202</f>
        <v>0</v>
      </c>
      <c r="M207" s="403">
        <f t="shared" si="78"/>
        <v>0</v>
      </c>
      <c r="N207" s="403">
        <f t="shared" si="78"/>
        <v>4984.5500000000011</v>
      </c>
      <c r="O207" s="403">
        <f t="shared" si="78"/>
        <v>3544.7400000000002</v>
      </c>
      <c r="P207" s="403">
        <f t="shared" si="78"/>
        <v>3241.0099999999998</v>
      </c>
      <c r="Q207" s="403">
        <f t="shared" si="78"/>
        <v>4515.1099999999979</v>
      </c>
      <c r="R207" s="403">
        <f t="shared" si="78"/>
        <v>6146.9799999999987</v>
      </c>
      <c r="S207" s="403">
        <f t="shared" si="78"/>
        <v>6896.1999999999989</v>
      </c>
      <c r="T207" s="403">
        <f t="shared" si="78"/>
        <v>7454.11</v>
      </c>
      <c r="U207" s="403">
        <f t="shared" si="78"/>
        <v>6890.2699999999995</v>
      </c>
      <c r="V207" s="403">
        <f t="shared" si="78"/>
        <v>5752.91</v>
      </c>
      <c r="W207" s="403"/>
      <c r="X207" s="405">
        <f>X202+X196</f>
        <v>57086.119999999995</v>
      </c>
      <c r="Y207" s="416"/>
      <c r="Z207" s="416"/>
      <c r="AA207" s="233"/>
      <c r="AB207" s="233"/>
      <c r="AC207" s="232"/>
      <c r="AD207" s="232"/>
      <c r="AE207" s="232"/>
      <c r="AF207" s="232"/>
      <c r="AG207" s="232"/>
      <c r="AH207" s="232"/>
      <c r="AI207" s="232"/>
      <c r="AJ207" s="232"/>
      <c r="AK207" s="232"/>
      <c r="AL207" s="232"/>
    </row>
    <row r="208" spans="1:41" s="242" customFormat="1">
      <c r="B208" s="216"/>
      <c r="C208" s="216"/>
      <c r="D208" s="216"/>
      <c r="E208" s="223"/>
      <c r="F208" s="231"/>
      <c r="G208" s="231"/>
      <c r="H208" s="231"/>
      <c r="I208" s="231"/>
      <c r="J208" s="245"/>
      <c r="K208" s="231"/>
      <c r="L208" s="231"/>
      <c r="M208" s="231"/>
      <c r="N208" s="231"/>
      <c r="O208" s="231"/>
      <c r="P208" s="231"/>
      <c r="Q208" s="231"/>
      <c r="R208" s="231"/>
      <c r="S208" s="231"/>
      <c r="T208" s="231"/>
      <c r="U208" s="231"/>
      <c r="V208" s="231"/>
      <c r="W208" s="231"/>
      <c r="X208" s="388"/>
      <c r="Y208" s="417"/>
      <c r="Z208" s="417"/>
      <c r="AA208" s="233"/>
      <c r="AB208" s="233"/>
      <c r="AC208" s="232"/>
      <c r="AD208" s="232"/>
      <c r="AE208" s="232"/>
      <c r="AF208" s="232"/>
      <c r="AG208" s="232"/>
      <c r="AH208" s="232"/>
      <c r="AI208" s="232"/>
      <c r="AJ208" s="232"/>
      <c r="AK208" s="232"/>
      <c r="AL208" s="232"/>
    </row>
    <row r="209" spans="1:40">
      <c r="F209" s="231"/>
      <c r="G209" s="231"/>
      <c r="H209" s="231"/>
      <c r="I209" s="231"/>
      <c r="K209" s="231"/>
      <c r="L209" s="231"/>
      <c r="M209" s="231"/>
      <c r="N209" s="231"/>
      <c r="O209" s="231"/>
      <c r="P209" s="231"/>
      <c r="Q209" s="231"/>
      <c r="R209" s="231"/>
      <c r="S209" s="231"/>
      <c r="T209" s="231"/>
      <c r="U209" s="231"/>
      <c r="V209" s="231"/>
      <c r="W209" s="231"/>
      <c r="X209" s="388"/>
      <c r="AA209" s="233"/>
      <c r="AB209" s="233"/>
      <c r="AC209" s="232"/>
      <c r="AD209" s="232"/>
      <c r="AE209" s="232"/>
      <c r="AF209" s="232"/>
      <c r="AG209" s="232"/>
      <c r="AH209" s="232"/>
      <c r="AI209" s="232"/>
      <c r="AJ209" s="232"/>
      <c r="AK209" s="232"/>
      <c r="AL209" s="232"/>
    </row>
    <row r="210" spans="1:40">
      <c r="B210" s="226" t="s">
        <v>144</v>
      </c>
      <c r="C210" s="226"/>
      <c r="D210" s="226"/>
      <c r="F210" s="231"/>
      <c r="G210" s="231"/>
      <c r="H210" s="231"/>
      <c r="I210" s="231"/>
      <c r="J210" s="227"/>
      <c r="K210" s="231"/>
      <c r="L210" s="231"/>
      <c r="M210" s="231"/>
      <c r="N210" s="231"/>
      <c r="O210" s="231"/>
      <c r="P210" s="231"/>
      <c r="Q210" s="231"/>
      <c r="R210" s="231"/>
      <c r="S210" s="231"/>
      <c r="T210" s="231"/>
      <c r="U210" s="231"/>
      <c r="V210" s="231"/>
      <c r="W210" s="231"/>
      <c r="X210" s="388"/>
      <c r="Y210" s="414"/>
      <c r="Z210" s="414"/>
      <c r="AA210" s="233"/>
      <c r="AB210" s="233"/>
      <c r="AC210" s="232"/>
      <c r="AD210" s="232"/>
      <c r="AE210" s="232"/>
      <c r="AF210" s="232"/>
      <c r="AG210" s="232"/>
      <c r="AH210" s="232"/>
      <c r="AI210" s="232"/>
      <c r="AJ210" s="232"/>
      <c r="AK210" s="232"/>
      <c r="AL210" s="232"/>
    </row>
    <row r="211" spans="1:40">
      <c r="B211" s="226"/>
      <c r="C211" s="226"/>
      <c r="D211" s="226"/>
      <c r="F211" s="231"/>
      <c r="G211" s="231"/>
      <c r="H211" s="231"/>
      <c r="I211" s="231"/>
      <c r="J211" s="227"/>
      <c r="K211" s="231"/>
      <c r="L211" s="231"/>
      <c r="M211" s="231"/>
      <c r="N211" s="231"/>
      <c r="O211" s="231"/>
      <c r="P211" s="231"/>
      <c r="Q211" s="231"/>
      <c r="R211" s="231"/>
      <c r="S211" s="231"/>
      <c r="T211" s="231"/>
      <c r="U211" s="231"/>
      <c r="V211" s="231"/>
      <c r="W211" s="231"/>
      <c r="X211" s="388"/>
      <c r="Y211" s="414"/>
      <c r="Z211" s="414"/>
      <c r="AA211" s="233"/>
      <c r="AB211" s="233"/>
      <c r="AC211" s="232"/>
      <c r="AD211" s="232"/>
      <c r="AE211" s="232"/>
      <c r="AF211" s="232"/>
      <c r="AG211" s="232"/>
      <c r="AH211" s="232"/>
      <c r="AI211" s="232"/>
      <c r="AJ211" s="232"/>
      <c r="AK211" s="232"/>
      <c r="AL211" s="232"/>
    </row>
    <row r="212" spans="1:40">
      <c r="B212" s="239" t="s">
        <v>145</v>
      </c>
      <c r="C212" s="230"/>
      <c r="D212" s="230"/>
      <c r="F212" s="231"/>
      <c r="G212" s="231"/>
      <c r="H212" s="231"/>
      <c r="I212" s="231"/>
      <c r="J212" s="252"/>
      <c r="K212" s="231"/>
      <c r="L212" s="231"/>
      <c r="M212" s="231"/>
      <c r="N212" s="231"/>
      <c r="O212" s="231"/>
      <c r="P212" s="231"/>
      <c r="Q212" s="231"/>
      <c r="R212" s="231"/>
      <c r="S212" s="231"/>
      <c r="T212" s="231"/>
      <c r="U212" s="231"/>
      <c r="V212" s="231"/>
      <c r="W212" s="231"/>
      <c r="X212" s="388"/>
      <c r="Y212" s="418"/>
      <c r="Z212" s="418"/>
      <c r="AA212" s="233"/>
      <c r="AB212" s="233"/>
      <c r="AC212" s="232"/>
      <c r="AD212" s="232"/>
      <c r="AE212" s="232"/>
      <c r="AF212" s="232"/>
      <c r="AG212" s="232"/>
      <c r="AH212" s="232"/>
      <c r="AI212" s="232"/>
      <c r="AJ212" s="232"/>
      <c r="AK212" s="232"/>
      <c r="AL212" s="232"/>
    </row>
    <row r="213" spans="1:40">
      <c r="A213" s="218" t="str">
        <f>$A$1&amp;"Rolloff"&amp;B213</f>
        <v>PIERCE EA UTCRolloffHAUL10-RO</v>
      </c>
      <c r="B213" s="230" t="s">
        <v>712</v>
      </c>
      <c r="C213" s="230" t="s">
        <v>776</v>
      </c>
      <c r="D213" s="230" t="s">
        <v>508</v>
      </c>
      <c r="E213" s="380">
        <v>31000</v>
      </c>
      <c r="F213" s="231">
        <v>150</v>
      </c>
      <c r="G213" s="231">
        <v>150</v>
      </c>
      <c r="H213" s="231">
        <v>150</v>
      </c>
      <c r="I213" s="231">
        <v>150</v>
      </c>
      <c r="J213" s="231"/>
      <c r="K213" s="231"/>
      <c r="L213" s="231">
        <v>0</v>
      </c>
      <c r="M213" s="231">
        <v>0</v>
      </c>
      <c r="N213" s="231">
        <v>0</v>
      </c>
      <c r="O213" s="231">
        <v>0</v>
      </c>
      <c r="P213" s="231">
        <v>0</v>
      </c>
      <c r="Q213" s="231">
        <v>0</v>
      </c>
      <c r="R213" s="231">
        <v>0</v>
      </c>
      <c r="S213" s="231">
        <v>0</v>
      </c>
      <c r="T213" s="231">
        <v>0</v>
      </c>
      <c r="U213" s="231">
        <v>0</v>
      </c>
      <c r="V213" s="231">
        <v>0</v>
      </c>
      <c r="W213" s="231"/>
      <c r="X213" s="388">
        <f t="shared" ref="X213:X257" si="79">SUM(K213:V213)</f>
        <v>0</v>
      </c>
      <c r="Y213" s="389"/>
      <c r="Z213" s="389"/>
      <c r="AA213" s="233"/>
      <c r="AB213" s="233"/>
      <c r="AC213" s="233">
        <f t="shared" ref="AC213:AC257" si="80">IFERROR(N213/$G213,0)</f>
        <v>0</v>
      </c>
      <c r="AD213" s="233">
        <f t="shared" ref="AD213:AD257" si="81">IFERROR(O213/$G213,0)</f>
        <v>0</v>
      </c>
      <c r="AE213" s="232">
        <f t="shared" ref="AE213:AE257" si="82">IFERROR(P213/$H213,0)</f>
        <v>0</v>
      </c>
      <c r="AF213" s="232">
        <f t="shared" ref="AF213:AF257" si="83">IFERROR(Q213/$H213,0)</f>
        <v>0</v>
      </c>
      <c r="AG213" s="232">
        <f t="shared" ref="AG213:AG257" si="84">IFERROR(R213/$H213,0)</f>
        <v>0</v>
      </c>
      <c r="AH213" s="232">
        <f t="shared" ref="AH213:AH257" si="85">IFERROR(S213/$H213,0)</f>
        <v>0</v>
      </c>
      <c r="AI213" s="232">
        <f t="shared" ref="AI213:AI257" si="86">IFERROR(T213/$H213,0)</f>
        <v>0</v>
      </c>
      <c r="AJ213" s="232">
        <f t="shared" ref="AJ213:AJ257" si="87">IFERROR(U213/$H213,0)</f>
        <v>0</v>
      </c>
      <c r="AK213" s="232">
        <f t="shared" ref="AK213:AK257" si="88">IFERROR(V213/$H213,0)</f>
        <v>0</v>
      </c>
      <c r="AL213" s="232">
        <f>IFERROR(#REF!/$H213,0)</f>
        <v>0</v>
      </c>
      <c r="AM213" s="234">
        <f t="shared" ref="AM213:AM257" si="89">AVERAGE(Z213:AL213)</f>
        <v>0</v>
      </c>
      <c r="AN213" s="234">
        <f t="shared" ref="AN213:AN257" si="90">+SUM(AA213:AK213)</f>
        <v>0</v>
      </c>
    </row>
    <row r="214" spans="1:40">
      <c r="A214" s="218" t="str">
        <f>$A$1&amp;"Rolloff"&amp;B214</f>
        <v>PIERCE EA UTCRolloffHAUL20-RO</v>
      </c>
      <c r="B214" s="230" t="s">
        <v>509</v>
      </c>
      <c r="C214" s="230" t="s">
        <v>510</v>
      </c>
      <c r="D214" s="230" t="s">
        <v>508</v>
      </c>
      <c r="E214" s="380">
        <v>31000</v>
      </c>
      <c r="F214" s="231">
        <v>152</v>
      </c>
      <c r="G214" s="231">
        <v>152</v>
      </c>
      <c r="H214" s="231">
        <v>150.56</v>
      </c>
      <c r="I214" s="231">
        <v>150.56</v>
      </c>
      <c r="J214" s="231"/>
      <c r="K214" s="231"/>
      <c r="L214" s="231">
        <v>0</v>
      </c>
      <c r="M214" s="231">
        <v>0</v>
      </c>
      <c r="N214" s="231">
        <v>0</v>
      </c>
      <c r="O214" s="231">
        <v>0</v>
      </c>
      <c r="P214" s="231">
        <v>0</v>
      </c>
      <c r="Q214" s="231">
        <v>0</v>
      </c>
      <c r="R214" s="231">
        <v>0</v>
      </c>
      <c r="S214" s="231">
        <v>0</v>
      </c>
      <c r="T214" s="231">
        <v>0</v>
      </c>
      <c r="U214" s="231">
        <v>0</v>
      </c>
      <c r="V214" s="231">
        <v>0</v>
      </c>
      <c r="W214" s="231"/>
      <c r="X214" s="388">
        <f t="shared" si="79"/>
        <v>0</v>
      </c>
      <c r="Y214" s="389"/>
      <c r="Z214" s="389"/>
      <c r="AA214" s="233"/>
      <c r="AB214" s="233"/>
      <c r="AC214" s="233">
        <f t="shared" si="80"/>
        <v>0</v>
      </c>
      <c r="AD214" s="233">
        <f t="shared" si="81"/>
        <v>0</v>
      </c>
      <c r="AE214" s="232">
        <f t="shared" si="82"/>
        <v>0</v>
      </c>
      <c r="AF214" s="232">
        <f t="shared" si="83"/>
        <v>0</v>
      </c>
      <c r="AG214" s="232">
        <f t="shared" si="84"/>
        <v>0</v>
      </c>
      <c r="AH214" s="232">
        <f t="shared" si="85"/>
        <v>0</v>
      </c>
      <c r="AI214" s="232">
        <f t="shared" si="86"/>
        <v>0</v>
      </c>
      <c r="AJ214" s="232">
        <f t="shared" si="87"/>
        <v>0</v>
      </c>
      <c r="AK214" s="232">
        <f t="shared" si="88"/>
        <v>0</v>
      </c>
      <c r="AL214" s="232">
        <f>IFERROR(#REF!/$H214,0)</f>
        <v>0</v>
      </c>
      <c r="AM214" s="234">
        <f t="shared" si="89"/>
        <v>0</v>
      </c>
      <c r="AN214" s="234">
        <f t="shared" si="90"/>
        <v>0</v>
      </c>
    </row>
    <row r="215" spans="1:40">
      <c r="A215" s="218" t="str">
        <f>$A$1&amp;"Rolloff"&amp;B215</f>
        <v>PIERCE EA UTCRolloffHAUL30-RO</v>
      </c>
      <c r="B215" s="230" t="s">
        <v>511</v>
      </c>
      <c r="C215" s="230" t="s">
        <v>512</v>
      </c>
      <c r="D215" s="230" t="s">
        <v>508</v>
      </c>
      <c r="E215" s="380">
        <v>31000</v>
      </c>
      <c r="F215" s="231">
        <v>159</v>
      </c>
      <c r="G215" s="231">
        <v>159</v>
      </c>
      <c r="H215" s="231">
        <v>157.5</v>
      </c>
      <c r="I215" s="231">
        <v>157.5</v>
      </c>
      <c r="J215" s="231"/>
      <c r="K215" s="231"/>
      <c r="L215" s="231">
        <v>0</v>
      </c>
      <c r="M215" s="231">
        <v>0</v>
      </c>
      <c r="N215" s="231">
        <v>0</v>
      </c>
      <c r="O215" s="231">
        <v>0</v>
      </c>
      <c r="P215" s="231">
        <v>0</v>
      </c>
      <c r="Q215" s="231">
        <v>0</v>
      </c>
      <c r="R215" s="231">
        <v>0</v>
      </c>
      <c r="S215" s="231">
        <v>0</v>
      </c>
      <c r="T215" s="231">
        <v>0</v>
      </c>
      <c r="U215" s="231">
        <v>0</v>
      </c>
      <c r="V215" s="231">
        <v>0</v>
      </c>
      <c r="W215" s="231"/>
      <c r="X215" s="388">
        <f t="shared" si="79"/>
        <v>0</v>
      </c>
      <c r="Y215" s="389"/>
      <c r="Z215" s="389"/>
      <c r="AA215" s="233"/>
      <c r="AB215" s="233"/>
      <c r="AC215" s="233">
        <f t="shared" si="80"/>
        <v>0</v>
      </c>
      <c r="AD215" s="233">
        <f t="shared" si="81"/>
        <v>0</v>
      </c>
      <c r="AE215" s="232">
        <f t="shared" si="82"/>
        <v>0</v>
      </c>
      <c r="AF215" s="232">
        <f t="shared" si="83"/>
        <v>0</v>
      </c>
      <c r="AG215" s="232">
        <f t="shared" si="84"/>
        <v>0</v>
      </c>
      <c r="AH215" s="232">
        <f t="shared" si="85"/>
        <v>0</v>
      </c>
      <c r="AI215" s="232">
        <f t="shared" si="86"/>
        <v>0</v>
      </c>
      <c r="AJ215" s="232">
        <f t="shared" si="87"/>
        <v>0</v>
      </c>
      <c r="AK215" s="232">
        <f t="shared" si="88"/>
        <v>0</v>
      </c>
      <c r="AL215" s="232">
        <f>IFERROR(#REF!/$H215,0)</f>
        <v>0</v>
      </c>
      <c r="AM215" s="234">
        <f t="shared" si="89"/>
        <v>0</v>
      </c>
      <c r="AN215" s="234">
        <f t="shared" si="90"/>
        <v>0</v>
      </c>
    </row>
    <row r="216" spans="1:40">
      <c r="A216" s="218" t="str">
        <f>$A$1&amp;"Rolloff"&amp;B216</f>
        <v>PIERCE EA UTCRolloffHAUL40-RO</v>
      </c>
      <c r="B216" s="230" t="s">
        <v>513</v>
      </c>
      <c r="C216" s="230" t="s">
        <v>514</v>
      </c>
      <c r="D216" s="230" t="s">
        <v>508</v>
      </c>
      <c r="E216" s="380">
        <v>31000</v>
      </c>
      <c r="F216" s="231">
        <v>165</v>
      </c>
      <c r="G216" s="231">
        <v>165</v>
      </c>
      <c r="H216" s="231">
        <v>163.44</v>
      </c>
      <c r="I216" s="231">
        <v>163.44</v>
      </c>
      <c r="J216" s="231"/>
      <c r="K216" s="231"/>
      <c r="L216" s="231">
        <v>0</v>
      </c>
      <c r="M216" s="231">
        <v>0</v>
      </c>
      <c r="N216" s="231">
        <v>0</v>
      </c>
      <c r="O216" s="231">
        <v>0</v>
      </c>
      <c r="P216" s="231">
        <v>0</v>
      </c>
      <c r="Q216" s="231">
        <v>0</v>
      </c>
      <c r="R216" s="231">
        <v>0</v>
      </c>
      <c r="S216" s="231">
        <v>0</v>
      </c>
      <c r="T216" s="231">
        <v>0</v>
      </c>
      <c r="U216" s="231">
        <v>0</v>
      </c>
      <c r="V216" s="231">
        <v>0</v>
      </c>
      <c r="W216" s="231"/>
      <c r="X216" s="388">
        <f t="shared" si="79"/>
        <v>0</v>
      </c>
      <c r="Y216" s="389"/>
      <c r="Z216" s="389"/>
      <c r="AA216" s="233"/>
      <c r="AB216" s="233"/>
      <c r="AC216" s="233">
        <f t="shared" si="80"/>
        <v>0</v>
      </c>
      <c r="AD216" s="233">
        <f t="shared" si="81"/>
        <v>0</v>
      </c>
      <c r="AE216" s="232">
        <f t="shared" si="82"/>
        <v>0</v>
      </c>
      <c r="AF216" s="232">
        <f t="shared" si="83"/>
        <v>0</v>
      </c>
      <c r="AG216" s="232">
        <f t="shared" si="84"/>
        <v>0</v>
      </c>
      <c r="AH216" s="232">
        <f t="shared" si="85"/>
        <v>0</v>
      </c>
      <c r="AI216" s="232">
        <f t="shared" si="86"/>
        <v>0</v>
      </c>
      <c r="AJ216" s="232">
        <f t="shared" si="87"/>
        <v>0</v>
      </c>
      <c r="AK216" s="232">
        <f t="shared" si="88"/>
        <v>0</v>
      </c>
      <c r="AL216" s="232">
        <f>IFERROR(#REF!/$H216,0)</f>
        <v>0</v>
      </c>
      <c r="AM216" s="234">
        <f t="shared" si="89"/>
        <v>0</v>
      </c>
      <c r="AN216" s="234">
        <f t="shared" si="90"/>
        <v>0</v>
      </c>
    </row>
    <row r="217" spans="1:40">
      <c r="A217" s="218" t="str">
        <f>$A$1&amp;"Rolloff"&amp;B217</f>
        <v>PIERCE EA UTCRolloffHAUL20CUST-RO</v>
      </c>
      <c r="B217" s="230" t="s">
        <v>515</v>
      </c>
      <c r="C217" s="230" t="s">
        <v>777</v>
      </c>
      <c r="D217" s="230"/>
      <c r="F217" s="231">
        <v>152</v>
      </c>
      <c r="G217" s="231">
        <v>152</v>
      </c>
      <c r="H217" s="231">
        <v>150.56</v>
      </c>
      <c r="I217" s="231">
        <v>150.56</v>
      </c>
      <c r="J217" s="231"/>
      <c r="K217" s="231"/>
      <c r="L217" s="231">
        <v>0</v>
      </c>
      <c r="M217" s="231">
        <v>0</v>
      </c>
      <c r="N217" s="231">
        <v>0</v>
      </c>
      <c r="O217" s="231">
        <v>0</v>
      </c>
      <c r="P217" s="231">
        <v>0</v>
      </c>
      <c r="Q217" s="231">
        <v>0</v>
      </c>
      <c r="R217" s="231">
        <v>0</v>
      </c>
      <c r="S217" s="231">
        <v>0</v>
      </c>
      <c r="T217" s="231">
        <v>0</v>
      </c>
      <c r="U217" s="231">
        <v>0</v>
      </c>
      <c r="V217" s="231">
        <v>0</v>
      </c>
      <c r="W217" s="231"/>
      <c r="X217" s="388">
        <f t="shared" si="79"/>
        <v>0</v>
      </c>
      <c r="Y217" s="389"/>
      <c r="Z217" s="389"/>
      <c r="AA217" s="233"/>
      <c r="AB217" s="233"/>
      <c r="AC217" s="233">
        <f t="shared" si="80"/>
        <v>0</v>
      </c>
      <c r="AD217" s="233">
        <f t="shared" si="81"/>
        <v>0</v>
      </c>
      <c r="AE217" s="232">
        <f t="shared" si="82"/>
        <v>0</v>
      </c>
      <c r="AF217" s="232">
        <f t="shared" si="83"/>
        <v>0</v>
      </c>
      <c r="AG217" s="232">
        <f t="shared" si="84"/>
        <v>0</v>
      </c>
      <c r="AH217" s="232">
        <f t="shared" si="85"/>
        <v>0</v>
      </c>
      <c r="AI217" s="232">
        <f t="shared" si="86"/>
        <v>0</v>
      </c>
      <c r="AJ217" s="232">
        <f t="shared" si="87"/>
        <v>0</v>
      </c>
      <c r="AK217" s="232">
        <f t="shared" si="88"/>
        <v>0</v>
      </c>
      <c r="AL217" s="232">
        <f>IFERROR(#REF!/$H217,0)</f>
        <v>0</v>
      </c>
      <c r="AM217" s="234">
        <f t="shared" si="89"/>
        <v>0</v>
      </c>
      <c r="AN217" s="234">
        <f t="shared" si="90"/>
        <v>0</v>
      </c>
    </row>
    <row r="218" spans="1:40">
      <c r="A218" s="218" t="str">
        <f>$A$1&amp;"Rolloff"&amp;B218</f>
        <v>PIERCE EA UTCRolloffFINAL20-RO</v>
      </c>
      <c r="B218" s="230" t="s">
        <v>516</v>
      </c>
      <c r="C218" s="230" t="s">
        <v>517</v>
      </c>
      <c r="D218" s="230" t="s">
        <v>508</v>
      </c>
      <c r="E218" s="380">
        <v>31000</v>
      </c>
      <c r="F218" s="231">
        <v>152</v>
      </c>
      <c r="G218" s="231">
        <v>152</v>
      </c>
      <c r="H218" s="231">
        <v>150.56</v>
      </c>
      <c r="I218" s="231">
        <v>150.56</v>
      </c>
      <c r="J218" s="231"/>
      <c r="K218" s="231"/>
      <c r="L218" s="231">
        <v>0</v>
      </c>
      <c r="M218" s="231">
        <v>0</v>
      </c>
      <c r="N218" s="231">
        <v>0</v>
      </c>
      <c r="O218" s="231">
        <v>0</v>
      </c>
      <c r="P218" s="231">
        <v>0</v>
      </c>
      <c r="Q218" s="231">
        <v>0</v>
      </c>
      <c r="R218" s="231">
        <v>0</v>
      </c>
      <c r="S218" s="231">
        <v>0</v>
      </c>
      <c r="T218" s="231">
        <v>0</v>
      </c>
      <c r="U218" s="231">
        <v>0</v>
      </c>
      <c r="V218" s="231">
        <v>0</v>
      </c>
      <c r="W218" s="231"/>
      <c r="X218" s="388">
        <f t="shared" si="79"/>
        <v>0</v>
      </c>
      <c r="Y218" s="389"/>
      <c r="Z218" s="389"/>
      <c r="AA218" s="233"/>
      <c r="AB218" s="233"/>
      <c r="AC218" s="233">
        <f t="shared" si="80"/>
        <v>0</v>
      </c>
      <c r="AD218" s="233">
        <f t="shared" si="81"/>
        <v>0</v>
      </c>
      <c r="AE218" s="232">
        <f t="shared" si="82"/>
        <v>0</v>
      </c>
      <c r="AF218" s="232">
        <f t="shared" si="83"/>
        <v>0</v>
      </c>
      <c r="AG218" s="232">
        <f t="shared" si="84"/>
        <v>0</v>
      </c>
      <c r="AH218" s="232">
        <f t="shared" si="85"/>
        <v>0</v>
      </c>
      <c r="AI218" s="232">
        <f t="shared" si="86"/>
        <v>0</v>
      </c>
      <c r="AJ218" s="232">
        <f t="shared" si="87"/>
        <v>0</v>
      </c>
      <c r="AK218" s="232">
        <f t="shared" si="88"/>
        <v>0</v>
      </c>
      <c r="AL218" s="232">
        <f>IFERROR(#REF!/$H218,0)</f>
        <v>0</v>
      </c>
      <c r="AM218" s="234">
        <f t="shared" si="89"/>
        <v>0</v>
      </c>
      <c r="AN218" s="234">
        <f t="shared" si="90"/>
        <v>0</v>
      </c>
    </row>
    <row r="219" spans="1:40">
      <c r="A219" s="218" t="str">
        <f>$A$1&amp;"Rolloff"&amp;B219</f>
        <v>PIERCE EA UTCRolloffFINAL30-RO</v>
      </c>
      <c r="B219" s="230" t="s">
        <v>518</v>
      </c>
      <c r="C219" s="230" t="s">
        <v>519</v>
      </c>
      <c r="D219" s="230" t="s">
        <v>508</v>
      </c>
      <c r="E219" s="380">
        <v>31000</v>
      </c>
      <c r="F219" s="231">
        <v>159</v>
      </c>
      <c r="G219" s="231">
        <v>159</v>
      </c>
      <c r="H219" s="231">
        <v>157.5</v>
      </c>
      <c r="I219" s="231">
        <v>157.5</v>
      </c>
      <c r="J219" s="231"/>
      <c r="K219" s="231"/>
      <c r="L219" s="231">
        <v>0</v>
      </c>
      <c r="M219" s="231">
        <v>0</v>
      </c>
      <c r="N219" s="231">
        <v>0</v>
      </c>
      <c r="O219" s="231">
        <v>0</v>
      </c>
      <c r="P219" s="231">
        <v>0</v>
      </c>
      <c r="Q219" s="231">
        <v>0</v>
      </c>
      <c r="R219" s="231">
        <v>0</v>
      </c>
      <c r="S219" s="231">
        <v>0</v>
      </c>
      <c r="T219" s="231">
        <v>0</v>
      </c>
      <c r="U219" s="231">
        <v>0</v>
      </c>
      <c r="V219" s="231">
        <v>0</v>
      </c>
      <c r="W219" s="231"/>
      <c r="X219" s="388">
        <f t="shared" si="79"/>
        <v>0</v>
      </c>
      <c r="Y219" s="389"/>
      <c r="Z219" s="389"/>
      <c r="AA219" s="233"/>
      <c r="AB219" s="233"/>
      <c r="AC219" s="233">
        <f t="shared" si="80"/>
        <v>0</v>
      </c>
      <c r="AD219" s="233">
        <f t="shared" si="81"/>
        <v>0</v>
      </c>
      <c r="AE219" s="232">
        <f t="shared" si="82"/>
        <v>0</v>
      </c>
      <c r="AF219" s="232">
        <f t="shared" si="83"/>
        <v>0</v>
      </c>
      <c r="AG219" s="232">
        <f t="shared" si="84"/>
        <v>0</v>
      </c>
      <c r="AH219" s="232">
        <f t="shared" si="85"/>
        <v>0</v>
      </c>
      <c r="AI219" s="232">
        <f t="shared" si="86"/>
        <v>0</v>
      </c>
      <c r="AJ219" s="232">
        <f t="shared" si="87"/>
        <v>0</v>
      </c>
      <c r="AK219" s="232">
        <f t="shared" si="88"/>
        <v>0</v>
      </c>
      <c r="AL219" s="232">
        <f>IFERROR(#REF!/$H219,0)</f>
        <v>0</v>
      </c>
      <c r="AM219" s="234">
        <f t="shared" si="89"/>
        <v>0</v>
      </c>
      <c r="AN219" s="234">
        <f t="shared" si="90"/>
        <v>0</v>
      </c>
    </row>
    <row r="220" spans="1:40">
      <c r="A220" s="218" t="str">
        <f>$A$1&amp;"Rolloff"&amp;B220</f>
        <v>PIERCE EA UTCRolloffFINAL40-RO</v>
      </c>
      <c r="B220" s="230" t="s">
        <v>520</v>
      </c>
      <c r="C220" s="230" t="s">
        <v>521</v>
      </c>
      <c r="D220" s="230" t="s">
        <v>508</v>
      </c>
      <c r="E220" s="380">
        <v>31000</v>
      </c>
      <c r="F220" s="231">
        <v>165</v>
      </c>
      <c r="G220" s="231">
        <v>165</v>
      </c>
      <c r="H220" s="231">
        <v>163.44</v>
      </c>
      <c r="I220" s="231">
        <v>163.44</v>
      </c>
      <c r="J220" s="231"/>
      <c r="K220" s="231"/>
      <c r="L220" s="231">
        <v>0</v>
      </c>
      <c r="M220" s="231">
        <v>0</v>
      </c>
      <c r="N220" s="231">
        <v>0</v>
      </c>
      <c r="O220" s="231">
        <v>0</v>
      </c>
      <c r="P220" s="231">
        <v>0</v>
      </c>
      <c r="Q220" s="231">
        <v>0</v>
      </c>
      <c r="R220" s="231">
        <v>0</v>
      </c>
      <c r="S220" s="231">
        <v>0</v>
      </c>
      <c r="T220" s="231">
        <v>0</v>
      </c>
      <c r="U220" s="231">
        <v>0</v>
      </c>
      <c r="V220" s="231">
        <v>0</v>
      </c>
      <c r="W220" s="231"/>
      <c r="X220" s="388">
        <f t="shared" si="79"/>
        <v>0</v>
      </c>
      <c r="Y220" s="389"/>
      <c r="Z220" s="389"/>
      <c r="AA220" s="233"/>
      <c r="AB220" s="233"/>
      <c r="AC220" s="233">
        <f t="shared" si="80"/>
        <v>0</v>
      </c>
      <c r="AD220" s="233">
        <f t="shared" si="81"/>
        <v>0</v>
      </c>
      <c r="AE220" s="232">
        <f t="shared" si="82"/>
        <v>0</v>
      </c>
      <c r="AF220" s="232">
        <f t="shared" si="83"/>
        <v>0</v>
      </c>
      <c r="AG220" s="232">
        <f t="shared" si="84"/>
        <v>0</v>
      </c>
      <c r="AH220" s="232">
        <f t="shared" si="85"/>
        <v>0</v>
      </c>
      <c r="AI220" s="232">
        <f t="shared" si="86"/>
        <v>0</v>
      </c>
      <c r="AJ220" s="232">
        <f t="shared" si="87"/>
        <v>0</v>
      </c>
      <c r="AK220" s="232">
        <f t="shared" si="88"/>
        <v>0</v>
      </c>
      <c r="AL220" s="232">
        <f>IFERROR(#REF!/$H220,0)</f>
        <v>0</v>
      </c>
      <c r="AM220" s="234">
        <f t="shared" si="89"/>
        <v>0</v>
      </c>
      <c r="AN220" s="234">
        <f t="shared" si="90"/>
        <v>0</v>
      </c>
    </row>
    <row r="221" spans="1:40">
      <c r="A221" s="218" t="str">
        <f>$A$1&amp;"Rolloff"&amp;B221</f>
        <v>PIERCE EA UTCRolloffHAUL10-CP</v>
      </c>
      <c r="B221" s="230" t="s">
        <v>522</v>
      </c>
      <c r="C221" s="230" t="s">
        <v>523</v>
      </c>
      <c r="D221" s="230"/>
      <c r="F221" s="231">
        <v>159</v>
      </c>
      <c r="G221" s="231">
        <v>159</v>
      </c>
      <c r="H221" s="231">
        <v>157.5</v>
      </c>
      <c r="I221" s="231">
        <v>157.5</v>
      </c>
      <c r="J221" s="231"/>
      <c r="K221" s="231"/>
      <c r="L221" s="231">
        <v>0</v>
      </c>
      <c r="M221" s="231">
        <v>0</v>
      </c>
      <c r="N221" s="231">
        <v>0</v>
      </c>
      <c r="O221" s="231">
        <v>0</v>
      </c>
      <c r="P221" s="231">
        <v>0</v>
      </c>
      <c r="Q221" s="231">
        <v>0</v>
      </c>
      <c r="R221" s="231">
        <v>0</v>
      </c>
      <c r="S221" s="231">
        <v>0</v>
      </c>
      <c r="T221" s="231">
        <v>0</v>
      </c>
      <c r="U221" s="231">
        <v>0</v>
      </c>
      <c r="V221" s="231">
        <v>0</v>
      </c>
      <c r="W221" s="231"/>
      <c r="X221" s="388">
        <f t="shared" si="79"/>
        <v>0</v>
      </c>
      <c r="Y221" s="389"/>
      <c r="Z221" s="389"/>
      <c r="AA221" s="233"/>
      <c r="AB221" s="233"/>
      <c r="AC221" s="233">
        <f t="shared" si="80"/>
        <v>0</v>
      </c>
      <c r="AD221" s="233">
        <f t="shared" si="81"/>
        <v>0</v>
      </c>
      <c r="AE221" s="232">
        <f t="shared" si="82"/>
        <v>0</v>
      </c>
      <c r="AF221" s="232">
        <f t="shared" si="83"/>
        <v>0</v>
      </c>
      <c r="AG221" s="232">
        <f t="shared" si="84"/>
        <v>0</v>
      </c>
      <c r="AH221" s="232">
        <f t="shared" si="85"/>
        <v>0</v>
      </c>
      <c r="AI221" s="232">
        <f t="shared" si="86"/>
        <v>0</v>
      </c>
      <c r="AJ221" s="232">
        <f t="shared" si="87"/>
        <v>0</v>
      </c>
      <c r="AK221" s="232">
        <f t="shared" si="88"/>
        <v>0</v>
      </c>
      <c r="AL221" s="232">
        <f>IFERROR(#REF!/$H221,0)</f>
        <v>0</v>
      </c>
      <c r="AM221" s="234">
        <f t="shared" si="89"/>
        <v>0</v>
      </c>
      <c r="AN221" s="234">
        <f t="shared" si="90"/>
        <v>0</v>
      </c>
    </row>
    <row r="222" spans="1:40">
      <c r="A222" s="218" t="str">
        <f>$A$1&amp;"Rolloff"&amp;B222</f>
        <v>PIERCE EA UTCRolloffHAUL20-CP</v>
      </c>
      <c r="B222" s="230" t="s">
        <v>524</v>
      </c>
      <c r="C222" s="230" t="s">
        <v>525</v>
      </c>
      <c r="D222" s="230" t="s">
        <v>508</v>
      </c>
      <c r="E222" s="380">
        <v>31000</v>
      </c>
      <c r="F222" s="231">
        <v>179</v>
      </c>
      <c r="G222" s="231">
        <v>179</v>
      </c>
      <c r="H222" s="231">
        <v>177.31</v>
      </c>
      <c r="I222" s="231">
        <v>177.31</v>
      </c>
      <c r="J222" s="231"/>
      <c r="K222" s="231"/>
      <c r="L222" s="231">
        <v>0</v>
      </c>
      <c r="M222" s="231">
        <v>0</v>
      </c>
      <c r="N222" s="231">
        <v>0</v>
      </c>
      <c r="O222" s="231">
        <v>0</v>
      </c>
      <c r="P222" s="231">
        <v>0</v>
      </c>
      <c r="Q222" s="231">
        <v>0</v>
      </c>
      <c r="R222" s="231">
        <v>0</v>
      </c>
      <c r="S222" s="231">
        <v>0</v>
      </c>
      <c r="T222" s="231">
        <v>0</v>
      </c>
      <c r="U222" s="231">
        <v>0</v>
      </c>
      <c r="V222" s="231">
        <v>0</v>
      </c>
      <c r="W222" s="231"/>
      <c r="X222" s="388">
        <f t="shared" si="79"/>
        <v>0</v>
      </c>
      <c r="Y222" s="389"/>
      <c r="Z222" s="389"/>
      <c r="AA222" s="233"/>
      <c r="AB222" s="233"/>
      <c r="AC222" s="233">
        <f t="shared" si="80"/>
        <v>0</v>
      </c>
      <c r="AD222" s="233">
        <f t="shared" si="81"/>
        <v>0</v>
      </c>
      <c r="AE222" s="232">
        <f t="shared" si="82"/>
        <v>0</v>
      </c>
      <c r="AF222" s="232">
        <f t="shared" si="83"/>
        <v>0</v>
      </c>
      <c r="AG222" s="232">
        <f t="shared" si="84"/>
        <v>0</v>
      </c>
      <c r="AH222" s="232">
        <f t="shared" si="85"/>
        <v>0</v>
      </c>
      <c r="AI222" s="232">
        <f t="shared" si="86"/>
        <v>0</v>
      </c>
      <c r="AJ222" s="232">
        <f t="shared" si="87"/>
        <v>0</v>
      </c>
      <c r="AK222" s="232">
        <f t="shared" si="88"/>
        <v>0</v>
      </c>
      <c r="AL222" s="232">
        <f>IFERROR(#REF!/$H222,0)</f>
        <v>0</v>
      </c>
      <c r="AM222" s="234">
        <f t="shared" si="89"/>
        <v>0</v>
      </c>
      <c r="AN222" s="234">
        <f t="shared" si="90"/>
        <v>0</v>
      </c>
    </row>
    <row r="223" spans="1:40">
      <c r="A223" s="218" t="str">
        <f>$A$1&amp;"Rolloff"&amp;B223</f>
        <v>PIERCE EA UTCRolloffHAUL25-CP</v>
      </c>
      <c r="B223" s="230" t="s">
        <v>526</v>
      </c>
      <c r="C223" s="230" t="s">
        <v>527</v>
      </c>
      <c r="D223" s="230" t="s">
        <v>508</v>
      </c>
      <c r="E223" s="380">
        <v>31000</v>
      </c>
      <c r="F223" s="231">
        <v>198.5</v>
      </c>
      <c r="G223" s="231">
        <v>198.5</v>
      </c>
      <c r="H223" s="231">
        <v>196.63</v>
      </c>
      <c r="I223" s="231">
        <v>196.63</v>
      </c>
      <c r="J223" s="231"/>
      <c r="K223" s="231"/>
      <c r="L223" s="231">
        <v>0</v>
      </c>
      <c r="M223" s="231">
        <v>0</v>
      </c>
      <c r="N223" s="231">
        <v>0</v>
      </c>
      <c r="O223" s="231">
        <v>0</v>
      </c>
      <c r="P223" s="231">
        <v>0</v>
      </c>
      <c r="Q223" s="231">
        <v>0</v>
      </c>
      <c r="R223" s="231">
        <v>0</v>
      </c>
      <c r="S223" s="231">
        <v>0</v>
      </c>
      <c r="T223" s="231">
        <v>0</v>
      </c>
      <c r="U223" s="231">
        <v>0</v>
      </c>
      <c r="V223" s="231">
        <v>0</v>
      </c>
      <c r="W223" s="231"/>
      <c r="X223" s="388">
        <f t="shared" si="79"/>
        <v>0</v>
      </c>
      <c r="Y223" s="389"/>
      <c r="Z223" s="389"/>
      <c r="AA223" s="233"/>
      <c r="AB223" s="233"/>
      <c r="AC223" s="233">
        <f t="shared" si="80"/>
        <v>0</v>
      </c>
      <c r="AD223" s="233">
        <f t="shared" si="81"/>
        <v>0</v>
      </c>
      <c r="AE223" s="232">
        <f t="shared" si="82"/>
        <v>0</v>
      </c>
      <c r="AF223" s="232">
        <f t="shared" si="83"/>
        <v>0</v>
      </c>
      <c r="AG223" s="232">
        <f t="shared" si="84"/>
        <v>0</v>
      </c>
      <c r="AH223" s="232">
        <f t="shared" si="85"/>
        <v>0</v>
      </c>
      <c r="AI223" s="232">
        <f t="shared" si="86"/>
        <v>0</v>
      </c>
      <c r="AJ223" s="232">
        <f t="shared" si="87"/>
        <v>0</v>
      </c>
      <c r="AK223" s="232">
        <f t="shared" si="88"/>
        <v>0</v>
      </c>
      <c r="AL223" s="232">
        <f>IFERROR(#REF!/$H223,0)</f>
        <v>0</v>
      </c>
      <c r="AM223" s="234">
        <f t="shared" si="89"/>
        <v>0</v>
      </c>
      <c r="AN223" s="234">
        <f t="shared" si="90"/>
        <v>0</v>
      </c>
    </row>
    <row r="224" spans="1:40">
      <c r="A224" s="218" t="str">
        <f>$A$1&amp;"Rolloff"&amp;B224</f>
        <v>PIERCE EA UTCRolloffHAUL30-CP</v>
      </c>
      <c r="B224" s="230" t="s">
        <v>528</v>
      </c>
      <c r="C224" s="230" t="s">
        <v>529</v>
      </c>
      <c r="D224" s="230" t="s">
        <v>508</v>
      </c>
      <c r="E224" s="380">
        <v>31000</v>
      </c>
      <c r="F224" s="231">
        <v>218.5</v>
      </c>
      <c r="G224" s="231">
        <v>218.5</v>
      </c>
      <c r="H224" s="231">
        <v>216.44</v>
      </c>
      <c r="I224" s="231">
        <v>216.44</v>
      </c>
      <c r="J224" s="231"/>
      <c r="K224" s="231"/>
      <c r="L224" s="231">
        <v>0</v>
      </c>
      <c r="M224" s="231">
        <v>0</v>
      </c>
      <c r="N224" s="231">
        <v>0</v>
      </c>
      <c r="O224" s="231">
        <v>0</v>
      </c>
      <c r="P224" s="231">
        <v>0</v>
      </c>
      <c r="Q224" s="231">
        <v>0</v>
      </c>
      <c r="R224" s="231">
        <v>0</v>
      </c>
      <c r="S224" s="231">
        <v>0</v>
      </c>
      <c r="T224" s="231">
        <v>0</v>
      </c>
      <c r="U224" s="231">
        <v>0</v>
      </c>
      <c r="V224" s="231">
        <v>0</v>
      </c>
      <c r="W224" s="231"/>
      <c r="X224" s="388">
        <f t="shared" si="79"/>
        <v>0</v>
      </c>
      <c r="Y224" s="389"/>
      <c r="Z224" s="389"/>
      <c r="AA224" s="233"/>
      <c r="AB224" s="233"/>
      <c r="AC224" s="233">
        <f t="shared" si="80"/>
        <v>0</v>
      </c>
      <c r="AD224" s="233">
        <f t="shared" si="81"/>
        <v>0</v>
      </c>
      <c r="AE224" s="232">
        <f t="shared" si="82"/>
        <v>0</v>
      </c>
      <c r="AF224" s="232">
        <f t="shared" si="83"/>
        <v>0</v>
      </c>
      <c r="AG224" s="232">
        <f t="shared" si="84"/>
        <v>0</v>
      </c>
      <c r="AH224" s="232">
        <f t="shared" si="85"/>
        <v>0</v>
      </c>
      <c r="AI224" s="232">
        <f t="shared" si="86"/>
        <v>0</v>
      </c>
      <c r="AJ224" s="232">
        <f t="shared" si="87"/>
        <v>0</v>
      </c>
      <c r="AK224" s="232">
        <f t="shared" si="88"/>
        <v>0</v>
      </c>
      <c r="AL224" s="232">
        <f>IFERROR(#REF!/$H224,0)</f>
        <v>0</v>
      </c>
      <c r="AM224" s="234">
        <f t="shared" si="89"/>
        <v>0</v>
      </c>
      <c r="AN224" s="234">
        <f t="shared" si="90"/>
        <v>0</v>
      </c>
    </row>
    <row r="225" spans="1:40">
      <c r="A225" s="218" t="str">
        <f>$A$1&amp;"Rolloff"&amp;B225</f>
        <v>PIERCE EA UTCRolloffHAUL40-CP</v>
      </c>
      <c r="B225" s="230" t="s">
        <v>530</v>
      </c>
      <c r="C225" s="230" t="s">
        <v>531</v>
      </c>
      <c r="D225" s="230" t="s">
        <v>508</v>
      </c>
      <c r="E225" s="380">
        <v>31000</v>
      </c>
      <c r="F225" s="231">
        <v>238</v>
      </c>
      <c r="G225" s="231">
        <v>238</v>
      </c>
      <c r="H225" s="231">
        <v>235.75</v>
      </c>
      <c r="I225" s="231">
        <v>235.75</v>
      </c>
      <c r="J225" s="231"/>
      <c r="K225" s="231"/>
      <c r="L225" s="231">
        <v>0</v>
      </c>
      <c r="M225" s="231">
        <v>0</v>
      </c>
      <c r="N225" s="231">
        <v>0</v>
      </c>
      <c r="O225" s="231">
        <v>0</v>
      </c>
      <c r="P225" s="231">
        <v>0</v>
      </c>
      <c r="Q225" s="231">
        <v>0</v>
      </c>
      <c r="R225" s="231">
        <v>0</v>
      </c>
      <c r="S225" s="231">
        <v>0</v>
      </c>
      <c r="T225" s="231">
        <v>0</v>
      </c>
      <c r="U225" s="231">
        <v>0</v>
      </c>
      <c r="V225" s="231">
        <v>0</v>
      </c>
      <c r="W225" s="231"/>
      <c r="X225" s="388">
        <f t="shared" si="79"/>
        <v>0</v>
      </c>
      <c r="Y225" s="389"/>
      <c r="Z225" s="389"/>
      <c r="AA225" s="233"/>
      <c r="AB225" s="233"/>
      <c r="AC225" s="233">
        <f t="shared" si="80"/>
        <v>0</v>
      </c>
      <c r="AD225" s="233">
        <f t="shared" si="81"/>
        <v>0</v>
      </c>
      <c r="AE225" s="232">
        <f t="shared" si="82"/>
        <v>0</v>
      </c>
      <c r="AF225" s="232">
        <f t="shared" si="83"/>
        <v>0</v>
      </c>
      <c r="AG225" s="232">
        <f t="shared" si="84"/>
        <v>0</v>
      </c>
      <c r="AH225" s="232">
        <f t="shared" si="85"/>
        <v>0</v>
      </c>
      <c r="AI225" s="232">
        <f t="shared" si="86"/>
        <v>0</v>
      </c>
      <c r="AJ225" s="232">
        <f t="shared" si="87"/>
        <v>0</v>
      </c>
      <c r="AK225" s="232">
        <f t="shared" si="88"/>
        <v>0</v>
      </c>
      <c r="AL225" s="232">
        <f>IFERROR(#REF!/$H225,0)</f>
        <v>0</v>
      </c>
      <c r="AM225" s="234">
        <f t="shared" si="89"/>
        <v>0</v>
      </c>
      <c r="AN225" s="234">
        <f t="shared" si="90"/>
        <v>0</v>
      </c>
    </row>
    <row r="226" spans="1:40">
      <c r="A226" s="218" t="str">
        <f>$A$1&amp;"Rolloff"&amp;B226</f>
        <v>PIERCE EA UTCRolloffDEL20TEMP-RO</v>
      </c>
      <c r="B226" s="230" t="s">
        <v>532</v>
      </c>
      <c r="C226" s="230" t="s">
        <v>533</v>
      </c>
      <c r="D226" s="230" t="s">
        <v>534</v>
      </c>
      <c r="E226" s="380">
        <v>31001</v>
      </c>
      <c r="F226" s="231">
        <v>106</v>
      </c>
      <c r="G226" s="231">
        <v>106</v>
      </c>
      <c r="H226" s="231">
        <v>105</v>
      </c>
      <c r="I226" s="231">
        <v>105</v>
      </c>
      <c r="J226" s="231"/>
      <c r="K226" s="231"/>
      <c r="L226" s="231">
        <v>0</v>
      </c>
      <c r="M226" s="231">
        <v>0</v>
      </c>
      <c r="N226" s="231">
        <v>0</v>
      </c>
      <c r="O226" s="231">
        <v>0</v>
      </c>
      <c r="P226" s="231">
        <v>210</v>
      </c>
      <c r="Q226" s="231">
        <v>0</v>
      </c>
      <c r="R226" s="231">
        <v>0</v>
      </c>
      <c r="S226" s="231">
        <v>105</v>
      </c>
      <c r="T226" s="231">
        <v>0</v>
      </c>
      <c r="U226" s="231">
        <v>0</v>
      </c>
      <c r="V226" s="231">
        <v>0</v>
      </c>
      <c r="W226" s="231"/>
      <c r="X226" s="388">
        <f t="shared" si="79"/>
        <v>315</v>
      </c>
      <c r="Y226" s="389"/>
      <c r="Z226" s="389"/>
      <c r="AA226" s="233"/>
      <c r="AB226" s="233"/>
      <c r="AC226" s="233">
        <f t="shared" si="80"/>
        <v>0</v>
      </c>
      <c r="AD226" s="233">
        <f t="shared" si="81"/>
        <v>0</v>
      </c>
      <c r="AE226" s="232">
        <f t="shared" si="82"/>
        <v>2</v>
      </c>
      <c r="AF226" s="232">
        <f t="shared" si="83"/>
        <v>0</v>
      </c>
      <c r="AG226" s="232">
        <f t="shared" si="84"/>
        <v>0</v>
      </c>
      <c r="AH226" s="232">
        <f t="shared" si="85"/>
        <v>1</v>
      </c>
      <c r="AI226" s="232">
        <f t="shared" si="86"/>
        <v>0</v>
      </c>
      <c r="AJ226" s="232">
        <f t="shared" si="87"/>
        <v>0</v>
      </c>
      <c r="AK226" s="232">
        <f t="shared" si="88"/>
        <v>0</v>
      </c>
      <c r="AL226" s="232">
        <f>IFERROR(#REF!/$H226,0)</f>
        <v>0</v>
      </c>
      <c r="AM226" s="234">
        <f t="shared" si="89"/>
        <v>0.3</v>
      </c>
      <c r="AN226" s="234">
        <f t="shared" si="90"/>
        <v>3</v>
      </c>
    </row>
    <row r="227" spans="1:40">
      <c r="A227" s="218" t="str">
        <f>$A$1&amp;"Rolloff"&amp;B227</f>
        <v>PIERCE EA UTCRolloffDEL30TEMP-RO</v>
      </c>
      <c r="B227" s="230" t="s">
        <v>535</v>
      </c>
      <c r="C227" s="230" t="s">
        <v>536</v>
      </c>
      <c r="D227" s="230" t="s">
        <v>534</v>
      </c>
      <c r="E227" s="380">
        <v>31001</v>
      </c>
      <c r="F227" s="231">
        <v>106</v>
      </c>
      <c r="G227" s="231">
        <v>106</v>
      </c>
      <c r="H227" s="231">
        <v>105</v>
      </c>
      <c r="I227" s="231">
        <v>105</v>
      </c>
      <c r="J227" s="231"/>
      <c r="K227" s="231"/>
      <c r="L227" s="231">
        <v>0</v>
      </c>
      <c r="M227" s="231">
        <v>0</v>
      </c>
      <c r="N227" s="231">
        <v>0</v>
      </c>
      <c r="O227" s="231">
        <v>0</v>
      </c>
      <c r="P227" s="231">
        <v>0</v>
      </c>
      <c r="Q227" s="231">
        <v>0</v>
      </c>
      <c r="R227" s="231">
        <v>0</v>
      </c>
      <c r="S227" s="231">
        <v>0</v>
      </c>
      <c r="T227" s="231">
        <v>210.29000000000002</v>
      </c>
      <c r="U227" s="231">
        <v>0</v>
      </c>
      <c r="V227" s="231">
        <v>0</v>
      </c>
      <c r="W227" s="231"/>
      <c r="X227" s="388">
        <f t="shared" si="79"/>
        <v>210.29000000000002</v>
      </c>
      <c r="Y227" s="389"/>
      <c r="Z227" s="389"/>
      <c r="AA227" s="233"/>
      <c r="AB227" s="233"/>
      <c r="AC227" s="233">
        <f t="shared" si="80"/>
        <v>0</v>
      </c>
      <c r="AD227" s="233">
        <f t="shared" si="81"/>
        <v>0</v>
      </c>
      <c r="AE227" s="232">
        <f t="shared" si="82"/>
        <v>0</v>
      </c>
      <c r="AF227" s="232">
        <f t="shared" si="83"/>
        <v>0</v>
      </c>
      <c r="AG227" s="232">
        <f t="shared" si="84"/>
        <v>0</v>
      </c>
      <c r="AH227" s="232">
        <f t="shared" si="85"/>
        <v>0</v>
      </c>
      <c r="AI227" s="232">
        <f t="shared" si="86"/>
        <v>2.002761904761905</v>
      </c>
      <c r="AJ227" s="232">
        <f t="shared" si="87"/>
        <v>0</v>
      </c>
      <c r="AK227" s="232">
        <f t="shared" si="88"/>
        <v>0</v>
      </c>
      <c r="AL227" s="232">
        <f>IFERROR(#REF!/$H227,0)</f>
        <v>0</v>
      </c>
      <c r="AM227" s="234">
        <f t="shared" si="89"/>
        <v>0.2002761904761905</v>
      </c>
      <c r="AN227" s="234">
        <f t="shared" si="90"/>
        <v>2.002761904761905</v>
      </c>
    </row>
    <row r="228" spans="1:40">
      <c r="A228" s="218" t="str">
        <f>$A$1&amp;"Rolloff"&amp;B228</f>
        <v>PIERCE EA UTCRolloffDEL40TEMP-RO</v>
      </c>
      <c r="B228" s="230" t="s">
        <v>537</v>
      </c>
      <c r="C228" s="230" t="s">
        <v>538</v>
      </c>
      <c r="D228" s="230" t="s">
        <v>534</v>
      </c>
      <c r="E228" s="380">
        <v>31001</v>
      </c>
      <c r="F228" s="231">
        <v>106</v>
      </c>
      <c r="G228" s="231">
        <v>106</v>
      </c>
      <c r="H228" s="231">
        <v>105</v>
      </c>
      <c r="I228" s="231">
        <v>105</v>
      </c>
      <c r="J228" s="231"/>
      <c r="K228" s="231"/>
      <c r="L228" s="231">
        <v>0</v>
      </c>
      <c r="M228" s="231">
        <v>0</v>
      </c>
      <c r="N228" s="231">
        <v>106</v>
      </c>
      <c r="O228" s="231">
        <v>25.65</v>
      </c>
      <c r="P228" s="231">
        <v>0</v>
      </c>
      <c r="Q228" s="231">
        <v>0</v>
      </c>
      <c r="R228" s="231">
        <v>0</v>
      </c>
      <c r="S228" s="231">
        <v>0</v>
      </c>
      <c r="T228" s="231">
        <v>0</v>
      </c>
      <c r="U228" s="231">
        <v>0</v>
      </c>
      <c r="V228" s="231">
        <v>105</v>
      </c>
      <c r="W228" s="231"/>
      <c r="X228" s="388">
        <f t="shared" si="79"/>
        <v>236.65</v>
      </c>
      <c r="Y228" s="389"/>
      <c r="Z228" s="389"/>
      <c r="AA228" s="233"/>
      <c r="AB228" s="233"/>
      <c r="AC228" s="233">
        <f t="shared" si="80"/>
        <v>1</v>
      </c>
      <c r="AD228" s="233">
        <f t="shared" si="81"/>
        <v>0.24198113207547167</v>
      </c>
      <c r="AE228" s="232">
        <f t="shared" si="82"/>
        <v>0</v>
      </c>
      <c r="AF228" s="232">
        <f t="shared" si="83"/>
        <v>0</v>
      </c>
      <c r="AG228" s="232">
        <f t="shared" si="84"/>
        <v>0</v>
      </c>
      <c r="AH228" s="232">
        <f t="shared" si="85"/>
        <v>0</v>
      </c>
      <c r="AI228" s="232">
        <f t="shared" si="86"/>
        <v>0</v>
      </c>
      <c r="AJ228" s="232">
        <f t="shared" si="87"/>
        <v>0</v>
      </c>
      <c r="AK228" s="232">
        <f t="shared" si="88"/>
        <v>1</v>
      </c>
      <c r="AL228" s="232">
        <f>IFERROR(#REF!/$H228,0)</f>
        <v>0</v>
      </c>
      <c r="AM228" s="234">
        <f t="shared" si="89"/>
        <v>0.22419811320754715</v>
      </c>
      <c r="AN228" s="234">
        <f t="shared" si="90"/>
        <v>2.2419811320754715</v>
      </c>
    </row>
    <row r="229" spans="1:40">
      <c r="A229" s="218" t="str">
        <f>$A$1&amp;"Rolloff"&amp;B229</f>
        <v>PIERCE EA UTCRolloffFINAL20TEMP-RO</v>
      </c>
      <c r="B229" s="230" t="s">
        <v>539</v>
      </c>
      <c r="C229" s="230" t="s">
        <v>540</v>
      </c>
      <c r="D229" s="230" t="s">
        <v>534</v>
      </c>
      <c r="E229" s="380">
        <v>31001</v>
      </c>
      <c r="F229" s="231">
        <v>165.5</v>
      </c>
      <c r="G229" s="231">
        <v>165.5</v>
      </c>
      <c r="H229" s="231">
        <v>163.94</v>
      </c>
      <c r="I229" s="231">
        <v>163.94</v>
      </c>
      <c r="J229" s="231"/>
      <c r="K229" s="231"/>
      <c r="L229" s="231">
        <v>0</v>
      </c>
      <c r="M229" s="231">
        <v>0</v>
      </c>
      <c r="N229" s="231">
        <v>0</v>
      </c>
      <c r="O229" s="231">
        <v>0</v>
      </c>
      <c r="P229" s="231">
        <v>163.94</v>
      </c>
      <c r="Q229" s="231">
        <v>163.94</v>
      </c>
      <c r="R229" s="231">
        <v>0</v>
      </c>
      <c r="S229" s="231">
        <v>0</v>
      </c>
      <c r="T229" s="231">
        <v>0</v>
      </c>
      <c r="U229" s="231">
        <v>164.39</v>
      </c>
      <c r="V229" s="231">
        <v>0</v>
      </c>
      <c r="W229" s="231"/>
      <c r="X229" s="388">
        <f t="shared" si="79"/>
        <v>492.27</v>
      </c>
      <c r="Y229" s="389"/>
      <c r="Z229" s="389"/>
      <c r="AA229" s="233"/>
      <c r="AB229" s="233"/>
      <c r="AC229" s="233">
        <f t="shared" si="80"/>
        <v>0</v>
      </c>
      <c r="AD229" s="233">
        <f t="shared" si="81"/>
        <v>0</v>
      </c>
      <c r="AE229" s="232">
        <f t="shared" si="82"/>
        <v>1</v>
      </c>
      <c r="AF229" s="232">
        <f t="shared" si="83"/>
        <v>1</v>
      </c>
      <c r="AG229" s="232">
        <f t="shared" si="84"/>
        <v>0</v>
      </c>
      <c r="AH229" s="232">
        <f t="shared" si="85"/>
        <v>0</v>
      </c>
      <c r="AI229" s="232">
        <f t="shared" si="86"/>
        <v>0</v>
      </c>
      <c r="AJ229" s="232">
        <f t="shared" si="87"/>
        <v>1.0027449066731731</v>
      </c>
      <c r="AK229" s="232">
        <f t="shared" si="88"/>
        <v>0</v>
      </c>
      <c r="AL229" s="232">
        <f>IFERROR(#REF!/$H229,0)</f>
        <v>0</v>
      </c>
      <c r="AM229" s="234">
        <f t="shared" si="89"/>
        <v>0.30027449066731726</v>
      </c>
      <c r="AN229" s="234">
        <f t="shared" si="90"/>
        <v>3.0027449066731728</v>
      </c>
    </row>
    <row r="230" spans="1:40">
      <c r="A230" s="218" t="str">
        <f>$A$1&amp;"Rolloff"&amp;B230</f>
        <v>PIERCE EA UTCRolloffFINAL30TEMP-RO</v>
      </c>
      <c r="B230" s="230" t="s">
        <v>541</v>
      </c>
      <c r="C230" s="230" t="s">
        <v>542</v>
      </c>
      <c r="D230" s="230" t="s">
        <v>534</v>
      </c>
      <c r="E230" s="380">
        <v>31001</v>
      </c>
      <c r="F230" s="231">
        <v>172</v>
      </c>
      <c r="G230" s="231">
        <v>172</v>
      </c>
      <c r="H230" s="231">
        <v>170.38</v>
      </c>
      <c r="I230" s="231">
        <v>170.38</v>
      </c>
      <c r="J230" s="231"/>
      <c r="K230" s="231"/>
      <c r="L230" s="231">
        <v>0</v>
      </c>
      <c r="M230" s="231">
        <v>0</v>
      </c>
      <c r="N230" s="231">
        <v>0</v>
      </c>
      <c r="O230" s="231">
        <v>0</v>
      </c>
      <c r="P230" s="231">
        <v>0</v>
      </c>
      <c r="Q230" s="231">
        <v>0</v>
      </c>
      <c r="R230" s="231">
        <v>0</v>
      </c>
      <c r="S230" s="231">
        <v>0</v>
      </c>
      <c r="T230" s="231">
        <v>0</v>
      </c>
      <c r="U230" s="231">
        <v>170.85</v>
      </c>
      <c r="V230" s="231">
        <v>170.85</v>
      </c>
      <c r="W230" s="231"/>
      <c r="X230" s="388">
        <f t="shared" si="79"/>
        <v>341.7</v>
      </c>
      <c r="Y230" s="389"/>
      <c r="Z230" s="389"/>
      <c r="AA230" s="233"/>
      <c r="AB230" s="233"/>
      <c r="AC230" s="233">
        <f t="shared" si="80"/>
        <v>0</v>
      </c>
      <c r="AD230" s="233">
        <f t="shared" si="81"/>
        <v>0</v>
      </c>
      <c r="AE230" s="232">
        <f t="shared" si="82"/>
        <v>0</v>
      </c>
      <c r="AF230" s="232">
        <f t="shared" si="83"/>
        <v>0</v>
      </c>
      <c r="AG230" s="232">
        <f t="shared" si="84"/>
        <v>0</v>
      </c>
      <c r="AH230" s="232">
        <f t="shared" si="85"/>
        <v>0</v>
      </c>
      <c r="AI230" s="232">
        <f t="shared" si="86"/>
        <v>0</v>
      </c>
      <c r="AJ230" s="232">
        <f t="shared" si="87"/>
        <v>1.0027585397347107</v>
      </c>
      <c r="AK230" s="232">
        <f t="shared" si="88"/>
        <v>1.0027585397347107</v>
      </c>
      <c r="AL230" s="232">
        <f>IFERROR(#REF!/$H230,0)</f>
        <v>0</v>
      </c>
      <c r="AM230" s="234">
        <f t="shared" si="89"/>
        <v>0.20055170794694216</v>
      </c>
      <c r="AN230" s="234">
        <f t="shared" si="90"/>
        <v>2.0055170794694215</v>
      </c>
    </row>
    <row r="231" spans="1:40">
      <c r="A231" s="218" t="str">
        <f>$A$1&amp;"Rolloff"&amp;B231</f>
        <v>PIERCE EA UTCRolloffFINAL40TEMP-RO</v>
      </c>
      <c r="B231" s="230" t="s">
        <v>543</v>
      </c>
      <c r="C231" s="230" t="s">
        <v>544</v>
      </c>
      <c r="D231" s="230" t="s">
        <v>534</v>
      </c>
      <c r="E231" s="380">
        <v>31001</v>
      </c>
      <c r="F231" s="231">
        <v>178.5</v>
      </c>
      <c r="G231" s="231">
        <v>178.5</v>
      </c>
      <c r="H231" s="231">
        <v>176.81</v>
      </c>
      <c r="I231" s="231">
        <v>176.81</v>
      </c>
      <c r="J231" s="231"/>
      <c r="K231" s="231"/>
      <c r="L231" s="231">
        <v>0</v>
      </c>
      <c r="M231" s="231">
        <v>0</v>
      </c>
      <c r="N231" s="231">
        <v>0</v>
      </c>
      <c r="O231" s="231">
        <v>217.25</v>
      </c>
      <c r="P231" s="231">
        <v>0</v>
      </c>
      <c r="Q231" s="231">
        <v>0</v>
      </c>
      <c r="R231" s="231">
        <v>0</v>
      </c>
      <c r="S231" s="231">
        <v>0</v>
      </c>
      <c r="T231" s="231">
        <v>0</v>
      </c>
      <c r="U231" s="231">
        <v>0</v>
      </c>
      <c r="V231" s="231">
        <v>177.3</v>
      </c>
      <c r="W231" s="231"/>
      <c r="X231" s="388">
        <f t="shared" si="79"/>
        <v>394.55</v>
      </c>
      <c r="Y231" s="389"/>
      <c r="Z231" s="389"/>
      <c r="AA231" s="233"/>
      <c r="AB231" s="233"/>
      <c r="AC231" s="233">
        <f t="shared" si="80"/>
        <v>0</v>
      </c>
      <c r="AD231" s="233">
        <f t="shared" si="81"/>
        <v>1.2170868347338935</v>
      </c>
      <c r="AE231" s="232">
        <f t="shared" si="82"/>
        <v>0</v>
      </c>
      <c r="AF231" s="232">
        <f t="shared" si="83"/>
        <v>0</v>
      </c>
      <c r="AG231" s="232">
        <f t="shared" si="84"/>
        <v>0</v>
      </c>
      <c r="AH231" s="232">
        <f t="shared" si="85"/>
        <v>0</v>
      </c>
      <c r="AI231" s="232">
        <f t="shared" si="86"/>
        <v>0</v>
      </c>
      <c r="AJ231" s="232">
        <f t="shared" si="87"/>
        <v>0</v>
      </c>
      <c r="AK231" s="232">
        <f t="shared" si="88"/>
        <v>1.0027713364628699</v>
      </c>
      <c r="AL231" s="232">
        <f>IFERROR(#REF!/$H231,0)</f>
        <v>0</v>
      </c>
      <c r="AM231" s="234">
        <f t="shared" si="89"/>
        <v>0.22198581711967633</v>
      </c>
      <c r="AN231" s="234">
        <f t="shared" si="90"/>
        <v>2.2198581711967633</v>
      </c>
    </row>
    <row r="232" spans="1:40">
      <c r="A232" s="218" t="str">
        <f>$A$1&amp;"Rolloff"&amp;B232</f>
        <v>PIERCE EA UTCRolloffHAUL20TEMP-RO</v>
      </c>
      <c r="B232" s="230" t="s">
        <v>545</v>
      </c>
      <c r="C232" s="230" t="s">
        <v>546</v>
      </c>
      <c r="D232" s="230" t="s">
        <v>534</v>
      </c>
      <c r="E232" s="380">
        <v>31001</v>
      </c>
      <c r="F232" s="231">
        <v>165.5</v>
      </c>
      <c r="G232" s="231">
        <v>165.5</v>
      </c>
      <c r="H232" s="231">
        <v>163.94</v>
      </c>
      <c r="I232" s="231">
        <v>163.94</v>
      </c>
      <c r="J232" s="231"/>
      <c r="K232" s="231"/>
      <c r="L232" s="231">
        <v>0</v>
      </c>
      <c r="M232" s="231">
        <v>0</v>
      </c>
      <c r="N232" s="231">
        <v>0</v>
      </c>
      <c r="O232" s="231">
        <v>0</v>
      </c>
      <c r="P232" s="231">
        <v>163.94</v>
      </c>
      <c r="Q232" s="231">
        <v>0</v>
      </c>
      <c r="R232" s="231">
        <v>0</v>
      </c>
      <c r="S232" s="231">
        <v>0</v>
      </c>
      <c r="T232" s="231">
        <v>0</v>
      </c>
      <c r="U232" s="231">
        <v>0</v>
      </c>
      <c r="V232" s="231">
        <v>0</v>
      </c>
      <c r="W232" s="231"/>
      <c r="X232" s="388">
        <f t="shared" si="79"/>
        <v>163.94</v>
      </c>
      <c r="Y232" s="389"/>
      <c r="Z232" s="389"/>
      <c r="AA232" s="233"/>
      <c r="AB232" s="233"/>
      <c r="AC232" s="233">
        <f t="shared" si="80"/>
        <v>0</v>
      </c>
      <c r="AD232" s="233">
        <f t="shared" si="81"/>
        <v>0</v>
      </c>
      <c r="AE232" s="232">
        <f t="shared" si="82"/>
        <v>1</v>
      </c>
      <c r="AF232" s="232">
        <f t="shared" si="83"/>
        <v>0</v>
      </c>
      <c r="AG232" s="232">
        <f t="shared" si="84"/>
        <v>0</v>
      </c>
      <c r="AH232" s="232">
        <f t="shared" si="85"/>
        <v>0</v>
      </c>
      <c r="AI232" s="232">
        <f t="shared" si="86"/>
        <v>0</v>
      </c>
      <c r="AJ232" s="232">
        <f t="shared" si="87"/>
        <v>0</v>
      </c>
      <c r="AK232" s="232">
        <f t="shared" si="88"/>
        <v>0</v>
      </c>
      <c r="AL232" s="232">
        <f>IFERROR(#REF!/$H232,0)</f>
        <v>0</v>
      </c>
      <c r="AM232" s="234">
        <f t="shared" si="89"/>
        <v>0.1</v>
      </c>
      <c r="AN232" s="234">
        <f t="shared" si="90"/>
        <v>1</v>
      </c>
    </row>
    <row r="233" spans="1:40">
      <c r="A233" s="218" t="str">
        <f>$A$1&amp;"Rolloff"&amp;B233</f>
        <v>PIERCE EA UTCRolloffHAUL30TEMP-RO</v>
      </c>
      <c r="B233" s="230" t="s">
        <v>547</v>
      </c>
      <c r="C233" s="230" t="s">
        <v>548</v>
      </c>
      <c r="D233" s="230" t="s">
        <v>534</v>
      </c>
      <c r="E233" s="380">
        <v>31001</v>
      </c>
      <c r="F233" s="231">
        <v>172</v>
      </c>
      <c r="G233" s="231">
        <v>172</v>
      </c>
      <c r="H233" s="231">
        <v>170.38</v>
      </c>
      <c r="I233" s="231">
        <v>170.38</v>
      </c>
      <c r="J233" s="231"/>
      <c r="K233" s="231"/>
      <c r="L233" s="231">
        <v>0</v>
      </c>
      <c r="M233" s="231">
        <v>0</v>
      </c>
      <c r="N233" s="231">
        <v>0</v>
      </c>
      <c r="O233" s="231">
        <v>0</v>
      </c>
      <c r="P233" s="231">
        <v>0</v>
      </c>
      <c r="Q233" s="231">
        <v>0</v>
      </c>
      <c r="R233" s="231">
        <v>0</v>
      </c>
      <c r="S233" s="231">
        <v>0</v>
      </c>
      <c r="T233" s="231">
        <v>170.85</v>
      </c>
      <c r="U233" s="231">
        <v>0</v>
      </c>
      <c r="V233" s="231">
        <v>0</v>
      </c>
      <c r="W233" s="231"/>
      <c r="X233" s="388">
        <f t="shared" si="79"/>
        <v>170.85</v>
      </c>
      <c r="Y233" s="389"/>
      <c r="Z233" s="389"/>
      <c r="AA233" s="233"/>
      <c r="AB233" s="233"/>
      <c r="AC233" s="233">
        <f t="shared" si="80"/>
        <v>0</v>
      </c>
      <c r="AD233" s="233">
        <f t="shared" si="81"/>
        <v>0</v>
      </c>
      <c r="AE233" s="232">
        <f t="shared" si="82"/>
        <v>0</v>
      </c>
      <c r="AF233" s="232">
        <f t="shared" si="83"/>
        <v>0</v>
      </c>
      <c r="AG233" s="232">
        <f t="shared" si="84"/>
        <v>0</v>
      </c>
      <c r="AH233" s="232">
        <f t="shared" si="85"/>
        <v>0</v>
      </c>
      <c r="AI233" s="232">
        <f t="shared" si="86"/>
        <v>1.0027585397347107</v>
      </c>
      <c r="AJ233" s="232">
        <f t="shared" si="87"/>
        <v>0</v>
      </c>
      <c r="AK233" s="232">
        <f t="shared" si="88"/>
        <v>0</v>
      </c>
      <c r="AL233" s="232">
        <f>IFERROR(#REF!/$H233,0)</f>
        <v>0</v>
      </c>
      <c r="AM233" s="234">
        <f t="shared" si="89"/>
        <v>0.10027585397347108</v>
      </c>
      <c r="AN233" s="234">
        <f t="shared" si="90"/>
        <v>1.0027585397347107</v>
      </c>
    </row>
    <row r="234" spans="1:40">
      <c r="A234" s="218" t="str">
        <f>$A$1&amp;"Rolloff"&amp;B234</f>
        <v>PIERCE EA UTCRolloffHAUL40TEMP-RO</v>
      </c>
      <c r="B234" s="230" t="s">
        <v>549</v>
      </c>
      <c r="C234" s="230" t="s">
        <v>550</v>
      </c>
      <c r="D234" s="230" t="s">
        <v>534</v>
      </c>
      <c r="E234" s="380">
        <v>31001</v>
      </c>
      <c r="F234" s="231">
        <v>178.5</v>
      </c>
      <c r="G234" s="231">
        <v>178.5</v>
      </c>
      <c r="H234" s="231">
        <v>176.81</v>
      </c>
      <c r="I234" s="231">
        <v>176.81</v>
      </c>
      <c r="J234" s="231"/>
      <c r="K234" s="231"/>
      <c r="L234" s="231">
        <v>0</v>
      </c>
      <c r="M234" s="231">
        <v>0</v>
      </c>
      <c r="N234" s="231">
        <v>357</v>
      </c>
      <c r="O234" s="231">
        <v>77.5</v>
      </c>
      <c r="P234" s="231">
        <v>0</v>
      </c>
      <c r="Q234" s="231">
        <v>0</v>
      </c>
      <c r="R234" s="231">
        <v>0</v>
      </c>
      <c r="S234" s="231">
        <v>0</v>
      </c>
      <c r="T234" s="231">
        <v>0</v>
      </c>
      <c r="U234" s="231">
        <v>0</v>
      </c>
      <c r="V234" s="231">
        <v>0</v>
      </c>
      <c r="W234" s="231"/>
      <c r="X234" s="388">
        <f t="shared" si="79"/>
        <v>434.5</v>
      </c>
      <c r="Y234" s="389"/>
      <c r="Z234" s="389"/>
      <c r="AA234" s="233"/>
      <c r="AB234" s="233"/>
      <c r="AC234" s="233">
        <f t="shared" si="80"/>
        <v>2</v>
      </c>
      <c r="AD234" s="233">
        <f t="shared" si="81"/>
        <v>0.43417366946778713</v>
      </c>
      <c r="AE234" s="232">
        <f t="shared" si="82"/>
        <v>0</v>
      </c>
      <c r="AF234" s="232">
        <f t="shared" si="83"/>
        <v>0</v>
      </c>
      <c r="AG234" s="232">
        <f t="shared" si="84"/>
        <v>0</v>
      </c>
      <c r="AH234" s="232">
        <f t="shared" si="85"/>
        <v>0</v>
      </c>
      <c r="AI234" s="232">
        <f t="shared" si="86"/>
        <v>0</v>
      </c>
      <c r="AJ234" s="232">
        <f t="shared" si="87"/>
        <v>0</v>
      </c>
      <c r="AK234" s="232">
        <f t="shared" si="88"/>
        <v>0</v>
      </c>
      <c r="AL234" s="232">
        <f>IFERROR(#REF!/$H234,0)</f>
        <v>0</v>
      </c>
      <c r="AM234" s="234">
        <f t="shared" si="89"/>
        <v>0.24341736694677873</v>
      </c>
      <c r="AN234" s="234">
        <f t="shared" si="90"/>
        <v>2.4341736694677873</v>
      </c>
    </row>
    <row r="235" spans="1:40">
      <c r="A235" s="218" t="str">
        <f>$A$1&amp;"Rolloff"&amp;B235</f>
        <v>PIERCE EA UTCRolloffRENT10MO-RO</v>
      </c>
      <c r="B235" s="230" t="s">
        <v>713</v>
      </c>
      <c r="C235" s="230" t="s">
        <v>553</v>
      </c>
      <c r="D235" s="230" t="s">
        <v>551</v>
      </c>
      <c r="E235" s="380">
        <v>31002</v>
      </c>
      <c r="F235" s="231">
        <v>50</v>
      </c>
      <c r="G235" s="231">
        <v>50</v>
      </c>
      <c r="H235" s="231">
        <v>50</v>
      </c>
      <c r="I235" s="231">
        <v>50</v>
      </c>
      <c r="J235" s="231"/>
      <c r="K235" s="231"/>
      <c r="L235" s="231">
        <v>0</v>
      </c>
      <c r="M235" s="231">
        <v>0</v>
      </c>
      <c r="N235" s="231">
        <v>0</v>
      </c>
      <c r="O235" s="231">
        <v>0</v>
      </c>
      <c r="P235" s="231">
        <v>0</v>
      </c>
      <c r="Q235" s="231">
        <v>0</v>
      </c>
      <c r="R235" s="231">
        <v>0</v>
      </c>
      <c r="S235" s="231">
        <v>0</v>
      </c>
      <c r="T235" s="231">
        <v>0</v>
      </c>
      <c r="U235" s="231">
        <v>0</v>
      </c>
      <c r="V235" s="231">
        <v>0</v>
      </c>
      <c r="W235" s="231"/>
      <c r="X235" s="388">
        <f t="shared" si="79"/>
        <v>0</v>
      </c>
      <c r="Y235" s="389"/>
      <c r="Z235" s="389"/>
      <c r="AA235" s="233"/>
      <c r="AB235" s="233"/>
      <c r="AC235" s="233">
        <f t="shared" si="80"/>
        <v>0</v>
      </c>
      <c r="AD235" s="233">
        <f t="shared" si="81"/>
        <v>0</v>
      </c>
      <c r="AE235" s="232">
        <f t="shared" si="82"/>
        <v>0</v>
      </c>
      <c r="AF235" s="232">
        <f t="shared" si="83"/>
        <v>0</v>
      </c>
      <c r="AG235" s="232">
        <f t="shared" si="84"/>
        <v>0</v>
      </c>
      <c r="AH235" s="232">
        <f t="shared" si="85"/>
        <v>0</v>
      </c>
      <c r="AI235" s="232">
        <f t="shared" si="86"/>
        <v>0</v>
      </c>
      <c r="AJ235" s="232">
        <f t="shared" si="87"/>
        <v>0</v>
      </c>
      <c r="AK235" s="232">
        <f t="shared" si="88"/>
        <v>0</v>
      </c>
      <c r="AL235" s="232">
        <f>IFERROR(#REF!/$H235,0)</f>
        <v>0</v>
      </c>
      <c r="AM235" s="234">
        <f t="shared" si="89"/>
        <v>0</v>
      </c>
      <c r="AN235" s="234">
        <f t="shared" si="90"/>
        <v>0</v>
      </c>
    </row>
    <row r="236" spans="1:40">
      <c r="A236" s="218" t="str">
        <f>$A$1&amp;"Rolloff"&amp;B236</f>
        <v>PIERCE EA UTCRolloffRENT20MO-RO</v>
      </c>
      <c r="B236" s="230" t="s">
        <v>552</v>
      </c>
      <c r="C236" s="230" t="s">
        <v>553</v>
      </c>
      <c r="D236" s="230" t="s">
        <v>551</v>
      </c>
      <c r="E236" s="380">
        <v>31002</v>
      </c>
      <c r="F236" s="231">
        <v>59.5</v>
      </c>
      <c r="G236" s="231">
        <v>59.5</v>
      </c>
      <c r="H236" s="231">
        <v>58.94</v>
      </c>
      <c r="I236" s="231">
        <v>58.94</v>
      </c>
      <c r="J236" s="231"/>
      <c r="K236" s="231"/>
      <c r="L236" s="231">
        <v>0</v>
      </c>
      <c r="M236" s="231">
        <v>0</v>
      </c>
      <c r="N236" s="231">
        <v>0</v>
      </c>
      <c r="O236" s="231">
        <v>0</v>
      </c>
      <c r="P236" s="231">
        <v>0</v>
      </c>
      <c r="Q236" s="231">
        <v>0</v>
      </c>
      <c r="R236" s="231">
        <v>0</v>
      </c>
      <c r="S236" s="231">
        <v>0</v>
      </c>
      <c r="T236" s="231">
        <v>0</v>
      </c>
      <c r="U236" s="231">
        <v>0</v>
      </c>
      <c r="V236" s="231">
        <v>0</v>
      </c>
      <c r="W236" s="231"/>
      <c r="X236" s="388">
        <f t="shared" si="79"/>
        <v>0</v>
      </c>
      <c r="Y236" s="389"/>
      <c r="Z236" s="389"/>
      <c r="AA236" s="233"/>
      <c r="AB236" s="233"/>
      <c r="AC236" s="233">
        <f t="shared" si="80"/>
        <v>0</v>
      </c>
      <c r="AD236" s="233">
        <f t="shared" si="81"/>
        <v>0</v>
      </c>
      <c r="AE236" s="232">
        <f t="shared" si="82"/>
        <v>0</v>
      </c>
      <c r="AF236" s="232">
        <f t="shared" si="83"/>
        <v>0</v>
      </c>
      <c r="AG236" s="232">
        <f t="shared" si="84"/>
        <v>0</v>
      </c>
      <c r="AH236" s="232">
        <f t="shared" si="85"/>
        <v>0</v>
      </c>
      <c r="AI236" s="232">
        <f t="shared" si="86"/>
        <v>0</v>
      </c>
      <c r="AJ236" s="232">
        <f t="shared" si="87"/>
        <v>0</v>
      </c>
      <c r="AK236" s="232">
        <f t="shared" si="88"/>
        <v>0</v>
      </c>
      <c r="AL236" s="232">
        <f>IFERROR(#REF!/$H236,0)</f>
        <v>0</v>
      </c>
      <c r="AM236" s="234">
        <f t="shared" si="89"/>
        <v>0</v>
      </c>
      <c r="AN236" s="234">
        <f t="shared" si="90"/>
        <v>0</v>
      </c>
    </row>
    <row r="237" spans="1:40">
      <c r="A237" s="218" t="str">
        <f>$A$1&amp;"Rolloff"&amp;B237</f>
        <v>PIERCE EA UTCRolloffRENT30MO-RO</v>
      </c>
      <c r="B237" s="230" t="s">
        <v>554</v>
      </c>
      <c r="C237" s="230" t="s">
        <v>555</v>
      </c>
      <c r="D237" s="230" t="s">
        <v>551</v>
      </c>
      <c r="E237" s="380">
        <v>31002</v>
      </c>
      <c r="F237" s="231">
        <v>59.5</v>
      </c>
      <c r="G237" s="231">
        <v>59.5</v>
      </c>
      <c r="H237" s="231">
        <v>58.94</v>
      </c>
      <c r="I237" s="231">
        <v>58.94</v>
      </c>
      <c r="J237" s="231"/>
      <c r="K237" s="231"/>
      <c r="L237" s="231">
        <v>0</v>
      </c>
      <c r="M237" s="231">
        <v>0</v>
      </c>
      <c r="N237" s="231">
        <v>0</v>
      </c>
      <c r="O237" s="231">
        <v>0</v>
      </c>
      <c r="P237" s="231">
        <v>0</v>
      </c>
      <c r="Q237" s="231">
        <v>0</v>
      </c>
      <c r="R237" s="231">
        <v>0</v>
      </c>
      <c r="S237" s="231">
        <v>0</v>
      </c>
      <c r="T237" s="231">
        <v>0</v>
      </c>
      <c r="U237" s="231">
        <v>0</v>
      </c>
      <c r="V237" s="231">
        <v>0</v>
      </c>
      <c r="W237" s="231"/>
      <c r="X237" s="388">
        <f t="shared" si="79"/>
        <v>0</v>
      </c>
      <c r="Y237" s="389"/>
      <c r="Z237" s="389"/>
      <c r="AA237" s="233"/>
      <c r="AB237" s="233"/>
      <c r="AC237" s="233">
        <f t="shared" si="80"/>
        <v>0</v>
      </c>
      <c r="AD237" s="233">
        <f t="shared" si="81"/>
        <v>0</v>
      </c>
      <c r="AE237" s="232">
        <f t="shared" si="82"/>
        <v>0</v>
      </c>
      <c r="AF237" s="232">
        <f t="shared" si="83"/>
        <v>0</v>
      </c>
      <c r="AG237" s="232">
        <f t="shared" si="84"/>
        <v>0</v>
      </c>
      <c r="AH237" s="232">
        <f t="shared" si="85"/>
        <v>0</v>
      </c>
      <c r="AI237" s="232">
        <f t="shared" si="86"/>
        <v>0</v>
      </c>
      <c r="AJ237" s="232">
        <f t="shared" si="87"/>
        <v>0</v>
      </c>
      <c r="AK237" s="232">
        <f t="shared" si="88"/>
        <v>0</v>
      </c>
      <c r="AL237" s="232">
        <f>IFERROR(#REF!/$H237,0)</f>
        <v>0</v>
      </c>
      <c r="AM237" s="234">
        <f t="shared" si="89"/>
        <v>0</v>
      </c>
      <c r="AN237" s="234">
        <f t="shared" si="90"/>
        <v>0</v>
      </c>
    </row>
    <row r="238" spans="1:40">
      <c r="A238" s="218" t="str">
        <f>$A$1&amp;"Rolloff"&amp;B238</f>
        <v>PIERCE EA UTCRolloffRENT40MO-RO</v>
      </c>
      <c r="B238" s="230" t="s">
        <v>556</v>
      </c>
      <c r="C238" s="230" t="s">
        <v>557</v>
      </c>
      <c r="D238" s="230" t="s">
        <v>551</v>
      </c>
      <c r="E238" s="380">
        <v>31002</v>
      </c>
      <c r="F238" s="231">
        <v>59.5</v>
      </c>
      <c r="G238" s="231">
        <v>59.5</v>
      </c>
      <c r="H238" s="231">
        <v>58.94</v>
      </c>
      <c r="I238" s="231">
        <v>58.94</v>
      </c>
      <c r="J238" s="231"/>
      <c r="K238" s="231"/>
      <c r="L238" s="231">
        <v>0</v>
      </c>
      <c r="M238" s="231">
        <v>0</v>
      </c>
      <c r="N238" s="231">
        <v>0</v>
      </c>
      <c r="O238" s="231">
        <v>0</v>
      </c>
      <c r="P238" s="231">
        <v>0</v>
      </c>
      <c r="Q238" s="231">
        <v>0</v>
      </c>
      <c r="R238" s="231">
        <v>0</v>
      </c>
      <c r="S238" s="231">
        <v>0</v>
      </c>
      <c r="T238" s="231">
        <v>0</v>
      </c>
      <c r="U238" s="231">
        <v>0</v>
      </c>
      <c r="V238" s="231">
        <v>0</v>
      </c>
      <c r="W238" s="231"/>
      <c r="X238" s="388">
        <f t="shared" si="79"/>
        <v>0</v>
      </c>
      <c r="Y238" s="389"/>
      <c r="Z238" s="389"/>
      <c r="AA238" s="233"/>
      <c r="AB238" s="233"/>
      <c r="AC238" s="233">
        <f t="shared" si="80"/>
        <v>0</v>
      </c>
      <c r="AD238" s="233">
        <f t="shared" si="81"/>
        <v>0</v>
      </c>
      <c r="AE238" s="232">
        <f t="shared" si="82"/>
        <v>0</v>
      </c>
      <c r="AF238" s="232">
        <f t="shared" si="83"/>
        <v>0</v>
      </c>
      <c r="AG238" s="232">
        <f t="shared" si="84"/>
        <v>0</v>
      </c>
      <c r="AH238" s="232">
        <f t="shared" si="85"/>
        <v>0</v>
      </c>
      <c r="AI238" s="232">
        <f t="shared" si="86"/>
        <v>0</v>
      </c>
      <c r="AJ238" s="232">
        <f t="shared" si="87"/>
        <v>0</v>
      </c>
      <c r="AK238" s="232">
        <f t="shared" si="88"/>
        <v>0</v>
      </c>
      <c r="AL238" s="232">
        <f>IFERROR(#REF!/$H238,0)</f>
        <v>0</v>
      </c>
      <c r="AM238" s="234">
        <f t="shared" si="89"/>
        <v>0</v>
      </c>
      <c r="AN238" s="234">
        <f t="shared" si="90"/>
        <v>0</v>
      </c>
    </row>
    <row r="239" spans="1:40">
      <c r="A239" s="218" t="str">
        <f>$A$1&amp;"Rolloff"&amp;B239</f>
        <v>PIERCE EA UTCRolloffRENT20TEMP-RO</v>
      </c>
      <c r="B239" s="230" t="s">
        <v>558</v>
      </c>
      <c r="C239" s="230" t="s">
        <v>559</v>
      </c>
      <c r="D239" s="230" t="s">
        <v>551</v>
      </c>
      <c r="E239" s="380">
        <v>31002</v>
      </c>
      <c r="F239" s="231">
        <v>5.15</v>
      </c>
      <c r="G239" s="231">
        <v>5.15</v>
      </c>
      <c r="H239" s="231">
        <v>5.0999999999999996</v>
      </c>
      <c r="I239" s="231">
        <v>5.0999999999999996</v>
      </c>
      <c r="J239" s="231"/>
      <c r="K239" s="231"/>
      <c r="L239" s="231">
        <v>0</v>
      </c>
      <c r="M239" s="231">
        <v>0</v>
      </c>
      <c r="N239" s="231">
        <v>0</v>
      </c>
      <c r="O239" s="231">
        <v>0</v>
      </c>
      <c r="P239" s="231">
        <v>147.9</v>
      </c>
      <c r="Q239" s="231">
        <v>86.7</v>
      </c>
      <c r="R239" s="231">
        <v>0</v>
      </c>
      <c r="S239" s="231">
        <v>20.399999999999999</v>
      </c>
      <c r="T239" s="231">
        <v>153</v>
      </c>
      <c r="U239" s="231">
        <v>10.199999999999999</v>
      </c>
      <c r="V239" s="231">
        <v>0</v>
      </c>
      <c r="W239" s="231"/>
      <c r="X239" s="388">
        <f t="shared" si="79"/>
        <v>418.2</v>
      </c>
      <c r="Y239" s="389"/>
      <c r="Z239" s="389"/>
      <c r="AA239" s="233"/>
      <c r="AB239" s="233"/>
      <c r="AC239" s="233">
        <f t="shared" si="80"/>
        <v>0</v>
      </c>
      <c r="AD239" s="233">
        <f t="shared" si="81"/>
        <v>0</v>
      </c>
      <c r="AE239" s="232">
        <f t="shared" si="82"/>
        <v>29.000000000000004</v>
      </c>
      <c r="AF239" s="232">
        <f t="shared" si="83"/>
        <v>17</v>
      </c>
      <c r="AG239" s="232">
        <f t="shared" si="84"/>
        <v>0</v>
      </c>
      <c r="AH239" s="232">
        <f t="shared" si="85"/>
        <v>4</v>
      </c>
      <c r="AI239" s="232">
        <f t="shared" si="86"/>
        <v>30.000000000000004</v>
      </c>
      <c r="AJ239" s="232">
        <f t="shared" si="87"/>
        <v>2</v>
      </c>
      <c r="AK239" s="232">
        <f t="shared" si="88"/>
        <v>0</v>
      </c>
      <c r="AL239" s="232">
        <f>IFERROR(#REF!/$H239,0)</f>
        <v>0</v>
      </c>
      <c r="AM239" s="234">
        <f t="shared" si="89"/>
        <v>8.1999999999999993</v>
      </c>
      <c r="AN239" s="234">
        <f t="shared" si="90"/>
        <v>82</v>
      </c>
    </row>
    <row r="240" spans="1:40">
      <c r="A240" s="218" t="str">
        <f>$A$1&amp;"Rolloff"&amp;B240</f>
        <v>PIERCE EA UTCRolloffRENT30TEMP-RO</v>
      </c>
      <c r="B240" s="230" t="s">
        <v>560</v>
      </c>
      <c r="C240" s="230" t="s">
        <v>561</v>
      </c>
      <c r="D240" s="230" t="s">
        <v>551</v>
      </c>
      <c r="E240" s="380">
        <v>31002</v>
      </c>
      <c r="F240" s="231">
        <v>6.1</v>
      </c>
      <c r="G240" s="231">
        <v>6.1</v>
      </c>
      <c r="H240" s="231">
        <v>6.04</v>
      </c>
      <c r="I240" s="231">
        <v>6.04</v>
      </c>
      <c r="J240" s="231"/>
      <c r="K240" s="231"/>
      <c r="L240" s="231">
        <v>0</v>
      </c>
      <c r="M240" s="231">
        <v>0</v>
      </c>
      <c r="N240" s="231">
        <v>0</v>
      </c>
      <c r="O240" s="231">
        <v>0</v>
      </c>
      <c r="P240" s="231">
        <v>0</v>
      </c>
      <c r="Q240" s="231">
        <v>0</v>
      </c>
      <c r="R240" s="231">
        <v>0</v>
      </c>
      <c r="S240" s="231">
        <v>0</v>
      </c>
      <c r="T240" s="231">
        <v>144.96</v>
      </c>
      <c r="U240" s="231">
        <v>265.76</v>
      </c>
      <c r="V240" s="231">
        <v>-6.04</v>
      </c>
      <c r="W240" s="231"/>
      <c r="X240" s="388">
        <f t="shared" si="79"/>
        <v>404.68</v>
      </c>
      <c r="Y240" s="389"/>
      <c r="Z240" s="389"/>
      <c r="AA240" s="233"/>
      <c r="AB240" s="233"/>
      <c r="AC240" s="233">
        <f t="shared" si="80"/>
        <v>0</v>
      </c>
      <c r="AD240" s="233">
        <f t="shared" si="81"/>
        <v>0</v>
      </c>
      <c r="AE240" s="232">
        <f t="shared" si="82"/>
        <v>0</v>
      </c>
      <c r="AF240" s="232">
        <f t="shared" si="83"/>
        <v>0</v>
      </c>
      <c r="AG240" s="232">
        <f t="shared" si="84"/>
        <v>0</v>
      </c>
      <c r="AH240" s="232">
        <f t="shared" si="85"/>
        <v>0</v>
      </c>
      <c r="AI240" s="232">
        <f t="shared" si="86"/>
        <v>24</v>
      </c>
      <c r="AJ240" s="232">
        <f t="shared" si="87"/>
        <v>44</v>
      </c>
      <c r="AK240" s="232">
        <f t="shared" si="88"/>
        <v>-1</v>
      </c>
      <c r="AL240" s="232">
        <f>IFERROR(#REF!/$H240,0)</f>
        <v>0</v>
      </c>
      <c r="AM240" s="234">
        <f t="shared" si="89"/>
        <v>6.7</v>
      </c>
      <c r="AN240" s="234">
        <f t="shared" si="90"/>
        <v>67</v>
      </c>
    </row>
    <row r="241" spans="1:40">
      <c r="A241" s="218" t="str">
        <f>$A$1&amp;"Rolloff"&amp;B241</f>
        <v>PIERCE EA UTCRolloffRENT40TEMP-RO</v>
      </c>
      <c r="B241" s="230" t="s">
        <v>562</v>
      </c>
      <c r="C241" s="230" t="s">
        <v>563</v>
      </c>
      <c r="D241" s="230" t="s">
        <v>551</v>
      </c>
      <c r="E241" s="380">
        <v>31002</v>
      </c>
      <c r="F241" s="231">
        <v>7.15</v>
      </c>
      <c r="G241" s="231">
        <v>7.15</v>
      </c>
      <c r="H241" s="231">
        <v>7.08</v>
      </c>
      <c r="I241" s="231">
        <v>7.08</v>
      </c>
      <c r="J241" s="231"/>
      <c r="K241" s="231"/>
      <c r="L241" s="231">
        <v>0</v>
      </c>
      <c r="M241" s="231">
        <v>0</v>
      </c>
      <c r="N241" s="231">
        <v>114.4</v>
      </c>
      <c r="O241" s="231">
        <v>73.88</v>
      </c>
      <c r="P241" s="231">
        <v>0</v>
      </c>
      <c r="Q241" s="231">
        <v>0</v>
      </c>
      <c r="R241" s="231">
        <v>0</v>
      </c>
      <c r="S241" s="231">
        <v>0</v>
      </c>
      <c r="T241" s="231">
        <v>0</v>
      </c>
      <c r="U241" s="231">
        <v>0</v>
      </c>
      <c r="V241" s="231">
        <v>42.48</v>
      </c>
      <c r="W241" s="231"/>
      <c r="X241" s="388">
        <f t="shared" si="79"/>
        <v>230.76</v>
      </c>
      <c r="Y241" s="389"/>
      <c r="Z241" s="389"/>
      <c r="AA241" s="233"/>
      <c r="AB241" s="233"/>
      <c r="AC241" s="233">
        <f t="shared" si="80"/>
        <v>16</v>
      </c>
      <c r="AD241" s="233">
        <f t="shared" si="81"/>
        <v>10.332867132867131</v>
      </c>
      <c r="AE241" s="232">
        <f t="shared" si="82"/>
        <v>0</v>
      </c>
      <c r="AF241" s="232">
        <f t="shared" si="83"/>
        <v>0</v>
      </c>
      <c r="AG241" s="232">
        <f t="shared" si="84"/>
        <v>0</v>
      </c>
      <c r="AH241" s="232">
        <f t="shared" si="85"/>
        <v>0</v>
      </c>
      <c r="AI241" s="232">
        <f t="shared" si="86"/>
        <v>0</v>
      </c>
      <c r="AJ241" s="232">
        <f t="shared" si="87"/>
        <v>0</v>
      </c>
      <c r="AK241" s="232">
        <f t="shared" si="88"/>
        <v>5.9999999999999991</v>
      </c>
      <c r="AL241" s="232">
        <f>IFERROR(#REF!/$H241,0)</f>
        <v>0</v>
      </c>
      <c r="AM241" s="234">
        <f t="shared" si="89"/>
        <v>3.2332867132867129</v>
      </c>
      <c r="AN241" s="234">
        <f t="shared" si="90"/>
        <v>32.332867132867129</v>
      </c>
    </row>
    <row r="242" spans="1:40">
      <c r="A242" s="218" t="str">
        <f>$A$1&amp;"Rolloff"&amp;B242</f>
        <v>PIERCE EA UTCRolloffDISCO-CP</v>
      </c>
      <c r="B242" s="230" t="s">
        <v>570</v>
      </c>
      <c r="C242" s="230" t="s">
        <v>563</v>
      </c>
      <c r="D242" s="230" t="s">
        <v>551</v>
      </c>
      <c r="E242" s="380">
        <v>31002</v>
      </c>
      <c r="F242" s="231">
        <v>10.5</v>
      </c>
      <c r="G242" s="231">
        <v>10.5</v>
      </c>
      <c r="H242" s="231">
        <v>10.4</v>
      </c>
      <c r="I242" s="231">
        <v>10.4</v>
      </c>
      <c r="J242" s="231"/>
      <c r="K242" s="231"/>
      <c r="L242" s="231">
        <v>0</v>
      </c>
      <c r="M242" s="231">
        <v>0</v>
      </c>
      <c r="N242" s="231">
        <v>0</v>
      </c>
      <c r="O242" s="231">
        <v>0</v>
      </c>
      <c r="P242" s="231">
        <v>0</v>
      </c>
      <c r="Q242" s="231">
        <v>0</v>
      </c>
      <c r="R242" s="231">
        <v>0</v>
      </c>
      <c r="S242" s="231">
        <v>0</v>
      </c>
      <c r="T242" s="231">
        <v>0</v>
      </c>
      <c r="U242" s="231">
        <v>0</v>
      </c>
      <c r="V242" s="231">
        <v>0</v>
      </c>
      <c r="W242" s="231"/>
      <c r="X242" s="388">
        <f t="shared" si="79"/>
        <v>0</v>
      </c>
      <c r="Y242" s="389"/>
      <c r="Z242" s="389"/>
      <c r="AA242" s="233"/>
      <c r="AB242" s="233"/>
      <c r="AC242" s="233">
        <f t="shared" si="80"/>
        <v>0</v>
      </c>
      <c r="AD242" s="233">
        <f t="shared" si="81"/>
        <v>0</v>
      </c>
      <c r="AE242" s="232">
        <f t="shared" si="82"/>
        <v>0</v>
      </c>
      <c r="AF242" s="232">
        <f t="shared" si="83"/>
        <v>0</v>
      </c>
      <c r="AG242" s="232">
        <f t="shared" si="84"/>
        <v>0</v>
      </c>
      <c r="AH242" s="232">
        <f t="shared" si="85"/>
        <v>0</v>
      </c>
      <c r="AI242" s="232">
        <f t="shared" si="86"/>
        <v>0</v>
      </c>
      <c r="AJ242" s="232">
        <f t="shared" si="87"/>
        <v>0</v>
      </c>
      <c r="AK242" s="232">
        <f t="shared" si="88"/>
        <v>0</v>
      </c>
      <c r="AL242" s="232">
        <f>IFERROR(#REF!/$H242,0)</f>
        <v>0</v>
      </c>
      <c r="AM242" s="234">
        <f t="shared" si="89"/>
        <v>0</v>
      </c>
      <c r="AN242" s="234">
        <f t="shared" si="90"/>
        <v>0</v>
      </c>
    </row>
    <row r="243" spans="1:40">
      <c r="A243" s="218" t="str">
        <f>$A$1&amp;"Rolloff"&amp;B243</f>
        <v>PIERCE EA UTCRolloffCLEAN20-RO</v>
      </c>
      <c r="B243" s="230" t="s">
        <v>564</v>
      </c>
      <c r="C243" s="230" t="s">
        <v>565</v>
      </c>
      <c r="D243" s="230" t="s">
        <v>508</v>
      </c>
      <c r="E243" s="380">
        <v>31000</v>
      </c>
      <c r="F243" s="231">
        <v>95</v>
      </c>
      <c r="G243" s="231">
        <v>95</v>
      </c>
      <c r="H243" s="231">
        <v>94.2</v>
      </c>
      <c r="I243" s="231">
        <v>94.2</v>
      </c>
      <c r="J243" s="231"/>
      <c r="K243" s="231"/>
      <c r="L243" s="231">
        <v>0</v>
      </c>
      <c r="M243" s="231">
        <v>0</v>
      </c>
      <c r="N243" s="231">
        <v>0</v>
      </c>
      <c r="O243" s="231">
        <v>0</v>
      </c>
      <c r="P243" s="231">
        <v>0</v>
      </c>
      <c r="Q243" s="231">
        <v>0</v>
      </c>
      <c r="R243" s="231">
        <v>0</v>
      </c>
      <c r="S243" s="231">
        <v>0</v>
      </c>
      <c r="T243" s="231">
        <v>0</v>
      </c>
      <c r="U243" s="231">
        <v>0</v>
      </c>
      <c r="V243" s="231">
        <v>0</v>
      </c>
      <c r="W243" s="231"/>
      <c r="X243" s="388">
        <f t="shared" si="79"/>
        <v>0</v>
      </c>
      <c r="Y243" s="389"/>
      <c r="Z243" s="389"/>
      <c r="AA243" s="233"/>
      <c r="AB243" s="233"/>
      <c r="AC243" s="233">
        <f t="shared" si="80"/>
        <v>0</v>
      </c>
      <c r="AD243" s="233">
        <f t="shared" si="81"/>
        <v>0</v>
      </c>
      <c r="AE243" s="232">
        <f t="shared" si="82"/>
        <v>0</v>
      </c>
      <c r="AF243" s="232">
        <f t="shared" si="83"/>
        <v>0</v>
      </c>
      <c r="AG243" s="232">
        <f t="shared" si="84"/>
        <v>0</v>
      </c>
      <c r="AH243" s="232">
        <f t="shared" si="85"/>
        <v>0</v>
      </c>
      <c r="AI243" s="232">
        <f t="shared" si="86"/>
        <v>0</v>
      </c>
      <c r="AJ243" s="232">
        <f t="shared" si="87"/>
        <v>0</v>
      </c>
      <c r="AK243" s="232">
        <f t="shared" si="88"/>
        <v>0</v>
      </c>
      <c r="AL243" s="232">
        <f>IFERROR(#REF!/$H243,0)</f>
        <v>0</v>
      </c>
      <c r="AM243" s="234">
        <f t="shared" si="89"/>
        <v>0</v>
      </c>
      <c r="AN243" s="234">
        <f t="shared" si="90"/>
        <v>0</v>
      </c>
    </row>
    <row r="244" spans="1:40">
      <c r="A244" s="218" t="str">
        <f>$A$1&amp;"Rolloff"&amp;B244</f>
        <v>PIERCE EA UTCRolloffCLEAN25-RO</v>
      </c>
      <c r="B244" s="230" t="s">
        <v>566</v>
      </c>
      <c r="C244" s="230" t="s">
        <v>567</v>
      </c>
      <c r="D244" s="230" t="s">
        <v>508</v>
      </c>
      <c r="E244" s="380">
        <v>31000</v>
      </c>
      <c r="F244" s="231">
        <v>118.75</v>
      </c>
      <c r="G244" s="231">
        <v>118.75</v>
      </c>
      <c r="H244" s="231">
        <v>117.75</v>
      </c>
      <c r="I244" s="231">
        <v>117.75</v>
      </c>
      <c r="J244" s="231"/>
      <c r="K244" s="231"/>
      <c r="L244" s="231">
        <v>0</v>
      </c>
      <c r="M244" s="231">
        <v>0</v>
      </c>
      <c r="N244" s="231">
        <v>0</v>
      </c>
      <c r="O244" s="231">
        <v>0</v>
      </c>
      <c r="P244" s="231">
        <v>0</v>
      </c>
      <c r="Q244" s="231">
        <v>0</v>
      </c>
      <c r="R244" s="231">
        <v>0</v>
      </c>
      <c r="S244" s="231">
        <v>0</v>
      </c>
      <c r="T244" s="231">
        <v>0</v>
      </c>
      <c r="U244" s="231">
        <v>0</v>
      </c>
      <c r="V244" s="231">
        <v>0</v>
      </c>
      <c r="W244" s="231"/>
      <c r="X244" s="388">
        <f t="shared" si="79"/>
        <v>0</v>
      </c>
      <c r="Y244" s="389"/>
      <c r="Z244" s="389"/>
      <c r="AA244" s="233"/>
      <c r="AB244" s="233"/>
      <c r="AC244" s="233">
        <f t="shared" si="80"/>
        <v>0</v>
      </c>
      <c r="AD244" s="233">
        <f t="shared" si="81"/>
        <v>0</v>
      </c>
      <c r="AE244" s="232">
        <f t="shared" si="82"/>
        <v>0</v>
      </c>
      <c r="AF244" s="232">
        <f t="shared" si="83"/>
        <v>0</v>
      </c>
      <c r="AG244" s="232">
        <f t="shared" si="84"/>
        <v>0</v>
      </c>
      <c r="AH244" s="232">
        <f t="shared" si="85"/>
        <v>0</v>
      </c>
      <c r="AI244" s="232">
        <f t="shared" si="86"/>
        <v>0</v>
      </c>
      <c r="AJ244" s="232">
        <f t="shared" si="87"/>
        <v>0</v>
      </c>
      <c r="AK244" s="232">
        <f t="shared" si="88"/>
        <v>0</v>
      </c>
      <c r="AL244" s="232">
        <f>IFERROR(#REF!/$H244,0)</f>
        <v>0</v>
      </c>
      <c r="AM244" s="234">
        <f t="shared" si="89"/>
        <v>0</v>
      </c>
      <c r="AN244" s="234">
        <f t="shared" si="90"/>
        <v>0</v>
      </c>
    </row>
    <row r="245" spans="1:40">
      <c r="A245" s="218" t="str">
        <f>$A$1&amp;"Rolloff"&amp;B245</f>
        <v>PIERCE EA UTCRolloffCLEAN30-RO</v>
      </c>
      <c r="B245" s="230" t="s">
        <v>568</v>
      </c>
      <c r="C245" s="230" t="s">
        <v>569</v>
      </c>
      <c r="D245" s="230" t="s">
        <v>508</v>
      </c>
      <c r="E245" s="380">
        <v>31000</v>
      </c>
      <c r="F245" s="231">
        <v>142.5</v>
      </c>
      <c r="G245" s="231">
        <v>142.5</v>
      </c>
      <c r="H245" s="231">
        <v>141.30000000000001</v>
      </c>
      <c r="I245" s="231">
        <v>141.30000000000001</v>
      </c>
      <c r="J245" s="231"/>
      <c r="K245" s="231"/>
      <c r="L245" s="231">
        <v>0</v>
      </c>
      <c r="M245" s="231">
        <v>0</v>
      </c>
      <c r="N245" s="231">
        <v>0</v>
      </c>
      <c r="O245" s="231">
        <v>0</v>
      </c>
      <c r="P245" s="231">
        <v>0</v>
      </c>
      <c r="Q245" s="231">
        <v>0</v>
      </c>
      <c r="R245" s="231">
        <v>0</v>
      </c>
      <c r="S245" s="231">
        <v>0</v>
      </c>
      <c r="T245" s="231">
        <v>0</v>
      </c>
      <c r="U245" s="231">
        <v>0</v>
      </c>
      <c r="V245" s="231">
        <v>0</v>
      </c>
      <c r="W245" s="231"/>
      <c r="X245" s="388">
        <f t="shared" si="79"/>
        <v>0</v>
      </c>
      <c r="Y245" s="389"/>
      <c r="Z245" s="389"/>
      <c r="AA245" s="233"/>
      <c r="AB245" s="233"/>
      <c r="AC245" s="233">
        <f t="shared" si="80"/>
        <v>0</v>
      </c>
      <c r="AD245" s="233">
        <f t="shared" si="81"/>
        <v>0</v>
      </c>
      <c r="AE245" s="232">
        <f t="shared" si="82"/>
        <v>0</v>
      </c>
      <c r="AF245" s="232">
        <f t="shared" si="83"/>
        <v>0</v>
      </c>
      <c r="AG245" s="232">
        <f t="shared" si="84"/>
        <v>0</v>
      </c>
      <c r="AH245" s="232">
        <f t="shared" si="85"/>
        <v>0</v>
      </c>
      <c r="AI245" s="232">
        <f t="shared" si="86"/>
        <v>0</v>
      </c>
      <c r="AJ245" s="232">
        <f t="shared" si="87"/>
        <v>0</v>
      </c>
      <c r="AK245" s="232">
        <f t="shared" si="88"/>
        <v>0</v>
      </c>
      <c r="AL245" s="232">
        <f>IFERROR(#REF!/$H245,0)</f>
        <v>0</v>
      </c>
      <c r="AM245" s="234">
        <f t="shared" si="89"/>
        <v>0</v>
      </c>
      <c r="AN245" s="234">
        <f t="shared" si="90"/>
        <v>0</v>
      </c>
    </row>
    <row r="246" spans="1:40">
      <c r="A246" s="218" t="str">
        <f>$A$1&amp;"Rolloff"&amp;B246</f>
        <v>PIERCE EA UTCRolloffCLEAN40-RO</v>
      </c>
      <c r="B246" s="230" t="s">
        <v>714</v>
      </c>
      <c r="C246" s="230" t="s">
        <v>569</v>
      </c>
      <c r="D246" s="230" t="s">
        <v>508</v>
      </c>
      <c r="E246" s="380">
        <v>31000</v>
      </c>
      <c r="F246" s="231">
        <v>190</v>
      </c>
      <c r="G246" s="231">
        <v>190</v>
      </c>
      <c r="H246" s="231">
        <v>188.4</v>
      </c>
      <c r="I246" s="231">
        <v>188.4</v>
      </c>
      <c r="J246" s="231"/>
      <c r="K246" s="231"/>
      <c r="L246" s="231">
        <v>0</v>
      </c>
      <c r="M246" s="231">
        <v>0</v>
      </c>
      <c r="N246" s="231">
        <v>0</v>
      </c>
      <c r="O246" s="231">
        <v>0</v>
      </c>
      <c r="P246" s="231">
        <v>0</v>
      </c>
      <c r="Q246" s="231">
        <v>0</v>
      </c>
      <c r="R246" s="231">
        <v>0</v>
      </c>
      <c r="S246" s="231">
        <v>0</v>
      </c>
      <c r="T246" s="231">
        <v>0</v>
      </c>
      <c r="U246" s="231">
        <v>0</v>
      </c>
      <c r="V246" s="231">
        <v>0</v>
      </c>
      <c r="W246" s="231"/>
      <c r="X246" s="388">
        <f t="shared" si="79"/>
        <v>0</v>
      </c>
      <c r="Y246" s="389"/>
      <c r="Z246" s="389"/>
      <c r="AA246" s="233"/>
      <c r="AB246" s="233"/>
      <c r="AC246" s="233">
        <f t="shared" si="80"/>
        <v>0</v>
      </c>
      <c r="AD246" s="233">
        <f t="shared" si="81"/>
        <v>0</v>
      </c>
      <c r="AE246" s="232">
        <f t="shared" si="82"/>
        <v>0</v>
      </c>
      <c r="AF246" s="232">
        <f t="shared" si="83"/>
        <v>0</v>
      </c>
      <c r="AG246" s="232">
        <f t="shared" si="84"/>
        <v>0</v>
      </c>
      <c r="AH246" s="232">
        <f t="shared" si="85"/>
        <v>0</v>
      </c>
      <c r="AI246" s="232">
        <f t="shared" si="86"/>
        <v>0</v>
      </c>
      <c r="AJ246" s="232">
        <f t="shared" si="87"/>
        <v>0</v>
      </c>
      <c r="AK246" s="232">
        <f t="shared" si="88"/>
        <v>0</v>
      </c>
      <c r="AL246" s="232">
        <f>IFERROR(#REF!/$H246,0)</f>
        <v>0</v>
      </c>
      <c r="AM246" s="234">
        <f t="shared" si="89"/>
        <v>0</v>
      </c>
      <c r="AN246" s="234">
        <f t="shared" si="90"/>
        <v>0</v>
      </c>
    </row>
    <row r="247" spans="1:40" ht="13.5" customHeight="1">
      <c r="A247" s="218" t="str">
        <f>$A$1&amp;"Rolloff"&amp;B247</f>
        <v>PIERCE EA UTCRolloffEXWGHT-RO</v>
      </c>
      <c r="B247" s="230" t="s">
        <v>571</v>
      </c>
      <c r="C247" s="230" t="s">
        <v>572</v>
      </c>
      <c r="D247" s="230" t="s">
        <v>508</v>
      </c>
      <c r="E247" s="380">
        <v>31000</v>
      </c>
      <c r="F247" s="231">
        <v>0.19</v>
      </c>
      <c r="G247" s="231">
        <v>0.19</v>
      </c>
      <c r="H247" s="231">
        <v>0.19</v>
      </c>
      <c r="I247" s="231">
        <v>0.19</v>
      </c>
      <c r="J247" s="253"/>
      <c r="K247" s="231"/>
      <c r="L247" s="231">
        <v>0</v>
      </c>
      <c r="M247" s="231">
        <v>0</v>
      </c>
      <c r="N247" s="231">
        <v>0</v>
      </c>
      <c r="O247" s="231">
        <v>0</v>
      </c>
      <c r="P247" s="231">
        <v>0</v>
      </c>
      <c r="Q247" s="231">
        <v>0</v>
      </c>
      <c r="R247" s="231">
        <v>0</v>
      </c>
      <c r="S247" s="231">
        <v>0</v>
      </c>
      <c r="T247" s="231">
        <v>0</v>
      </c>
      <c r="U247" s="231">
        <v>0</v>
      </c>
      <c r="V247" s="231">
        <v>0</v>
      </c>
      <c r="W247" s="231"/>
      <c r="X247" s="388">
        <f t="shared" si="79"/>
        <v>0</v>
      </c>
      <c r="Y247" s="389"/>
      <c r="Z247" s="389"/>
      <c r="AA247" s="233"/>
      <c r="AB247" s="233"/>
      <c r="AC247" s="233">
        <f t="shared" si="80"/>
        <v>0</v>
      </c>
      <c r="AD247" s="233">
        <f t="shared" si="81"/>
        <v>0</v>
      </c>
      <c r="AE247" s="232">
        <f t="shared" si="82"/>
        <v>0</v>
      </c>
      <c r="AF247" s="232">
        <f t="shared" si="83"/>
        <v>0</v>
      </c>
      <c r="AG247" s="232">
        <f t="shared" si="84"/>
        <v>0</v>
      </c>
      <c r="AH247" s="232">
        <f t="shared" si="85"/>
        <v>0</v>
      </c>
      <c r="AI247" s="232">
        <f t="shared" si="86"/>
        <v>0</v>
      </c>
      <c r="AJ247" s="232">
        <f t="shared" si="87"/>
        <v>0</v>
      </c>
      <c r="AK247" s="232">
        <f t="shared" si="88"/>
        <v>0</v>
      </c>
      <c r="AL247" s="232">
        <f>IFERROR(#REF!/$H247,0)</f>
        <v>0</v>
      </c>
      <c r="AM247" s="234">
        <f t="shared" si="89"/>
        <v>0</v>
      </c>
      <c r="AN247" s="234">
        <f t="shared" si="90"/>
        <v>0</v>
      </c>
    </row>
    <row r="248" spans="1:40" ht="13.5" customHeight="1">
      <c r="A248" s="419" t="str">
        <f>$A$1&amp;"Rolloff"&amp;B248</f>
        <v>PIERCE EA UTCRolloffFERRY-RO</v>
      </c>
      <c r="B248" s="420" t="s">
        <v>573</v>
      </c>
      <c r="C248" s="420" t="s">
        <v>574</v>
      </c>
      <c r="D248" s="420" t="s">
        <v>508</v>
      </c>
      <c r="E248" s="421">
        <v>31000</v>
      </c>
      <c r="F248" s="422">
        <v>0</v>
      </c>
      <c r="G248" s="422">
        <v>0</v>
      </c>
      <c r="H248" s="422">
        <v>0</v>
      </c>
      <c r="I248" s="422">
        <v>0</v>
      </c>
      <c r="J248" s="423"/>
      <c r="K248" s="422"/>
      <c r="L248" s="422">
        <v>0</v>
      </c>
      <c r="M248" s="422">
        <v>0</v>
      </c>
      <c r="N248" s="422">
        <v>0</v>
      </c>
      <c r="O248" s="422">
        <v>0</v>
      </c>
      <c r="P248" s="422">
        <v>0</v>
      </c>
      <c r="Q248" s="422">
        <v>0</v>
      </c>
      <c r="R248" s="422">
        <v>0</v>
      </c>
      <c r="S248" s="422">
        <v>0</v>
      </c>
      <c r="T248" s="422">
        <v>0</v>
      </c>
      <c r="U248" s="422">
        <v>0</v>
      </c>
      <c r="V248" s="422">
        <v>0</v>
      </c>
      <c r="W248" s="422"/>
      <c r="X248" s="422">
        <f t="shared" si="79"/>
        <v>0</v>
      </c>
      <c r="Y248" s="389"/>
      <c r="Z248" s="389"/>
      <c r="AA248" s="233"/>
      <c r="AB248" s="233"/>
      <c r="AC248" s="233">
        <f t="shared" si="80"/>
        <v>0</v>
      </c>
      <c r="AD248" s="233">
        <f t="shared" si="81"/>
        <v>0</v>
      </c>
      <c r="AE248" s="232">
        <f t="shared" si="82"/>
        <v>0</v>
      </c>
      <c r="AF248" s="232">
        <f t="shared" si="83"/>
        <v>0</v>
      </c>
      <c r="AG248" s="232">
        <f t="shared" si="84"/>
        <v>0</v>
      </c>
      <c r="AH248" s="232">
        <f t="shared" si="85"/>
        <v>0</v>
      </c>
      <c r="AI248" s="232">
        <f t="shared" si="86"/>
        <v>0</v>
      </c>
      <c r="AJ248" s="232">
        <f t="shared" si="87"/>
        <v>0</v>
      </c>
      <c r="AK248" s="232">
        <f t="shared" si="88"/>
        <v>0</v>
      </c>
      <c r="AL248" s="232">
        <f>IFERROR(#REF!/$H248,0)</f>
        <v>0</v>
      </c>
      <c r="AM248" s="234">
        <f t="shared" si="89"/>
        <v>0</v>
      </c>
      <c r="AN248" s="234">
        <f t="shared" si="90"/>
        <v>0</v>
      </c>
    </row>
    <row r="249" spans="1:40">
      <c r="A249" s="218" t="str">
        <f>$A$1&amp;"Rolloff"&amp;B249</f>
        <v>PIERCE EA UTCRolloffGATE-RO</v>
      </c>
      <c r="B249" s="230" t="s">
        <v>715</v>
      </c>
      <c r="C249" s="230" t="s">
        <v>576</v>
      </c>
      <c r="D249" s="230" t="s">
        <v>508</v>
      </c>
      <c r="E249" s="380">
        <v>31000</v>
      </c>
      <c r="F249" s="231">
        <v>10.55</v>
      </c>
      <c r="G249" s="231">
        <v>10.55</v>
      </c>
      <c r="H249" s="231">
        <v>10.45</v>
      </c>
      <c r="I249" s="231">
        <v>10.45</v>
      </c>
      <c r="J249" s="231"/>
      <c r="K249" s="231"/>
      <c r="L249" s="231">
        <v>0</v>
      </c>
      <c r="M249" s="231">
        <v>0</v>
      </c>
      <c r="N249" s="231">
        <v>0</v>
      </c>
      <c r="O249" s="231">
        <v>0</v>
      </c>
      <c r="P249" s="231">
        <v>0</v>
      </c>
      <c r="Q249" s="231">
        <v>0</v>
      </c>
      <c r="R249" s="231">
        <v>0</v>
      </c>
      <c r="S249" s="231">
        <v>0</v>
      </c>
      <c r="T249" s="231">
        <v>0</v>
      </c>
      <c r="U249" s="231">
        <v>0</v>
      </c>
      <c r="V249" s="231">
        <v>0</v>
      </c>
      <c r="W249" s="231"/>
      <c r="X249" s="388">
        <f t="shared" si="79"/>
        <v>0</v>
      </c>
      <c r="Y249" s="389"/>
      <c r="Z249" s="389"/>
      <c r="AA249" s="233"/>
      <c r="AB249" s="233"/>
      <c r="AC249" s="233">
        <f t="shared" si="80"/>
        <v>0</v>
      </c>
      <c r="AD249" s="233">
        <f t="shared" si="81"/>
        <v>0</v>
      </c>
      <c r="AE249" s="232">
        <f t="shared" si="82"/>
        <v>0</v>
      </c>
      <c r="AF249" s="232">
        <f t="shared" si="83"/>
        <v>0</v>
      </c>
      <c r="AG249" s="232">
        <f t="shared" si="84"/>
        <v>0</v>
      </c>
      <c r="AH249" s="232">
        <f t="shared" si="85"/>
        <v>0</v>
      </c>
      <c r="AI249" s="232">
        <f t="shared" si="86"/>
        <v>0</v>
      </c>
      <c r="AJ249" s="232">
        <f t="shared" si="87"/>
        <v>0</v>
      </c>
      <c r="AK249" s="232">
        <f t="shared" si="88"/>
        <v>0</v>
      </c>
      <c r="AL249" s="232">
        <f>IFERROR(#REF!/$H249,0)</f>
        <v>0</v>
      </c>
      <c r="AM249" s="234">
        <f t="shared" si="89"/>
        <v>0</v>
      </c>
      <c r="AN249" s="234">
        <f t="shared" si="90"/>
        <v>0</v>
      </c>
    </row>
    <row r="250" spans="1:40">
      <c r="A250" s="218" t="str">
        <f>$A$1&amp;"Rolloff"&amp;B250</f>
        <v>PIERCE EA UTCRolloffLIDRO</v>
      </c>
      <c r="B250" s="230" t="s">
        <v>575</v>
      </c>
      <c r="C250" s="230" t="s">
        <v>576</v>
      </c>
      <c r="D250" s="230" t="s">
        <v>508</v>
      </c>
      <c r="E250" s="380">
        <v>31000</v>
      </c>
      <c r="F250" s="231">
        <v>19.850000000000001</v>
      </c>
      <c r="G250" s="231">
        <v>19.850000000000001</v>
      </c>
      <c r="H250" s="231">
        <v>19.66</v>
      </c>
      <c r="I250" s="231">
        <v>19.66</v>
      </c>
      <c r="J250" s="231"/>
      <c r="K250" s="231"/>
      <c r="L250" s="231">
        <v>0</v>
      </c>
      <c r="M250" s="231">
        <v>0</v>
      </c>
      <c r="N250" s="231">
        <v>0</v>
      </c>
      <c r="O250" s="231">
        <v>0</v>
      </c>
      <c r="P250" s="231">
        <v>0</v>
      </c>
      <c r="Q250" s="231">
        <v>0</v>
      </c>
      <c r="R250" s="231">
        <v>0</v>
      </c>
      <c r="S250" s="231">
        <v>0</v>
      </c>
      <c r="T250" s="231">
        <v>0</v>
      </c>
      <c r="U250" s="231">
        <v>0</v>
      </c>
      <c r="V250" s="231">
        <v>0</v>
      </c>
      <c r="W250" s="231"/>
      <c r="X250" s="388">
        <f t="shared" si="79"/>
        <v>0</v>
      </c>
      <c r="Y250" s="389"/>
      <c r="Z250" s="389"/>
      <c r="AA250" s="233"/>
      <c r="AB250" s="233"/>
      <c r="AC250" s="233">
        <f t="shared" si="80"/>
        <v>0</v>
      </c>
      <c r="AD250" s="233">
        <f t="shared" si="81"/>
        <v>0</v>
      </c>
      <c r="AE250" s="232">
        <f t="shared" si="82"/>
        <v>0</v>
      </c>
      <c r="AF250" s="232">
        <f t="shared" si="83"/>
        <v>0</v>
      </c>
      <c r="AG250" s="232">
        <f t="shared" si="84"/>
        <v>0</v>
      </c>
      <c r="AH250" s="232">
        <f t="shared" si="85"/>
        <v>0</v>
      </c>
      <c r="AI250" s="232">
        <f t="shared" si="86"/>
        <v>0</v>
      </c>
      <c r="AJ250" s="232">
        <f t="shared" si="87"/>
        <v>0</v>
      </c>
      <c r="AK250" s="232">
        <f t="shared" si="88"/>
        <v>0</v>
      </c>
      <c r="AL250" s="232">
        <f>IFERROR(#REF!/$H250,0)</f>
        <v>0</v>
      </c>
      <c r="AM250" s="234">
        <f t="shared" si="89"/>
        <v>0</v>
      </c>
      <c r="AN250" s="234">
        <f t="shared" si="90"/>
        <v>0</v>
      </c>
    </row>
    <row r="251" spans="1:40">
      <c r="A251" s="218" t="str">
        <f>$A$1&amp;"Rolloff"&amp;B251</f>
        <v>PIERCE EA UTCRolloffLOCK-RO</v>
      </c>
      <c r="B251" s="230" t="s">
        <v>577</v>
      </c>
      <c r="C251" s="230" t="s">
        <v>578</v>
      </c>
      <c r="D251" s="230" t="s">
        <v>508</v>
      </c>
      <c r="E251" s="380">
        <v>31000</v>
      </c>
      <c r="F251" s="231">
        <v>10.55</v>
      </c>
      <c r="G251" s="231">
        <v>10.55</v>
      </c>
      <c r="H251" s="231">
        <v>10.45</v>
      </c>
      <c r="I251" s="231">
        <v>10.45</v>
      </c>
      <c r="J251" s="231"/>
      <c r="K251" s="231"/>
      <c r="L251" s="231">
        <v>0</v>
      </c>
      <c r="M251" s="231">
        <v>0</v>
      </c>
      <c r="N251" s="231">
        <v>0</v>
      </c>
      <c r="O251" s="231">
        <v>0</v>
      </c>
      <c r="P251" s="231">
        <v>0</v>
      </c>
      <c r="Q251" s="231">
        <v>0</v>
      </c>
      <c r="R251" s="231">
        <v>0</v>
      </c>
      <c r="S251" s="231">
        <v>0</v>
      </c>
      <c r="T251" s="231">
        <v>0</v>
      </c>
      <c r="U251" s="231">
        <v>0</v>
      </c>
      <c r="V251" s="231">
        <v>0</v>
      </c>
      <c r="W251" s="231"/>
      <c r="X251" s="388">
        <f t="shared" si="79"/>
        <v>0</v>
      </c>
      <c r="Y251" s="389"/>
      <c r="Z251" s="389"/>
      <c r="AA251" s="233"/>
      <c r="AB251" s="233"/>
      <c r="AC251" s="233">
        <f t="shared" si="80"/>
        <v>0</v>
      </c>
      <c r="AD251" s="233">
        <f t="shared" si="81"/>
        <v>0</v>
      </c>
      <c r="AE251" s="232">
        <f t="shared" si="82"/>
        <v>0</v>
      </c>
      <c r="AF251" s="232">
        <f t="shared" si="83"/>
        <v>0</v>
      </c>
      <c r="AG251" s="232">
        <f t="shared" si="84"/>
        <v>0</v>
      </c>
      <c r="AH251" s="232">
        <f t="shared" si="85"/>
        <v>0</v>
      </c>
      <c r="AI251" s="232">
        <f t="shared" si="86"/>
        <v>0</v>
      </c>
      <c r="AJ251" s="232">
        <f t="shared" si="87"/>
        <v>0</v>
      </c>
      <c r="AK251" s="232">
        <f t="shared" si="88"/>
        <v>0</v>
      </c>
      <c r="AL251" s="232">
        <f>IFERROR(#REF!/$H251,0)</f>
        <v>0</v>
      </c>
      <c r="AM251" s="234">
        <f t="shared" si="89"/>
        <v>0</v>
      </c>
      <c r="AN251" s="234">
        <f t="shared" si="90"/>
        <v>0</v>
      </c>
    </row>
    <row r="252" spans="1:40">
      <c r="A252" s="218" t="str">
        <f>$A$1&amp;"Rolloff"&amp;B252</f>
        <v>PIERCE EA UTCRolloffDISPMATT-RO</v>
      </c>
      <c r="B252" s="230" t="s">
        <v>716</v>
      </c>
      <c r="C252" s="230" t="s">
        <v>778</v>
      </c>
      <c r="D252" s="230" t="s">
        <v>508</v>
      </c>
      <c r="E252" s="380">
        <v>31004</v>
      </c>
      <c r="F252" s="231">
        <v>0</v>
      </c>
      <c r="G252" s="231">
        <v>0</v>
      </c>
      <c r="H252" s="231">
        <v>0</v>
      </c>
      <c r="I252" s="231">
        <v>0</v>
      </c>
      <c r="J252" s="231"/>
      <c r="K252" s="231"/>
      <c r="L252" s="231">
        <v>0</v>
      </c>
      <c r="M252" s="231">
        <v>0</v>
      </c>
      <c r="N252" s="231">
        <v>0</v>
      </c>
      <c r="O252" s="231">
        <v>0</v>
      </c>
      <c r="P252" s="231">
        <v>0</v>
      </c>
      <c r="Q252" s="231">
        <v>0</v>
      </c>
      <c r="R252" s="231">
        <v>0</v>
      </c>
      <c r="S252" s="231">
        <v>0</v>
      </c>
      <c r="T252" s="231">
        <v>0</v>
      </c>
      <c r="U252" s="231">
        <v>0</v>
      </c>
      <c r="V252" s="231">
        <v>0</v>
      </c>
      <c r="W252" s="231"/>
      <c r="X252" s="388">
        <f t="shared" si="79"/>
        <v>0</v>
      </c>
      <c r="Y252" s="389"/>
      <c r="Z252" s="389"/>
      <c r="AA252" s="233"/>
      <c r="AB252" s="233"/>
      <c r="AC252" s="233">
        <f t="shared" si="80"/>
        <v>0</v>
      </c>
      <c r="AD252" s="233">
        <f t="shared" si="81"/>
        <v>0</v>
      </c>
      <c r="AE252" s="232">
        <f t="shared" si="82"/>
        <v>0</v>
      </c>
      <c r="AF252" s="232">
        <f t="shared" si="83"/>
        <v>0</v>
      </c>
      <c r="AG252" s="232">
        <f t="shared" si="84"/>
        <v>0</v>
      </c>
      <c r="AH252" s="232">
        <f t="shared" si="85"/>
        <v>0</v>
      </c>
      <c r="AI252" s="232">
        <f t="shared" si="86"/>
        <v>0</v>
      </c>
      <c r="AJ252" s="232">
        <f t="shared" si="87"/>
        <v>0</v>
      </c>
      <c r="AK252" s="232">
        <f t="shared" si="88"/>
        <v>0</v>
      </c>
      <c r="AL252" s="232">
        <f>IFERROR(#REF!/$H252,0)</f>
        <v>0</v>
      </c>
      <c r="AM252" s="234">
        <f t="shared" si="89"/>
        <v>0</v>
      </c>
      <c r="AN252" s="234">
        <f t="shared" si="90"/>
        <v>0</v>
      </c>
    </row>
    <row r="253" spans="1:40">
      <c r="A253" s="218" t="str">
        <f>$A$1&amp;"Rolloff"&amp;B253</f>
        <v>PIERCE EA UTCRolloffDISPSPEC-RO</v>
      </c>
      <c r="B253" s="230" t="s">
        <v>717</v>
      </c>
      <c r="C253" s="230" t="s">
        <v>779</v>
      </c>
      <c r="D253" s="230" t="s">
        <v>508</v>
      </c>
      <c r="E253" s="380">
        <v>31004</v>
      </c>
      <c r="F253" s="231">
        <v>0</v>
      </c>
      <c r="G253" s="231">
        <v>0</v>
      </c>
      <c r="H253" s="231">
        <v>0</v>
      </c>
      <c r="I253" s="231">
        <v>0</v>
      </c>
      <c r="J253" s="231"/>
      <c r="K253" s="231"/>
      <c r="L253" s="231">
        <v>0</v>
      </c>
      <c r="M253" s="231">
        <v>0</v>
      </c>
      <c r="N253" s="231">
        <v>0</v>
      </c>
      <c r="O253" s="231">
        <v>0</v>
      </c>
      <c r="P253" s="231">
        <v>0</v>
      </c>
      <c r="Q253" s="231">
        <v>0</v>
      </c>
      <c r="R253" s="231">
        <v>0</v>
      </c>
      <c r="S253" s="231">
        <v>0</v>
      </c>
      <c r="T253" s="231">
        <v>0</v>
      </c>
      <c r="U253" s="231">
        <v>0</v>
      </c>
      <c r="V253" s="231">
        <v>0</v>
      </c>
      <c r="W253" s="231"/>
      <c r="X253" s="388">
        <f t="shared" si="79"/>
        <v>0</v>
      </c>
      <c r="Y253" s="389"/>
      <c r="Z253" s="389"/>
      <c r="AA253" s="233"/>
      <c r="AB253" s="233"/>
      <c r="AC253" s="233">
        <f t="shared" si="80"/>
        <v>0</v>
      </c>
      <c r="AD253" s="233">
        <f t="shared" si="81"/>
        <v>0</v>
      </c>
      <c r="AE253" s="232">
        <f t="shared" si="82"/>
        <v>0</v>
      </c>
      <c r="AF253" s="232">
        <f t="shared" si="83"/>
        <v>0</v>
      </c>
      <c r="AG253" s="232">
        <f t="shared" si="84"/>
        <v>0</v>
      </c>
      <c r="AH253" s="232">
        <f t="shared" si="85"/>
        <v>0</v>
      </c>
      <c r="AI253" s="232">
        <f t="shared" si="86"/>
        <v>0</v>
      </c>
      <c r="AJ253" s="232">
        <f t="shared" si="87"/>
        <v>0</v>
      </c>
      <c r="AK253" s="232">
        <f t="shared" si="88"/>
        <v>0</v>
      </c>
      <c r="AL253" s="232">
        <f>IFERROR(#REF!/$H253,0)</f>
        <v>0</v>
      </c>
      <c r="AM253" s="234">
        <f t="shared" si="89"/>
        <v>0</v>
      </c>
      <c r="AN253" s="234">
        <f t="shared" si="90"/>
        <v>0</v>
      </c>
    </row>
    <row r="254" spans="1:40">
      <c r="A254" s="218" t="str">
        <f>$A$1&amp;"Rolloff"&amp;B254</f>
        <v>PIERCE EA UTCRolloffDISPTIRES-RO</v>
      </c>
      <c r="B254" s="230" t="s">
        <v>718</v>
      </c>
      <c r="C254" s="230" t="s">
        <v>780</v>
      </c>
      <c r="D254" s="230" t="s">
        <v>508</v>
      </c>
      <c r="E254" s="380">
        <v>31004</v>
      </c>
      <c r="F254" s="231">
        <v>0</v>
      </c>
      <c r="G254" s="231">
        <v>0</v>
      </c>
      <c r="H254" s="231">
        <v>0</v>
      </c>
      <c r="I254" s="231">
        <v>0</v>
      </c>
      <c r="J254" s="231"/>
      <c r="K254" s="231"/>
      <c r="L254" s="231">
        <v>0</v>
      </c>
      <c r="M254" s="231">
        <v>0</v>
      </c>
      <c r="N254" s="231">
        <v>0</v>
      </c>
      <c r="O254" s="231">
        <v>0</v>
      </c>
      <c r="P254" s="231">
        <v>0</v>
      </c>
      <c r="Q254" s="231">
        <v>0</v>
      </c>
      <c r="R254" s="231">
        <v>0</v>
      </c>
      <c r="S254" s="231">
        <v>0</v>
      </c>
      <c r="T254" s="231">
        <v>0</v>
      </c>
      <c r="U254" s="231">
        <v>0</v>
      </c>
      <c r="V254" s="231">
        <v>0</v>
      </c>
      <c r="W254" s="231"/>
      <c r="X254" s="388">
        <f t="shared" si="79"/>
        <v>0</v>
      </c>
      <c r="Y254" s="389"/>
      <c r="Z254" s="389"/>
      <c r="AA254" s="233"/>
      <c r="AB254" s="233"/>
      <c r="AC254" s="233">
        <f t="shared" si="80"/>
        <v>0</v>
      </c>
      <c r="AD254" s="233">
        <f t="shared" si="81"/>
        <v>0</v>
      </c>
      <c r="AE254" s="232">
        <f t="shared" si="82"/>
        <v>0</v>
      </c>
      <c r="AF254" s="232">
        <f t="shared" si="83"/>
        <v>0</v>
      </c>
      <c r="AG254" s="232">
        <f t="shared" si="84"/>
        <v>0</v>
      </c>
      <c r="AH254" s="232">
        <f t="shared" si="85"/>
        <v>0</v>
      </c>
      <c r="AI254" s="232">
        <f t="shared" si="86"/>
        <v>0</v>
      </c>
      <c r="AJ254" s="232">
        <f t="shared" si="87"/>
        <v>0</v>
      </c>
      <c r="AK254" s="232">
        <f t="shared" si="88"/>
        <v>0</v>
      </c>
      <c r="AL254" s="232">
        <f>IFERROR(#REF!/$H254,0)</f>
        <v>0</v>
      </c>
      <c r="AM254" s="234">
        <f t="shared" si="89"/>
        <v>0</v>
      </c>
      <c r="AN254" s="234">
        <f t="shared" si="90"/>
        <v>0</v>
      </c>
    </row>
    <row r="255" spans="1:40">
      <c r="A255" s="218" t="str">
        <f>$A$1&amp;"Rolloff"&amp;B255</f>
        <v>PIERCE EA UTCRolloffMILE-RO</v>
      </c>
      <c r="B255" s="230" t="s">
        <v>579</v>
      </c>
      <c r="C255" s="230" t="s">
        <v>580</v>
      </c>
      <c r="D255" s="230" t="s">
        <v>508</v>
      </c>
      <c r="E255" s="380">
        <v>31000</v>
      </c>
      <c r="F255" s="231">
        <v>3</v>
      </c>
      <c r="G255" s="231">
        <v>3</v>
      </c>
      <c r="H255" s="231">
        <v>2.97</v>
      </c>
      <c r="I255" s="231">
        <v>2.97</v>
      </c>
      <c r="J255" s="231"/>
      <c r="K255" s="231"/>
      <c r="L255" s="231">
        <v>0</v>
      </c>
      <c r="M255" s="231">
        <v>0</v>
      </c>
      <c r="N255" s="231">
        <v>174</v>
      </c>
      <c r="O255" s="231">
        <v>155.72999999999999</v>
      </c>
      <c r="P255" s="231">
        <v>74.25</v>
      </c>
      <c r="Q255" s="231">
        <v>0</v>
      </c>
      <c r="R255" s="231">
        <v>0</v>
      </c>
      <c r="S255" s="231">
        <v>0</v>
      </c>
      <c r="T255" s="231">
        <v>80.459999999999994</v>
      </c>
      <c r="U255" s="231">
        <v>166.88</v>
      </c>
      <c r="V255" s="231">
        <v>151.97999999999999</v>
      </c>
      <c r="W255" s="231"/>
      <c r="X255" s="388">
        <f t="shared" si="79"/>
        <v>803.3</v>
      </c>
      <c r="Y255" s="389"/>
      <c r="Z255" s="389"/>
      <c r="AA255" s="233"/>
      <c r="AB255" s="233"/>
      <c r="AC255" s="233">
        <f t="shared" si="80"/>
        <v>58</v>
      </c>
      <c r="AD255" s="233">
        <f t="shared" si="81"/>
        <v>51.91</v>
      </c>
      <c r="AE255" s="232">
        <f t="shared" si="82"/>
        <v>25</v>
      </c>
      <c r="AF255" s="232">
        <f t="shared" si="83"/>
        <v>0</v>
      </c>
      <c r="AG255" s="232">
        <f t="shared" si="84"/>
        <v>0</v>
      </c>
      <c r="AH255" s="232">
        <f t="shared" si="85"/>
        <v>0</v>
      </c>
      <c r="AI255" s="232">
        <f t="shared" si="86"/>
        <v>27.090909090909086</v>
      </c>
      <c r="AJ255" s="232">
        <f t="shared" si="87"/>
        <v>56.188552188552187</v>
      </c>
      <c r="AK255" s="232">
        <f t="shared" si="88"/>
        <v>51.171717171717162</v>
      </c>
      <c r="AL255" s="232">
        <f>IFERROR(#REF!/$H255,0)</f>
        <v>0</v>
      </c>
      <c r="AM255" s="234">
        <f t="shared" si="89"/>
        <v>26.936117845117842</v>
      </c>
      <c r="AN255" s="234">
        <f t="shared" si="90"/>
        <v>269.36117845117843</v>
      </c>
    </row>
    <row r="256" spans="1:40">
      <c r="A256" s="218" t="str">
        <f>$A$1&amp;"Rolloff"&amp;B256</f>
        <v>PIERCE EA UTCRolloffRTRNTRIP-RO</v>
      </c>
      <c r="B256" s="230" t="s">
        <v>581</v>
      </c>
      <c r="C256" s="230" t="s">
        <v>582</v>
      </c>
      <c r="D256" s="230" t="s">
        <v>508</v>
      </c>
      <c r="E256" s="380">
        <v>31000</v>
      </c>
      <c r="F256" s="231">
        <v>60</v>
      </c>
      <c r="G256" s="231">
        <v>60</v>
      </c>
      <c r="H256" s="231">
        <v>59.43</v>
      </c>
      <c r="I256" s="231">
        <v>59.43</v>
      </c>
      <c r="J256" s="231"/>
      <c r="K256" s="231"/>
      <c r="L256" s="231">
        <v>0</v>
      </c>
      <c r="M256" s="231">
        <v>0</v>
      </c>
      <c r="N256" s="231">
        <v>0</v>
      </c>
      <c r="O256" s="231">
        <v>0</v>
      </c>
      <c r="P256" s="231">
        <v>0</v>
      </c>
      <c r="Q256" s="231">
        <v>0</v>
      </c>
      <c r="R256" s="231">
        <v>0</v>
      </c>
      <c r="S256" s="231">
        <v>0</v>
      </c>
      <c r="T256" s="231">
        <v>0</v>
      </c>
      <c r="U256" s="231">
        <v>0</v>
      </c>
      <c r="V256" s="231">
        <v>0</v>
      </c>
      <c r="W256" s="231"/>
      <c r="X256" s="388">
        <f t="shared" si="79"/>
        <v>0</v>
      </c>
      <c r="Y256" s="389"/>
      <c r="Z256" s="389"/>
      <c r="AA256" s="233"/>
      <c r="AB256" s="233"/>
      <c r="AC256" s="233">
        <f t="shared" si="80"/>
        <v>0</v>
      </c>
      <c r="AD256" s="233">
        <f t="shared" si="81"/>
        <v>0</v>
      </c>
      <c r="AE256" s="232">
        <f t="shared" si="82"/>
        <v>0</v>
      </c>
      <c r="AF256" s="232">
        <f t="shared" si="83"/>
        <v>0</v>
      </c>
      <c r="AG256" s="232">
        <f t="shared" si="84"/>
        <v>0</v>
      </c>
      <c r="AH256" s="232">
        <f t="shared" si="85"/>
        <v>0</v>
      </c>
      <c r="AI256" s="232">
        <f t="shared" si="86"/>
        <v>0</v>
      </c>
      <c r="AJ256" s="232">
        <f t="shared" si="87"/>
        <v>0</v>
      </c>
      <c r="AK256" s="232">
        <f t="shared" si="88"/>
        <v>0</v>
      </c>
      <c r="AL256" s="232">
        <f>IFERROR(#REF!/$H256,0)</f>
        <v>0</v>
      </c>
      <c r="AM256" s="234">
        <f t="shared" si="89"/>
        <v>0</v>
      </c>
      <c r="AN256" s="234">
        <f t="shared" si="90"/>
        <v>0</v>
      </c>
    </row>
    <row r="257" spans="1:41">
      <c r="A257" s="218" t="str">
        <f>$A$1&amp;"Rolloff"&amp;B257</f>
        <v>PIERCE EA UTCRolloffTIME-RO</v>
      </c>
      <c r="B257" s="230" t="s">
        <v>583</v>
      </c>
      <c r="C257" s="230" t="s">
        <v>584</v>
      </c>
      <c r="D257" s="230" t="s">
        <v>508</v>
      </c>
      <c r="E257" s="380">
        <v>31000</v>
      </c>
      <c r="F257" s="231">
        <v>112.5</v>
      </c>
      <c r="G257" s="231">
        <v>112.5</v>
      </c>
      <c r="H257" s="231">
        <v>111.44</v>
      </c>
      <c r="I257" s="231">
        <v>111.44</v>
      </c>
      <c r="J257" s="231"/>
      <c r="K257" s="231"/>
      <c r="L257" s="231">
        <v>0</v>
      </c>
      <c r="M257" s="231">
        <v>0</v>
      </c>
      <c r="N257" s="231">
        <v>0</v>
      </c>
      <c r="O257" s="231">
        <v>0</v>
      </c>
      <c r="P257" s="231">
        <v>0</v>
      </c>
      <c r="Q257" s="231">
        <v>0</v>
      </c>
      <c r="R257" s="231">
        <v>0</v>
      </c>
      <c r="S257" s="231">
        <v>0</v>
      </c>
      <c r="T257" s="231">
        <v>0</v>
      </c>
      <c r="U257" s="231">
        <v>0</v>
      </c>
      <c r="V257" s="231">
        <v>0</v>
      </c>
      <c r="W257" s="231"/>
      <c r="X257" s="388">
        <f t="shared" si="79"/>
        <v>0</v>
      </c>
      <c r="Y257" s="389"/>
      <c r="Z257" s="389"/>
      <c r="AA257" s="233"/>
      <c r="AB257" s="233"/>
      <c r="AC257" s="233">
        <f t="shared" si="80"/>
        <v>0</v>
      </c>
      <c r="AD257" s="233">
        <f t="shared" si="81"/>
        <v>0</v>
      </c>
      <c r="AE257" s="232">
        <f t="shared" si="82"/>
        <v>0</v>
      </c>
      <c r="AF257" s="232">
        <f t="shared" si="83"/>
        <v>0</v>
      </c>
      <c r="AG257" s="232">
        <f t="shared" si="84"/>
        <v>0</v>
      </c>
      <c r="AH257" s="232">
        <f t="shared" si="85"/>
        <v>0</v>
      </c>
      <c r="AI257" s="232">
        <f t="shared" si="86"/>
        <v>0</v>
      </c>
      <c r="AJ257" s="232">
        <f t="shared" si="87"/>
        <v>0</v>
      </c>
      <c r="AK257" s="232">
        <f t="shared" si="88"/>
        <v>0</v>
      </c>
      <c r="AL257" s="232">
        <f>IFERROR(#REF!/$H257,0)</f>
        <v>0</v>
      </c>
      <c r="AM257" s="234">
        <f t="shared" si="89"/>
        <v>0</v>
      </c>
      <c r="AN257" s="234">
        <f t="shared" si="90"/>
        <v>0</v>
      </c>
    </row>
    <row r="258" spans="1:41">
      <c r="B258" s="230"/>
      <c r="C258" s="230"/>
      <c r="D258" s="230"/>
      <c r="F258" s="231"/>
      <c r="G258" s="231"/>
      <c r="H258" s="231"/>
      <c r="I258" s="231"/>
      <c r="J258" s="231"/>
      <c r="K258" s="231"/>
      <c r="L258" s="231"/>
      <c r="M258" s="231"/>
      <c r="N258" s="231"/>
      <c r="O258" s="231"/>
      <c r="P258" s="231"/>
      <c r="Q258" s="231"/>
      <c r="R258" s="231"/>
      <c r="S258" s="231"/>
      <c r="T258" s="231"/>
      <c r="U258" s="231"/>
      <c r="V258" s="231"/>
      <c r="W258" s="240"/>
      <c r="X258" s="388"/>
      <c r="Y258" s="389"/>
      <c r="Z258" s="389"/>
      <c r="AA258" s="233"/>
      <c r="AB258" s="233"/>
      <c r="AC258" s="232"/>
      <c r="AD258" s="232"/>
      <c r="AE258" s="232"/>
      <c r="AF258" s="232"/>
      <c r="AG258" s="232"/>
      <c r="AH258" s="232"/>
      <c r="AI258" s="232"/>
      <c r="AJ258" s="232"/>
      <c r="AK258" s="232"/>
      <c r="AL258" s="232"/>
    </row>
    <row r="259" spans="1:41">
      <c r="B259" s="230"/>
      <c r="C259" s="235" t="s">
        <v>146</v>
      </c>
      <c r="D259" s="230"/>
      <c r="F259" s="231"/>
      <c r="G259" s="231"/>
      <c r="H259" s="231"/>
      <c r="I259" s="231"/>
      <c r="J259" s="231"/>
      <c r="K259" s="237"/>
      <c r="L259" s="237">
        <f t="shared" ref="L259:V259" si="91">SUM(L213:L257)</f>
        <v>0</v>
      </c>
      <c r="M259" s="237">
        <f t="shared" si="91"/>
        <v>0</v>
      </c>
      <c r="N259" s="237">
        <f t="shared" si="91"/>
        <v>751.4</v>
      </c>
      <c r="O259" s="237">
        <f t="shared" si="91"/>
        <v>550.01</v>
      </c>
      <c r="P259" s="237">
        <f t="shared" si="91"/>
        <v>760.03</v>
      </c>
      <c r="Q259" s="237">
        <f t="shared" si="91"/>
        <v>250.64</v>
      </c>
      <c r="R259" s="237">
        <f t="shared" si="91"/>
        <v>0</v>
      </c>
      <c r="S259" s="237">
        <f t="shared" si="91"/>
        <v>125.4</v>
      </c>
      <c r="T259" s="237">
        <f t="shared" si="91"/>
        <v>759.56000000000006</v>
      </c>
      <c r="U259" s="237">
        <f t="shared" si="91"/>
        <v>778.08</v>
      </c>
      <c r="V259" s="237">
        <f t="shared" si="91"/>
        <v>641.57000000000005</v>
      </c>
      <c r="W259" s="240"/>
      <c r="X259" s="237">
        <f>SUM(X213:X257)</f>
        <v>4616.6899999999996</v>
      </c>
      <c r="Y259" s="241"/>
      <c r="Z259" s="241"/>
      <c r="AA259" s="424"/>
      <c r="AB259" s="424"/>
      <c r="AC259" s="424">
        <f t="shared" ref="AC259:AN259" si="92">SUM(AC236:AC238)+SUM(AC239:AC241)/30</f>
        <v>0.53333333333333333</v>
      </c>
      <c r="AD259" s="424">
        <f t="shared" si="92"/>
        <v>0.34442890442890434</v>
      </c>
      <c r="AE259" s="424">
        <f t="shared" si="92"/>
        <v>0.96666666666666679</v>
      </c>
      <c r="AF259" s="424">
        <f t="shared" si="92"/>
        <v>0.56666666666666665</v>
      </c>
      <c r="AG259" s="424">
        <f t="shared" si="92"/>
        <v>0</v>
      </c>
      <c r="AH259" s="424">
        <f t="shared" si="92"/>
        <v>0.13333333333333333</v>
      </c>
      <c r="AI259" s="424">
        <f t="shared" si="92"/>
        <v>1.8</v>
      </c>
      <c r="AJ259" s="424">
        <f t="shared" si="92"/>
        <v>1.5333333333333334</v>
      </c>
      <c r="AK259" s="424">
        <f t="shared" si="92"/>
        <v>0.16666666666666663</v>
      </c>
      <c r="AL259" s="424">
        <f t="shared" si="92"/>
        <v>0</v>
      </c>
      <c r="AM259" s="424">
        <f t="shared" si="92"/>
        <v>0.60444289044289035</v>
      </c>
      <c r="AN259" s="424">
        <f t="shared" si="92"/>
        <v>6.0444289044289041</v>
      </c>
    </row>
    <row r="260" spans="1:41">
      <c r="B260" s="230"/>
      <c r="C260" s="230"/>
      <c r="D260" s="230"/>
      <c r="F260" s="231"/>
      <c r="G260" s="231"/>
      <c r="H260" s="231"/>
      <c r="I260" s="231"/>
      <c r="J260" s="231"/>
      <c r="K260" s="231"/>
      <c r="L260" s="231"/>
      <c r="M260" s="231"/>
      <c r="N260" s="231"/>
      <c r="O260" s="231"/>
      <c r="P260" s="231"/>
      <c r="Q260" s="231"/>
      <c r="R260" s="231"/>
      <c r="S260" s="231"/>
      <c r="T260" s="231"/>
      <c r="U260" s="231"/>
      <c r="V260" s="231"/>
      <c r="W260" s="240"/>
      <c r="X260" s="388"/>
      <c r="Y260" s="418"/>
      <c r="Z260" s="418"/>
      <c r="AA260" s="233"/>
      <c r="AB260" s="233"/>
      <c r="AC260" s="232"/>
      <c r="AD260" s="232"/>
      <c r="AE260" s="232"/>
      <c r="AF260" s="232"/>
      <c r="AG260" s="232"/>
      <c r="AH260" s="232"/>
      <c r="AI260" s="232"/>
      <c r="AJ260" s="232"/>
      <c r="AK260" s="232"/>
      <c r="AL260" s="232"/>
    </row>
    <row r="261" spans="1:41">
      <c r="B261" s="239" t="s">
        <v>147</v>
      </c>
      <c r="C261" s="230"/>
      <c r="D261" s="230"/>
      <c r="F261" s="231"/>
      <c r="G261" s="231"/>
      <c r="H261" s="231"/>
      <c r="I261" s="231"/>
      <c r="J261" s="231"/>
      <c r="K261" s="231"/>
      <c r="L261" s="231"/>
      <c r="M261" s="231"/>
      <c r="N261" s="231"/>
      <c r="O261" s="231"/>
      <c r="P261" s="231"/>
      <c r="Q261" s="231"/>
      <c r="R261" s="231"/>
      <c r="S261" s="231"/>
      <c r="T261" s="231"/>
      <c r="U261" s="231"/>
      <c r="V261" s="231"/>
      <c r="W261" s="240"/>
      <c r="X261" s="388"/>
      <c r="Y261" s="418"/>
      <c r="Z261" s="418"/>
      <c r="AA261" s="233"/>
      <c r="AB261" s="233"/>
      <c r="AC261" s="232"/>
      <c r="AD261" s="232"/>
      <c r="AE261" s="232"/>
      <c r="AF261" s="232"/>
      <c r="AG261" s="232"/>
      <c r="AH261" s="232"/>
      <c r="AI261" s="232"/>
      <c r="AJ261" s="232"/>
      <c r="AK261" s="232"/>
      <c r="AL261" s="232"/>
    </row>
    <row r="262" spans="1:41">
      <c r="A262" s="218" t="str">
        <f>$A$1&amp;"Rolloff"&amp;B262</f>
        <v>PIERCE EA UTCRolloffDISP-RO</v>
      </c>
      <c r="B262" s="230" t="s">
        <v>585</v>
      </c>
      <c r="C262" s="230" t="s">
        <v>586</v>
      </c>
      <c r="D262" s="230" t="s">
        <v>587</v>
      </c>
      <c r="E262" s="380">
        <v>31005</v>
      </c>
      <c r="F262" s="231">
        <v>164.34</v>
      </c>
      <c r="G262" s="231">
        <v>167.38</v>
      </c>
      <c r="H262" s="231">
        <v>167.38</v>
      </c>
      <c r="I262" s="231">
        <v>167.38</v>
      </c>
      <c r="J262" s="231"/>
      <c r="K262" s="231"/>
      <c r="L262" s="231">
        <v>0</v>
      </c>
      <c r="M262" s="231">
        <v>0</v>
      </c>
      <c r="N262" s="231">
        <v>1665.43</v>
      </c>
      <c r="O262" s="231">
        <v>-163.33000000000001</v>
      </c>
      <c r="P262" s="231">
        <v>753.21</v>
      </c>
      <c r="Q262" s="231">
        <v>46.87</v>
      </c>
      <c r="R262" s="231">
        <v>0</v>
      </c>
      <c r="S262" s="231">
        <v>0</v>
      </c>
      <c r="T262" s="231">
        <v>331.41</v>
      </c>
      <c r="U262" s="231">
        <v>855.31</v>
      </c>
      <c r="V262" s="231">
        <v>1159.94</v>
      </c>
      <c r="W262" s="240"/>
      <c r="X262" s="388">
        <f>SUM(K262:V262)</f>
        <v>4648.84</v>
      </c>
      <c r="Y262" s="389"/>
      <c r="Z262" s="389"/>
      <c r="AA262" s="233"/>
      <c r="AB262" s="233"/>
      <c r="AC262" s="233">
        <f>IFERROR(N262/$G262,0)</f>
        <v>9.9499940255705592</v>
      </c>
      <c r="AD262" s="233">
        <f>IFERROR(O262/$G262,0)</f>
        <v>-0.97580356075994756</v>
      </c>
      <c r="AE262" s="232">
        <f t="shared" ref="AE262:AK263" si="93">IFERROR(P262/$H262,0)</f>
        <v>4.5</v>
      </c>
      <c r="AF262" s="232">
        <f t="shared" si="93"/>
        <v>0.28002150794599118</v>
      </c>
      <c r="AG262" s="232">
        <f t="shared" si="93"/>
        <v>0</v>
      </c>
      <c r="AH262" s="232">
        <f t="shared" si="93"/>
        <v>0</v>
      </c>
      <c r="AI262" s="232">
        <f t="shared" si="93"/>
        <v>1.9799856613693394</v>
      </c>
      <c r="AJ262" s="232">
        <f t="shared" si="93"/>
        <v>5.1099892460270047</v>
      </c>
      <c r="AK262" s="232">
        <f t="shared" si="93"/>
        <v>6.9299796869398982</v>
      </c>
      <c r="AL262" s="232">
        <f>IFERROR(#REF!/$H262,0)</f>
        <v>0</v>
      </c>
      <c r="AM262" s="234">
        <f>AVERAGE(Z262:AL262)</f>
        <v>2.7774166567092844</v>
      </c>
      <c r="AN262" s="234">
        <f>+SUM(AA262:AK262)</f>
        <v>27.774166567092845</v>
      </c>
    </row>
    <row r="263" spans="1:41">
      <c r="A263" s="218" t="str">
        <f>$A$1&amp;"Rolloff"&amp;B263</f>
        <v>PIERCE EA UTCRolloffDISPFEDMSW-RO</v>
      </c>
      <c r="B263" s="230" t="s">
        <v>588</v>
      </c>
      <c r="C263" s="230" t="s">
        <v>781</v>
      </c>
      <c r="D263" s="230"/>
      <c r="E263" s="380">
        <v>31005</v>
      </c>
      <c r="F263" s="231">
        <v>0</v>
      </c>
      <c r="G263" s="231">
        <v>0</v>
      </c>
      <c r="H263" s="231">
        <v>0</v>
      </c>
      <c r="I263" s="231">
        <v>0</v>
      </c>
      <c r="J263" s="231"/>
      <c r="K263" s="231"/>
      <c r="L263" s="231">
        <v>0</v>
      </c>
      <c r="M263" s="231">
        <v>0</v>
      </c>
      <c r="N263" s="231">
        <v>0</v>
      </c>
      <c r="O263" s="231">
        <v>0</v>
      </c>
      <c r="P263" s="231">
        <v>0</v>
      </c>
      <c r="Q263" s="231">
        <v>0</v>
      </c>
      <c r="R263" s="231">
        <v>0</v>
      </c>
      <c r="S263" s="231">
        <v>0</v>
      </c>
      <c r="T263" s="231">
        <v>0</v>
      </c>
      <c r="U263" s="231">
        <v>0</v>
      </c>
      <c r="V263" s="231">
        <v>0</v>
      </c>
      <c r="W263" s="240"/>
      <c r="X263" s="388">
        <f>SUM(K263:V263)</f>
        <v>0</v>
      </c>
      <c r="Y263" s="389"/>
      <c r="Z263" s="389"/>
      <c r="AA263" s="233"/>
      <c r="AB263" s="233"/>
      <c r="AC263" s="233">
        <f>IFERROR(N263/$G263,0)</f>
        <v>0</v>
      </c>
      <c r="AD263" s="233">
        <f>IFERROR(O263/$G263,0)</f>
        <v>0</v>
      </c>
      <c r="AE263" s="232">
        <f t="shared" si="93"/>
        <v>0</v>
      </c>
      <c r="AF263" s="232">
        <f t="shared" si="93"/>
        <v>0</v>
      </c>
      <c r="AG263" s="232">
        <f t="shared" si="93"/>
        <v>0</v>
      </c>
      <c r="AH263" s="232">
        <f t="shared" si="93"/>
        <v>0</v>
      </c>
      <c r="AI263" s="232">
        <f t="shared" si="93"/>
        <v>0</v>
      </c>
      <c r="AJ263" s="232">
        <f t="shared" si="93"/>
        <v>0</v>
      </c>
      <c r="AK263" s="232">
        <f t="shared" si="93"/>
        <v>0</v>
      </c>
      <c r="AL263" s="232">
        <f>IFERROR(#REF!/$H263,0)</f>
        <v>0</v>
      </c>
      <c r="AM263" s="234">
        <f>AVERAGE(Z263:AL263)</f>
        <v>0</v>
      </c>
      <c r="AN263" s="234">
        <f>+SUM(AA263:AK263)</f>
        <v>0</v>
      </c>
    </row>
    <row r="264" spans="1:41">
      <c r="B264" s="230"/>
      <c r="C264" s="230"/>
      <c r="D264" s="230"/>
      <c r="F264" s="231"/>
      <c r="G264" s="231"/>
      <c r="H264" s="231"/>
      <c r="I264" s="231"/>
      <c r="J264" s="231"/>
      <c r="K264" s="231"/>
      <c r="L264" s="231"/>
      <c r="M264" s="231"/>
      <c r="N264" s="231"/>
      <c r="O264" s="231"/>
      <c r="P264" s="231"/>
      <c r="Q264" s="231"/>
      <c r="R264" s="231"/>
      <c r="S264" s="231"/>
      <c r="T264" s="231"/>
      <c r="U264" s="231"/>
      <c r="V264" s="231"/>
      <c r="W264" s="240"/>
      <c r="X264" s="388"/>
      <c r="Y264" s="389"/>
      <c r="Z264" s="389"/>
      <c r="AA264" s="233"/>
      <c r="AB264" s="233"/>
      <c r="AC264" s="232"/>
      <c r="AD264" s="232"/>
      <c r="AE264" s="232"/>
      <c r="AF264" s="232"/>
      <c r="AG264" s="232"/>
      <c r="AH264" s="232"/>
      <c r="AI264" s="232"/>
      <c r="AJ264" s="232"/>
      <c r="AK264" s="232"/>
      <c r="AL264" s="232"/>
    </row>
    <row r="265" spans="1:41">
      <c r="B265" s="230"/>
      <c r="C265" s="235" t="s">
        <v>148</v>
      </c>
      <c r="D265" s="230"/>
      <c r="F265" s="231"/>
      <c r="G265" s="231"/>
      <c r="H265" s="231"/>
      <c r="I265" s="231"/>
      <c r="J265" s="231"/>
      <c r="K265" s="237"/>
      <c r="L265" s="237">
        <f t="shared" ref="L265:V265" si="94">SUM(L262:L264)</f>
        <v>0</v>
      </c>
      <c r="M265" s="237">
        <f t="shared" si="94"/>
        <v>0</v>
      </c>
      <c r="N265" s="237">
        <f t="shared" si="94"/>
        <v>1665.43</v>
      </c>
      <c r="O265" s="237">
        <f t="shared" si="94"/>
        <v>-163.33000000000001</v>
      </c>
      <c r="P265" s="237">
        <f t="shared" si="94"/>
        <v>753.21</v>
      </c>
      <c r="Q265" s="237">
        <f>SUM(Q262:Q264)</f>
        <v>46.87</v>
      </c>
      <c r="R265" s="237">
        <f>SUM(R262:R264)</f>
        <v>0</v>
      </c>
      <c r="S265" s="237">
        <f t="shared" si="94"/>
        <v>0</v>
      </c>
      <c r="T265" s="237">
        <f t="shared" si="94"/>
        <v>331.41</v>
      </c>
      <c r="U265" s="237">
        <f t="shared" si="94"/>
        <v>855.31</v>
      </c>
      <c r="V265" s="237">
        <f t="shared" si="94"/>
        <v>1159.94</v>
      </c>
      <c r="W265" s="240"/>
      <c r="X265" s="237">
        <f>SUM(X262:X264)</f>
        <v>4648.84</v>
      </c>
      <c r="Y265" s="241"/>
      <c r="Z265" s="241"/>
      <c r="AA265" s="233"/>
      <c r="AB265" s="233"/>
      <c r="AC265" s="232"/>
      <c r="AD265" s="232"/>
      <c r="AE265" s="232"/>
      <c r="AF265" s="232"/>
      <c r="AG265" s="232"/>
      <c r="AH265" s="232"/>
      <c r="AI265" s="232"/>
      <c r="AJ265" s="232"/>
      <c r="AK265" s="232"/>
      <c r="AL265" s="232"/>
    </row>
    <row r="266" spans="1:41">
      <c r="B266" s="230"/>
      <c r="F266" s="231"/>
      <c r="G266" s="231"/>
      <c r="H266" s="231"/>
      <c r="I266" s="231"/>
      <c r="K266" s="231"/>
      <c r="L266" s="231"/>
      <c r="M266" s="231"/>
      <c r="N266" s="231"/>
      <c r="O266" s="231"/>
      <c r="P266" s="231"/>
      <c r="Q266" s="231"/>
      <c r="R266" s="231"/>
      <c r="S266" s="231"/>
      <c r="T266" s="231"/>
      <c r="U266" s="231"/>
      <c r="V266" s="231"/>
      <c r="W266" s="240"/>
      <c r="X266" s="388"/>
      <c r="Y266" s="382"/>
      <c r="Z266" s="382"/>
      <c r="AA266" s="233"/>
      <c r="AB266" s="233"/>
      <c r="AC266" s="232"/>
      <c r="AD266" s="232"/>
      <c r="AE266" s="232"/>
      <c r="AF266" s="232"/>
      <c r="AG266" s="232"/>
      <c r="AH266" s="232"/>
      <c r="AI266" s="232"/>
      <c r="AJ266" s="232"/>
      <c r="AK266" s="232"/>
      <c r="AL266" s="232"/>
    </row>
    <row r="267" spans="1:41">
      <c r="F267" s="231"/>
      <c r="G267" s="231"/>
      <c r="H267" s="231"/>
      <c r="I267" s="231"/>
      <c r="K267" s="231"/>
      <c r="L267" s="231"/>
      <c r="M267" s="231"/>
      <c r="N267" s="231"/>
      <c r="O267" s="231"/>
      <c r="P267" s="231"/>
      <c r="Q267" s="231"/>
      <c r="R267" s="231"/>
      <c r="S267" s="231"/>
      <c r="T267" s="231"/>
      <c r="U267" s="231"/>
      <c r="V267" s="231"/>
      <c r="W267" s="240"/>
      <c r="X267" s="388"/>
      <c r="Y267" s="230"/>
      <c r="Z267" s="230"/>
      <c r="AA267" s="233"/>
      <c r="AB267" s="233"/>
      <c r="AC267" s="232"/>
      <c r="AD267" s="232"/>
      <c r="AE267" s="232"/>
      <c r="AF267" s="232"/>
      <c r="AG267" s="232"/>
      <c r="AH267" s="232"/>
      <c r="AI267" s="232"/>
      <c r="AJ267" s="232"/>
      <c r="AK267" s="232"/>
      <c r="AL267" s="232"/>
    </row>
    <row r="268" spans="1:41" s="242" customFormat="1">
      <c r="B268" s="216" t="s">
        <v>589</v>
      </c>
      <c r="C268" s="216"/>
      <c r="D268" s="216"/>
      <c r="E268" s="223"/>
      <c r="F268" s="231"/>
      <c r="G268" s="231"/>
      <c r="H268" s="231"/>
      <c r="I268" s="231"/>
      <c r="J268" s="216"/>
      <c r="K268" s="244"/>
      <c r="L268" s="244">
        <f t="shared" ref="L268:V268" si="95">+L259+L265</f>
        <v>0</v>
      </c>
      <c r="M268" s="244">
        <f t="shared" si="95"/>
        <v>0</v>
      </c>
      <c r="N268" s="244">
        <f t="shared" si="95"/>
        <v>2416.83</v>
      </c>
      <c r="O268" s="244">
        <f t="shared" si="95"/>
        <v>386.67999999999995</v>
      </c>
      <c r="P268" s="244">
        <f>+P259+P265</f>
        <v>1513.24</v>
      </c>
      <c r="Q268" s="244">
        <f>+Q259+Q265</f>
        <v>297.51</v>
      </c>
      <c r="R268" s="244">
        <f>+R259+R265</f>
        <v>0</v>
      </c>
      <c r="S268" s="244">
        <f t="shared" si="95"/>
        <v>125.4</v>
      </c>
      <c r="T268" s="244">
        <f t="shared" si="95"/>
        <v>1090.97</v>
      </c>
      <c r="U268" s="244">
        <f t="shared" si="95"/>
        <v>1633.3899999999999</v>
      </c>
      <c r="V268" s="244">
        <f t="shared" si="95"/>
        <v>1801.5100000000002</v>
      </c>
      <c r="W268" s="244"/>
      <c r="X268" s="244">
        <f>+X259+X265</f>
        <v>9265.5299999999988</v>
      </c>
      <c r="Y268" s="412"/>
      <c r="Z268" s="412"/>
      <c r="AA268" s="233"/>
      <c r="AB268" s="233"/>
      <c r="AC268" s="232"/>
      <c r="AD268" s="232"/>
      <c r="AE268" s="232"/>
      <c r="AF268" s="232"/>
      <c r="AG268" s="232"/>
      <c r="AH268" s="232"/>
      <c r="AI268" s="232"/>
      <c r="AJ268" s="232"/>
      <c r="AK268" s="232"/>
      <c r="AL268" s="232"/>
      <c r="AO268" s="410"/>
    </row>
    <row r="269" spans="1:41" s="242" customFormat="1">
      <c r="B269" s="216"/>
      <c r="C269" s="216"/>
      <c r="D269" s="216"/>
      <c r="E269" s="223"/>
      <c r="F269" s="231"/>
      <c r="G269" s="231"/>
      <c r="H269" s="231"/>
      <c r="I269" s="231"/>
      <c r="J269" s="245"/>
      <c r="K269" s="231"/>
      <c r="L269" s="231"/>
      <c r="M269" s="231"/>
      <c r="N269" s="231"/>
      <c r="O269" s="231"/>
      <c r="P269" s="231"/>
      <c r="Q269" s="231"/>
      <c r="R269" s="231"/>
      <c r="S269" s="231"/>
      <c r="T269" s="231"/>
      <c r="U269" s="231"/>
      <c r="V269" s="231"/>
      <c r="W269" s="231"/>
      <c r="X269" s="388"/>
      <c r="Y269" s="413"/>
      <c r="Z269" s="413"/>
      <c r="AA269" s="233"/>
      <c r="AB269" s="233"/>
      <c r="AC269" s="232"/>
      <c r="AD269" s="232"/>
      <c r="AE269" s="232"/>
      <c r="AF269" s="232"/>
      <c r="AG269" s="232"/>
      <c r="AH269" s="232"/>
      <c r="AI269" s="232"/>
      <c r="AJ269" s="232"/>
      <c r="AK269" s="232"/>
      <c r="AL269" s="232"/>
    </row>
    <row r="270" spans="1:41">
      <c r="F270" s="231"/>
      <c r="G270" s="231"/>
      <c r="H270" s="231"/>
      <c r="I270" s="231"/>
      <c r="K270" s="231"/>
      <c r="L270" s="231"/>
      <c r="M270" s="231"/>
      <c r="N270" s="231"/>
      <c r="O270" s="231"/>
      <c r="P270" s="231"/>
      <c r="Q270" s="231"/>
      <c r="R270" s="231"/>
      <c r="S270" s="231"/>
      <c r="T270" s="231"/>
      <c r="U270" s="231"/>
      <c r="V270" s="231"/>
      <c r="W270" s="231"/>
      <c r="X270" s="388"/>
      <c r="Y270" s="230"/>
      <c r="Z270" s="230"/>
      <c r="AA270" s="233"/>
      <c r="AB270" s="233"/>
      <c r="AC270" s="232"/>
      <c r="AD270" s="232"/>
      <c r="AE270" s="232"/>
      <c r="AF270" s="232"/>
      <c r="AG270" s="232"/>
      <c r="AH270" s="232"/>
      <c r="AI270" s="232"/>
      <c r="AJ270" s="232"/>
      <c r="AK270" s="232"/>
      <c r="AL270" s="232"/>
    </row>
    <row r="271" spans="1:41">
      <c r="B271" s="226" t="s">
        <v>590</v>
      </c>
      <c r="F271" s="231"/>
      <c r="G271" s="231"/>
      <c r="H271" s="231"/>
      <c r="I271" s="231"/>
      <c r="J271" s="231"/>
      <c r="K271" s="231"/>
      <c r="L271" s="231"/>
      <c r="M271" s="231"/>
      <c r="N271" s="231"/>
      <c r="O271" s="231"/>
      <c r="P271" s="231"/>
      <c r="Q271" s="231"/>
      <c r="R271" s="231"/>
      <c r="S271" s="231"/>
      <c r="T271" s="231"/>
      <c r="U271" s="231"/>
      <c r="V271" s="231"/>
      <c r="W271" s="231"/>
      <c r="X271" s="388"/>
      <c r="Y271" s="230"/>
      <c r="Z271" s="230"/>
      <c r="AA271" s="233"/>
      <c r="AB271" s="233"/>
      <c r="AC271" s="232"/>
      <c r="AD271" s="232"/>
      <c r="AE271" s="232"/>
      <c r="AF271" s="232"/>
      <c r="AG271" s="232"/>
      <c r="AH271" s="232"/>
      <c r="AI271" s="232"/>
      <c r="AJ271" s="232"/>
      <c r="AK271" s="232"/>
      <c r="AL271" s="232"/>
      <c r="AM271" s="217"/>
      <c r="AN271" s="217"/>
    </row>
    <row r="272" spans="1:41">
      <c r="A272" s="218" t="str">
        <f>$A$1&amp;"accounting adjustments"&amp;B272</f>
        <v>PIERCE EA UTCaccounting adjustmentsADJ-FIN</v>
      </c>
      <c r="B272" s="230" t="s">
        <v>591</v>
      </c>
      <c r="C272" s="230" t="s">
        <v>592</v>
      </c>
      <c r="D272" s="230" t="s">
        <v>590</v>
      </c>
      <c r="E272" s="380">
        <v>38000</v>
      </c>
      <c r="F272" s="231"/>
      <c r="G272" s="231"/>
      <c r="H272" s="231"/>
      <c r="I272" s="231"/>
      <c r="J272" s="231"/>
      <c r="K272" s="231"/>
      <c r="L272" s="231">
        <v>0</v>
      </c>
      <c r="M272" s="231">
        <v>0</v>
      </c>
      <c r="N272" s="231">
        <v>0</v>
      </c>
      <c r="O272" s="231">
        <v>0</v>
      </c>
      <c r="P272" s="231">
        <v>0</v>
      </c>
      <c r="Q272" s="231">
        <v>0</v>
      </c>
      <c r="R272" s="231">
        <v>0</v>
      </c>
      <c r="S272" s="231">
        <v>0</v>
      </c>
      <c r="T272" s="231">
        <v>0</v>
      </c>
      <c r="U272" s="231">
        <v>0</v>
      </c>
      <c r="V272" s="231">
        <v>0</v>
      </c>
      <c r="W272" s="231"/>
      <c r="X272" s="388">
        <f>SUM(K272:V272)</f>
        <v>0</v>
      </c>
      <c r="Y272" s="392"/>
      <c r="Z272" s="392"/>
      <c r="AA272" s="233"/>
      <c r="AB272" s="233"/>
      <c r="AC272" s="233">
        <f>IFERROR(N272/$G272,0)</f>
        <v>0</v>
      </c>
      <c r="AD272" s="233">
        <f>IFERROR(O272/$G272,0)</f>
        <v>0</v>
      </c>
      <c r="AE272" s="232">
        <f t="shared" ref="AE272:AK273" si="96">IFERROR(P272/$H272,0)</f>
        <v>0</v>
      </c>
      <c r="AF272" s="232">
        <f t="shared" si="96"/>
        <v>0</v>
      </c>
      <c r="AG272" s="232">
        <f t="shared" si="96"/>
        <v>0</v>
      </c>
      <c r="AH272" s="232">
        <f t="shared" si="96"/>
        <v>0</v>
      </c>
      <c r="AI272" s="232">
        <f t="shared" si="96"/>
        <v>0</v>
      </c>
      <c r="AJ272" s="232">
        <f t="shared" si="96"/>
        <v>0</v>
      </c>
      <c r="AK272" s="232">
        <f t="shared" si="96"/>
        <v>0</v>
      </c>
      <c r="AL272" s="232">
        <f>IFERROR(#REF!/$H272,0)</f>
        <v>0</v>
      </c>
      <c r="AM272" s="217"/>
      <c r="AN272" s="217"/>
    </row>
    <row r="273" spans="1:42">
      <c r="A273" s="218" t="str">
        <f>$A$1&amp;"accounting adjustments"&amp;B273</f>
        <v>PIERCE EA UTCaccounting adjustmentsRETCKC</v>
      </c>
      <c r="B273" s="230" t="s">
        <v>593</v>
      </c>
      <c r="C273" s="230" t="s">
        <v>594</v>
      </c>
      <c r="D273" s="230" t="s">
        <v>590</v>
      </c>
      <c r="E273" s="380">
        <v>38000</v>
      </c>
      <c r="F273" s="231">
        <v>21.5</v>
      </c>
      <c r="G273" s="231">
        <v>21.5</v>
      </c>
      <c r="H273" s="231">
        <v>21.3</v>
      </c>
      <c r="I273" s="231">
        <v>21.36</v>
      </c>
      <c r="J273" s="231"/>
      <c r="K273" s="231"/>
      <c r="L273" s="231">
        <v>0</v>
      </c>
      <c r="M273" s="231">
        <v>0</v>
      </c>
      <c r="N273" s="231">
        <v>0</v>
      </c>
      <c r="O273" s="231">
        <v>0</v>
      </c>
      <c r="P273" s="231">
        <v>0</v>
      </c>
      <c r="Q273" s="231">
        <v>0</v>
      </c>
      <c r="R273" s="231">
        <v>0</v>
      </c>
      <c r="S273" s="231">
        <v>0</v>
      </c>
      <c r="T273" s="231">
        <v>0</v>
      </c>
      <c r="U273" s="231">
        <v>0</v>
      </c>
      <c r="V273" s="231">
        <v>0</v>
      </c>
      <c r="W273" s="231"/>
      <c r="X273" s="388">
        <f>SUM(K273:V273)</f>
        <v>0</v>
      </c>
      <c r="Y273" s="392"/>
      <c r="Z273" s="392"/>
      <c r="AA273" s="233"/>
      <c r="AB273" s="233"/>
      <c r="AC273" s="233">
        <f>IFERROR(N273/$G273,0)</f>
        <v>0</v>
      </c>
      <c r="AD273" s="233">
        <f>IFERROR(O273/$G273,0)</f>
        <v>0</v>
      </c>
      <c r="AE273" s="232">
        <f t="shared" si="96"/>
        <v>0</v>
      </c>
      <c r="AF273" s="232">
        <f t="shared" si="96"/>
        <v>0</v>
      </c>
      <c r="AG273" s="232">
        <f t="shared" si="96"/>
        <v>0</v>
      </c>
      <c r="AH273" s="232">
        <f t="shared" si="96"/>
        <v>0</v>
      </c>
      <c r="AI273" s="232">
        <f t="shared" si="96"/>
        <v>0</v>
      </c>
      <c r="AJ273" s="232">
        <f t="shared" si="96"/>
        <v>0</v>
      </c>
      <c r="AK273" s="232">
        <f t="shared" si="96"/>
        <v>0</v>
      </c>
      <c r="AL273" s="232">
        <f>IFERROR(#REF!/$H273,0)</f>
        <v>0</v>
      </c>
      <c r="AM273" s="234">
        <f>AVERAGE(Z273:AL273)</f>
        <v>0</v>
      </c>
      <c r="AN273" s="234">
        <f>+SUM(AA273:AK273)</f>
        <v>0</v>
      </c>
    </row>
    <row r="274" spans="1:42">
      <c r="B274" s="230"/>
      <c r="F274" s="231"/>
      <c r="G274" s="231"/>
      <c r="H274" s="231"/>
      <c r="I274" s="231"/>
      <c r="X274" s="385"/>
      <c r="Y274" s="392"/>
      <c r="Z274" s="392"/>
    </row>
    <row r="275" spans="1:42" s="242" customFormat="1">
      <c r="B275" s="216" t="s">
        <v>595</v>
      </c>
      <c r="C275" s="216"/>
      <c r="D275" s="216"/>
      <c r="E275" s="223"/>
      <c r="F275" s="231"/>
      <c r="G275" s="231"/>
      <c r="H275" s="231"/>
      <c r="I275" s="231"/>
      <c r="J275" s="216"/>
      <c r="K275" s="255"/>
      <c r="L275" s="255">
        <f t="shared" ref="L275:V275" si="97">SUM(L272:L274)</f>
        <v>0</v>
      </c>
      <c r="M275" s="255">
        <f t="shared" si="97"/>
        <v>0</v>
      </c>
      <c r="N275" s="255">
        <f t="shared" si="97"/>
        <v>0</v>
      </c>
      <c r="O275" s="255">
        <f t="shared" si="97"/>
        <v>0</v>
      </c>
      <c r="P275" s="255">
        <f t="shared" si="97"/>
        <v>0</v>
      </c>
      <c r="Q275" s="255">
        <f t="shared" si="97"/>
        <v>0</v>
      </c>
      <c r="R275" s="255">
        <f t="shared" si="97"/>
        <v>0</v>
      </c>
      <c r="S275" s="255">
        <f t="shared" si="97"/>
        <v>0</v>
      </c>
      <c r="T275" s="255">
        <f t="shared" si="97"/>
        <v>0</v>
      </c>
      <c r="U275" s="255">
        <f t="shared" si="97"/>
        <v>0</v>
      </c>
      <c r="V275" s="255">
        <f t="shared" si="97"/>
        <v>0</v>
      </c>
      <c r="W275" s="256"/>
      <c r="X275" s="255">
        <f>SUM(X272:X274)</f>
        <v>0</v>
      </c>
      <c r="Y275" s="412"/>
      <c r="Z275" s="412"/>
      <c r="AA275" s="216"/>
      <c r="AO275" s="410"/>
    </row>
    <row r="276" spans="1:42" s="242" customFormat="1">
      <c r="B276" s="216"/>
      <c r="C276" s="216"/>
      <c r="D276" s="216"/>
      <c r="E276" s="223"/>
      <c r="F276" s="231"/>
      <c r="G276" s="231"/>
      <c r="H276" s="231"/>
      <c r="I276" s="231"/>
      <c r="J276" s="245"/>
      <c r="K276" s="245"/>
      <c r="L276" s="245"/>
      <c r="M276" s="245"/>
      <c r="N276" s="245"/>
      <c r="O276" s="245"/>
      <c r="P276" s="245"/>
      <c r="Q276" s="245"/>
      <c r="R276" s="245"/>
      <c r="S276" s="245"/>
      <c r="T276" s="245"/>
      <c r="U276" s="245"/>
      <c r="V276" s="245"/>
      <c r="W276" s="246"/>
      <c r="X276" s="425"/>
      <c r="Y276" s="413"/>
      <c r="Z276" s="413"/>
      <c r="AA276" s="216"/>
    </row>
    <row r="277" spans="1:42" s="242" customFormat="1">
      <c r="B277" s="216"/>
      <c r="C277" s="216"/>
      <c r="D277" s="216"/>
      <c r="E277" s="223"/>
      <c r="F277" s="231"/>
      <c r="G277" s="231"/>
      <c r="H277" s="231"/>
      <c r="I277" s="231"/>
      <c r="J277" s="245"/>
      <c r="K277" s="245"/>
      <c r="L277" s="245"/>
      <c r="M277" s="245"/>
      <c r="N277" s="245"/>
      <c r="O277" s="245"/>
      <c r="P277" s="245"/>
      <c r="Q277" s="245"/>
      <c r="R277" s="245"/>
      <c r="S277" s="245"/>
      <c r="T277" s="245"/>
      <c r="U277" s="245"/>
      <c r="V277" s="245"/>
      <c r="W277" s="246"/>
      <c r="X277" s="425"/>
      <c r="Y277" s="413"/>
      <c r="Z277" s="413"/>
      <c r="AA277" s="216"/>
    </row>
    <row r="278" spans="1:42">
      <c r="B278" s="230"/>
      <c r="F278" s="231"/>
      <c r="G278" s="231"/>
      <c r="H278" s="231"/>
      <c r="I278" s="231"/>
      <c r="W278" s="233"/>
      <c r="X278" s="426"/>
      <c r="Y278" s="392"/>
      <c r="Z278" s="392"/>
    </row>
    <row r="279" spans="1:42">
      <c r="F279" s="231"/>
      <c r="G279" s="231"/>
      <c r="H279" s="231"/>
      <c r="I279" s="231"/>
      <c r="W279" s="233"/>
      <c r="X279" s="426"/>
      <c r="Y279" s="392"/>
      <c r="Z279" s="392"/>
    </row>
    <row r="280" spans="1:42" s="242" customFormat="1" ht="13.5" thickBot="1">
      <c r="A280" s="427"/>
      <c r="B280" s="428" t="s">
        <v>596</v>
      </c>
      <c r="C280" s="428"/>
      <c r="D280" s="428"/>
      <c r="E280" s="429"/>
      <c r="F280" s="430"/>
      <c r="G280" s="430"/>
      <c r="H280" s="430"/>
      <c r="I280" s="430"/>
      <c r="J280" s="428"/>
      <c r="K280" s="257"/>
      <c r="L280" s="257">
        <f t="shared" ref="L280:V280" si="98">+L77+L207+L268+L275</f>
        <v>0</v>
      </c>
      <c r="M280" s="257">
        <f t="shared" si="98"/>
        <v>0</v>
      </c>
      <c r="N280" s="257">
        <f t="shared" si="98"/>
        <v>13052.245000000001</v>
      </c>
      <c r="O280" s="257">
        <f t="shared" si="98"/>
        <v>9722.9950000000008</v>
      </c>
      <c r="P280" s="257">
        <f t="shared" si="98"/>
        <v>10737.919999999998</v>
      </c>
      <c r="Q280" s="257">
        <f t="shared" si="98"/>
        <v>10780.479999999998</v>
      </c>
      <c r="R280" s="257">
        <f t="shared" si="98"/>
        <v>12464.289999999999</v>
      </c>
      <c r="S280" s="257">
        <f t="shared" si="98"/>
        <v>13265.079999999996</v>
      </c>
      <c r="T280" s="257">
        <f t="shared" si="98"/>
        <v>14965.01</v>
      </c>
      <c r="U280" s="257">
        <f t="shared" si="98"/>
        <v>14932.439999999999</v>
      </c>
      <c r="V280" s="257">
        <f t="shared" si="98"/>
        <v>14019.310000000001</v>
      </c>
      <c r="W280" s="257"/>
      <c r="X280" s="257">
        <f>+X77+X207+X268+X275</f>
        <v>121600.01</v>
      </c>
      <c r="Y280" s="412"/>
      <c r="Z280" s="412"/>
      <c r="AA280" s="216"/>
      <c r="AO280" s="410"/>
      <c r="AP280" s="431"/>
    </row>
    <row r="281" spans="1:42" s="242" customFormat="1" ht="13.5" thickTop="1">
      <c r="B281" s="216"/>
      <c r="C281" s="216"/>
      <c r="D281" s="216"/>
      <c r="E281" s="223"/>
      <c r="F281" s="231"/>
      <c r="G281" s="231"/>
      <c r="H281" s="231"/>
      <c r="I281" s="231"/>
      <c r="J281" s="245"/>
      <c r="K281" s="245"/>
      <c r="L281" s="245"/>
      <c r="M281" s="245"/>
      <c r="N281" s="245"/>
      <c r="O281" s="245"/>
      <c r="P281" s="245"/>
      <c r="Q281" s="245"/>
      <c r="R281" s="245"/>
      <c r="S281" s="245"/>
      <c r="T281" s="245"/>
      <c r="U281" s="245"/>
      <c r="V281" s="245"/>
      <c r="W281" s="246"/>
      <c r="X281" s="246"/>
      <c r="Y281" s="413"/>
      <c r="Z281" s="413"/>
      <c r="AA281" s="216"/>
    </row>
    <row r="282" spans="1:42" s="242" customFormat="1">
      <c r="B282" s="216"/>
      <c r="C282" s="216"/>
      <c r="D282" s="216"/>
      <c r="E282" s="223"/>
      <c r="F282" s="231"/>
      <c r="G282" s="231"/>
      <c r="H282" s="231"/>
      <c r="I282" s="231"/>
      <c r="J282" s="245"/>
      <c r="K282" s="259"/>
      <c r="L282" s="259"/>
      <c r="M282" s="259"/>
      <c r="N282" s="259"/>
      <c r="O282" s="259"/>
      <c r="P282" s="259"/>
      <c r="Q282" s="259"/>
      <c r="R282" s="259"/>
      <c r="S282" s="259"/>
      <c r="T282" s="259"/>
      <c r="U282" s="259"/>
      <c r="V282" s="259"/>
      <c r="W282" s="258"/>
      <c r="X282" s="258"/>
      <c r="Y282" s="432"/>
      <c r="Z282" s="432"/>
      <c r="AA282" s="216"/>
    </row>
    <row r="283" spans="1:42" ht="14.25">
      <c r="A283" s="433"/>
      <c r="B283" s="433"/>
      <c r="C283" s="433"/>
    </row>
    <row r="284" spans="1:42" ht="14.25">
      <c r="A284" s="433"/>
      <c r="B284" s="433"/>
      <c r="C284" s="433"/>
    </row>
    <row r="285" spans="1:42" ht="14.25">
      <c r="A285" s="433"/>
      <c r="B285" s="433"/>
      <c r="C285" s="433"/>
    </row>
    <row r="286" spans="1:42" ht="14.25">
      <c r="A286" s="433"/>
      <c r="B286" s="433"/>
      <c r="C286" s="433"/>
    </row>
    <row r="287" spans="1:42" ht="14.25">
      <c r="A287" s="433"/>
      <c r="B287" s="433"/>
      <c r="C287" s="433"/>
    </row>
    <row r="288" spans="1:42" ht="14.25">
      <c r="A288" s="433"/>
      <c r="B288" s="433"/>
      <c r="C288" s="433"/>
    </row>
    <row r="289" spans="1:51" ht="14.25">
      <c r="A289" s="433"/>
      <c r="B289" s="433"/>
      <c r="C289" s="433"/>
    </row>
    <row r="290" spans="1:51" ht="14.25">
      <c r="A290" s="433"/>
      <c r="B290" s="433"/>
      <c r="C290" s="433"/>
    </row>
    <row r="291" spans="1:51" ht="14.25">
      <c r="A291" s="433"/>
      <c r="B291" s="433"/>
      <c r="C291" s="433"/>
    </row>
    <row r="292" spans="1:51" ht="14.25">
      <c r="A292" s="433"/>
      <c r="B292" s="433"/>
      <c r="C292" s="433"/>
    </row>
    <row r="293" spans="1:51" ht="14.25">
      <c r="A293" s="433"/>
      <c r="B293" s="433"/>
      <c r="C293" s="433"/>
    </row>
    <row r="294" spans="1:51" ht="14.25">
      <c r="A294" s="433"/>
      <c r="B294" s="433"/>
      <c r="C294" s="433"/>
    </row>
    <row r="295" spans="1:51" s="217" customFormat="1" ht="14.25">
      <c r="A295" s="433"/>
      <c r="B295" s="433"/>
      <c r="C295" s="433"/>
      <c r="E295" s="380"/>
      <c r="F295" s="218"/>
      <c r="G295" s="218"/>
      <c r="Y295" s="381"/>
      <c r="Z295" s="381"/>
      <c r="AB295" s="218"/>
      <c r="AC295" s="218"/>
      <c r="AD295" s="218"/>
      <c r="AE295" s="218"/>
      <c r="AF295" s="218"/>
      <c r="AG295" s="218"/>
      <c r="AH295" s="218"/>
      <c r="AI295" s="218"/>
      <c r="AJ295" s="218"/>
      <c r="AK295" s="218"/>
      <c r="AL295" s="218"/>
      <c r="AM295" s="218"/>
      <c r="AN295" s="218"/>
      <c r="AO295" s="218"/>
      <c r="AP295" s="218"/>
      <c r="AQ295" s="218"/>
      <c r="AR295" s="218"/>
      <c r="AS295" s="218"/>
      <c r="AT295" s="218"/>
      <c r="AU295" s="218"/>
      <c r="AV295" s="218"/>
      <c r="AW295" s="218"/>
      <c r="AX295" s="218"/>
      <c r="AY295" s="218"/>
    </row>
    <row r="296" spans="1:51" s="217" customFormat="1" ht="14.25">
      <c r="A296" s="433"/>
      <c r="B296" s="433"/>
      <c r="C296" s="433"/>
      <c r="E296" s="380"/>
      <c r="F296" s="218"/>
      <c r="G296" s="218"/>
      <c r="Y296" s="381"/>
      <c r="Z296" s="381"/>
      <c r="AB296" s="218"/>
      <c r="AC296" s="218"/>
      <c r="AD296" s="218"/>
      <c r="AE296" s="218"/>
      <c r="AF296" s="218"/>
      <c r="AG296" s="218"/>
      <c r="AH296" s="218"/>
      <c r="AI296" s="218"/>
      <c r="AJ296" s="218"/>
      <c r="AK296" s="218"/>
      <c r="AL296" s="218"/>
      <c r="AM296" s="218"/>
      <c r="AN296" s="218"/>
      <c r="AO296" s="218"/>
      <c r="AP296" s="218"/>
      <c r="AQ296" s="218"/>
      <c r="AR296" s="218"/>
      <c r="AS296" s="218"/>
      <c r="AT296" s="218"/>
      <c r="AU296" s="218"/>
      <c r="AV296" s="218"/>
      <c r="AW296" s="218"/>
      <c r="AX296" s="218"/>
      <c r="AY296" s="218"/>
    </row>
    <row r="297" spans="1:51" s="217" customFormat="1" ht="14.25">
      <c r="A297" s="433"/>
      <c r="B297" s="433"/>
      <c r="C297" s="433"/>
      <c r="E297" s="380"/>
      <c r="F297" s="218"/>
      <c r="G297" s="218"/>
      <c r="Y297" s="381"/>
      <c r="Z297" s="381"/>
      <c r="AB297" s="218"/>
      <c r="AC297" s="218"/>
      <c r="AD297" s="218"/>
      <c r="AE297" s="218"/>
      <c r="AF297" s="218"/>
      <c r="AG297" s="218"/>
      <c r="AH297" s="218"/>
      <c r="AI297" s="218"/>
      <c r="AJ297" s="218"/>
      <c r="AK297" s="218"/>
      <c r="AL297" s="218"/>
      <c r="AM297" s="218"/>
      <c r="AN297" s="218"/>
      <c r="AO297" s="218"/>
      <c r="AP297" s="218"/>
      <c r="AQ297" s="218"/>
      <c r="AR297" s="218"/>
      <c r="AS297" s="218"/>
      <c r="AT297" s="218"/>
      <c r="AU297" s="218"/>
      <c r="AV297" s="218"/>
      <c r="AW297" s="218"/>
      <c r="AX297" s="218"/>
      <c r="AY297" s="218"/>
    </row>
    <row r="298" spans="1:51" s="217" customFormat="1" ht="14.25">
      <c r="A298" s="433"/>
      <c r="B298" s="433"/>
      <c r="C298" s="433"/>
      <c r="E298" s="380"/>
      <c r="F298" s="218"/>
      <c r="G298" s="218"/>
      <c r="Y298" s="381"/>
      <c r="Z298" s="381"/>
      <c r="AB298" s="218"/>
      <c r="AC298" s="218"/>
      <c r="AD298" s="218"/>
      <c r="AE298" s="218"/>
      <c r="AF298" s="218"/>
      <c r="AG298" s="218"/>
      <c r="AH298" s="218"/>
      <c r="AI298" s="218"/>
      <c r="AJ298" s="218"/>
      <c r="AK298" s="218"/>
      <c r="AL298" s="218"/>
      <c r="AM298" s="218"/>
      <c r="AN298" s="218"/>
      <c r="AO298" s="218"/>
      <c r="AP298" s="218"/>
      <c r="AQ298" s="218"/>
      <c r="AR298" s="218"/>
      <c r="AS298" s="218"/>
      <c r="AT298" s="218"/>
      <c r="AU298" s="218"/>
      <c r="AV298" s="218"/>
      <c r="AW298" s="218"/>
      <c r="AX298" s="218"/>
      <c r="AY298" s="218"/>
    </row>
    <row r="299" spans="1:51" s="217" customFormat="1" ht="14.25">
      <c r="A299" s="433"/>
      <c r="B299" s="433"/>
      <c r="C299" s="433"/>
      <c r="E299" s="380"/>
      <c r="F299" s="218"/>
      <c r="G299" s="218"/>
      <c r="Y299" s="381"/>
      <c r="Z299" s="381"/>
      <c r="AB299" s="218"/>
      <c r="AC299" s="218"/>
      <c r="AD299" s="218"/>
      <c r="AE299" s="218"/>
      <c r="AF299" s="218"/>
      <c r="AG299" s="218"/>
      <c r="AH299" s="218"/>
      <c r="AI299" s="218"/>
      <c r="AJ299" s="218"/>
      <c r="AK299" s="218"/>
      <c r="AL299" s="218"/>
      <c r="AM299" s="218"/>
      <c r="AN299" s="218"/>
      <c r="AO299" s="218"/>
      <c r="AP299" s="218"/>
      <c r="AQ299" s="218"/>
      <c r="AR299" s="218"/>
      <c r="AS299" s="218"/>
      <c r="AT299" s="218"/>
      <c r="AU299" s="218"/>
      <c r="AV299" s="218"/>
      <c r="AW299" s="218"/>
      <c r="AX299" s="218"/>
      <c r="AY299" s="218"/>
    </row>
    <row r="300" spans="1:51" s="217" customFormat="1" ht="14.25">
      <c r="A300" s="433"/>
      <c r="B300" s="433"/>
      <c r="C300" s="433"/>
      <c r="E300" s="380"/>
      <c r="F300" s="218"/>
      <c r="G300" s="218"/>
      <c r="Y300" s="381"/>
      <c r="Z300" s="381"/>
      <c r="AB300" s="218"/>
      <c r="AC300" s="218"/>
      <c r="AD300" s="218"/>
      <c r="AE300" s="218"/>
      <c r="AF300" s="218"/>
      <c r="AG300" s="218"/>
      <c r="AH300" s="218"/>
      <c r="AI300" s="218"/>
      <c r="AJ300" s="218"/>
      <c r="AK300" s="218"/>
      <c r="AL300" s="218"/>
      <c r="AM300" s="218"/>
      <c r="AN300" s="218"/>
      <c r="AO300" s="218"/>
      <c r="AP300" s="218"/>
      <c r="AQ300" s="218"/>
      <c r="AR300" s="218"/>
      <c r="AS300" s="218"/>
      <c r="AT300" s="218"/>
      <c r="AU300" s="218"/>
      <c r="AV300" s="218"/>
      <c r="AW300" s="218"/>
      <c r="AX300" s="218"/>
      <c r="AY300" s="218"/>
    </row>
    <row r="301" spans="1:51" s="217" customFormat="1" ht="14.25">
      <c r="A301" s="433"/>
      <c r="B301" s="433"/>
      <c r="C301" s="433"/>
      <c r="E301" s="380"/>
      <c r="F301" s="218"/>
      <c r="G301" s="218"/>
      <c r="Y301" s="381"/>
      <c r="Z301" s="381"/>
      <c r="AB301" s="218"/>
      <c r="AC301" s="218"/>
      <c r="AD301" s="218"/>
      <c r="AE301" s="218"/>
      <c r="AF301" s="218"/>
      <c r="AG301" s="218"/>
      <c r="AH301" s="218"/>
      <c r="AI301" s="218"/>
      <c r="AJ301" s="218"/>
      <c r="AK301" s="218"/>
      <c r="AL301" s="218"/>
      <c r="AM301" s="218"/>
      <c r="AN301" s="218"/>
      <c r="AO301" s="218"/>
      <c r="AP301" s="218"/>
      <c r="AQ301" s="218"/>
      <c r="AR301" s="218"/>
      <c r="AS301" s="218"/>
      <c r="AT301" s="218"/>
      <c r="AU301" s="218"/>
      <c r="AV301" s="218"/>
      <c r="AW301" s="218"/>
      <c r="AX301" s="218"/>
      <c r="AY301" s="218"/>
    </row>
    <row r="302" spans="1:51" s="217" customFormat="1" ht="14.25">
      <c r="A302" s="433"/>
      <c r="B302" s="433"/>
      <c r="C302" s="433"/>
      <c r="E302" s="380"/>
      <c r="F302" s="218"/>
      <c r="G302" s="218"/>
      <c r="Y302" s="381"/>
      <c r="Z302" s="381"/>
      <c r="AB302" s="218"/>
      <c r="AC302" s="218"/>
      <c r="AD302" s="218"/>
      <c r="AE302" s="218"/>
      <c r="AF302" s="218"/>
      <c r="AG302" s="218"/>
      <c r="AH302" s="218"/>
      <c r="AI302" s="218"/>
      <c r="AJ302" s="218"/>
      <c r="AK302" s="218"/>
      <c r="AL302" s="218"/>
      <c r="AM302" s="218"/>
      <c r="AN302" s="218"/>
      <c r="AO302" s="218"/>
      <c r="AP302" s="218"/>
      <c r="AQ302" s="218"/>
      <c r="AR302" s="218"/>
      <c r="AS302" s="218"/>
      <c r="AT302" s="218"/>
      <c r="AU302" s="218"/>
      <c r="AV302" s="218"/>
      <c r="AW302" s="218"/>
      <c r="AX302" s="218"/>
      <c r="AY302" s="218"/>
    </row>
    <row r="303" spans="1:51" s="217" customFormat="1" ht="14.25">
      <c r="A303" s="433"/>
      <c r="B303" s="433"/>
      <c r="C303" s="433"/>
      <c r="E303" s="380"/>
      <c r="F303" s="218"/>
      <c r="G303" s="218"/>
      <c r="Y303" s="381"/>
      <c r="Z303" s="381"/>
      <c r="AB303" s="218"/>
      <c r="AC303" s="218"/>
      <c r="AD303" s="218"/>
      <c r="AE303" s="218"/>
      <c r="AF303" s="218"/>
      <c r="AG303" s="218"/>
      <c r="AH303" s="218"/>
      <c r="AI303" s="218"/>
      <c r="AJ303" s="218"/>
      <c r="AK303" s="218"/>
      <c r="AL303" s="218"/>
      <c r="AM303" s="218"/>
      <c r="AN303" s="218"/>
      <c r="AO303" s="218"/>
      <c r="AP303" s="218"/>
      <c r="AQ303" s="218"/>
      <c r="AR303" s="218"/>
      <c r="AS303" s="218"/>
      <c r="AT303" s="218"/>
      <c r="AU303" s="218"/>
      <c r="AV303" s="218"/>
      <c r="AW303" s="218"/>
      <c r="AX303" s="218"/>
      <c r="AY303" s="218"/>
    </row>
    <row r="304" spans="1:51" s="217" customFormat="1" ht="14.25">
      <c r="A304" s="433"/>
      <c r="B304" s="433"/>
      <c r="C304" s="433"/>
      <c r="E304" s="380"/>
      <c r="F304" s="218"/>
      <c r="G304" s="218"/>
      <c r="Y304" s="381"/>
      <c r="Z304" s="381"/>
      <c r="AB304" s="218"/>
      <c r="AC304" s="218"/>
      <c r="AD304" s="218"/>
      <c r="AE304" s="218"/>
      <c r="AF304" s="218"/>
      <c r="AG304" s="218"/>
      <c r="AH304" s="218"/>
      <c r="AI304" s="218"/>
      <c r="AJ304" s="218"/>
      <c r="AK304" s="218"/>
      <c r="AL304" s="218"/>
      <c r="AM304" s="218"/>
      <c r="AN304" s="218"/>
      <c r="AO304" s="218"/>
      <c r="AP304" s="218"/>
      <c r="AQ304" s="218"/>
      <c r="AR304" s="218"/>
      <c r="AS304" s="218"/>
      <c r="AT304" s="218"/>
      <c r="AU304" s="218"/>
      <c r="AV304" s="218"/>
      <c r="AW304" s="218"/>
      <c r="AX304" s="218"/>
      <c r="AY304" s="218"/>
    </row>
    <row r="305" spans="1:51" s="217" customFormat="1" ht="14.25">
      <c r="A305" s="433"/>
      <c r="B305" s="433"/>
      <c r="C305" s="433"/>
      <c r="E305" s="380"/>
      <c r="F305" s="218"/>
      <c r="G305" s="218"/>
      <c r="Y305" s="381"/>
      <c r="Z305" s="381"/>
      <c r="AB305" s="218"/>
      <c r="AC305" s="218"/>
      <c r="AD305" s="218"/>
      <c r="AE305" s="218"/>
      <c r="AF305" s="218"/>
      <c r="AG305" s="218"/>
      <c r="AH305" s="218"/>
      <c r="AI305" s="218"/>
      <c r="AJ305" s="218"/>
      <c r="AK305" s="218"/>
      <c r="AL305" s="218"/>
      <c r="AM305" s="218"/>
      <c r="AN305" s="218"/>
      <c r="AO305" s="218"/>
      <c r="AP305" s="218"/>
      <c r="AQ305" s="218"/>
      <c r="AR305" s="218"/>
      <c r="AS305" s="218"/>
      <c r="AT305" s="218"/>
      <c r="AU305" s="218"/>
      <c r="AV305" s="218"/>
      <c r="AW305" s="218"/>
      <c r="AX305" s="218"/>
      <c r="AY305" s="218"/>
    </row>
    <row r="306" spans="1:51" s="217" customFormat="1" ht="14.25">
      <c r="A306" s="433"/>
      <c r="B306" s="433"/>
      <c r="C306" s="433"/>
      <c r="E306" s="380"/>
      <c r="F306" s="218"/>
      <c r="G306" s="218"/>
      <c r="Y306" s="381"/>
      <c r="Z306" s="381"/>
      <c r="AB306" s="218"/>
      <c r="AC306" s="218"/>
      <c r="AD306" s="218"/>
      <c r="AE306" s="218"/>
      <c r="AF306" s="218"/>
      <c r="AG306" s="218"/>
      <c r="AH306" s="218"/>
      <c r="AI306" s="218"/>
      <c r="AJ306" s="218"/>
      <c r="AK306" s="218"/>
      <c r="AL306" s="218"/>
      <c r="AM306" s="218"/>
      <c r="AN306" s="218"/>
      <c r="AO306" s="218"/>
      <c r="AP306" s="218"/>
      <c r="AQ306" s="218"/>
      <c r="AR306" s="218"/>
      <c r="AS306" s="218"/>
      <c r="AT306" s="218"/>
      <c r="AU306" s="218"/>
      <c r="AV306" s="218"/>
      <c r="AW306" s="218"/>
      <c r="AX306" s="218"/>
      <c r="AY306" s="218"/>
    </row>
    <row r="307" spans="1:51" s="217" customFormat="1" ht="14.25">
      <c r="A307" s="433"/>
      <c r="B307" s="433"/>
      <c r="C307" s="433"/>
      <c r="E307" s="380"/>
      <c r="F307" s="218"/>
      <c r="G307" s="218"/>
      <c r="Y307" s="381"/>
      <c r="Z307" s="381"/>
      <c r="AB307" s="218"/>
      <c r="AC307" s="218"/>
      <c r="AD307" s="218"/>
      <c r="AE307" s="218"/>
      <c r="AF307" s="218"/>
      <c r="AG307" s="218"/>
      <c r="AH307" s="218"/>
      <c r="AI307" s="218"/>
      <c r="AJ307" s="218"/>
      <c r="AK307" s="218"/>
      <c r="AL307" s="218"/>
      <c r="AM307" s="218"/>
      <c r="AN307" s="218"/>
      <c r="AO307" s="218"/>
      <c r="AP307" s="218"/>
      <c r="AQ307" s="218"/>
      <c r="AR307" s="218"/>
      <c r="AS307" s="218"/>
      <c r="AT307" s="218"/>
      <c r="AU307" s="218"/>
      <c r="AV307" s="218"/>
      <c r="AW307" s="218"/>
      <c r="AX307" s="218"/>
      <c r="AY307" s="218"/>
    </row>
    <row r="308" spans="1:51" s="217" customFormat="1" ht="14.25">
      <c r="A308" s="433"/>
      <c r="B308" s="433"/>
      <c r="C308" s="433"/>
      <c r="E308" s="380"/>
      <c r="F308" s="218"/>
      <c r="G308" s="218"/>
      <c r="Y308" s="381"/>
      <c r="Z308" s="381"/>
      <c r="AB308" s="218"/>
      <c r="AC308" s="218"/>
      <c r="AD308" s="218"/>
      <c r="AE308" s="218"/>
      <c r="AF308" s="218"/>
      <c r="AG308" s="218"/>
      <c r="AH308" s="218"/>
      <c r="AI308" s="218"/>
      <c r="AJ308" s="218"/>
      <c r="AK308" s="218"/>
      <c r="AL308" s="218"/>
      <c r="AM308" s="218"/>
      <c r="AN308" s="218"/>
      <c r="AO308" s="218"/>
      <c r="AP308" s="218"/>
      <c r="AQ308" s="218"/>
      <c r="AR308" s="218"/>
      <c r="AS308" s="218"/>
      <c r="AT308" s="218"/>
      <c r="AU308" s="218"/>
      <c r="AV308" s="218"/>
      <c r="AW308" s="218"/>
      <c r="AX308" s="218"/>
      <c r="AY308" s="218"/>
    </row>
    <row r="309" spans="1:51" s="217" customFormat="1" ht="14.25">
      <c r="A309" s="433"/>
      <c r="B309" s="433"/>
      <c r="C309" s="433"/>
      <c r="E309" s="380"/>
      <c r="F309" s="218"/>
      <c r="G309" s="218"/>
      <c r="Y309" s="381"/>
      <c r="Z309" s="381"/>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8"/>
      <c r="AY309" s="218"/>
    </row>
    <row r="310" spans="1:51" s="217" customFormat="1" ht="14.25">
      <c r="A310" s="433"/>
      <c r="B310" s="433"/>
      <c r="C310" s="433"/>
      <c r="E310" s="380"/>
      <c r="F310" s="218"/>
      <c r="G310" s="218"/>
      <c r="Y310" s="381"/>
      <c r="Z310" s="381"/>
      <c r="AB310" s="218"/>
      <c r="AC310" s="218"/>
      <c r="AD310" s="218"/>
      <c r="AE310" s="218"/>
      <c r="AF310" s="218"/>
      <c r="AG310" s="218"/>
      <c r="AH310" s="218"/>
      <c r="AI310" s="218"/>
      <c r="AJ310" s="218"/>
      <c r="AK310" s="218"/>
      <c r="AL310" s="218"/>
      <c r="AM310" s="218"/>
      <c r="AN310" s="218"/>
      <c r="AO310" s="218"/>
      <c r="AP310" s="218"/>
      <c r="AQ310" s="218"/>
      <c r="AR310" s="218"/>
      <c r="AS310" s="218"/>
      <c r="AT310" s="218"/>
      <c r="AU310" s="218"/>
      <c r="AV310" s="218"/>
      <c r="AW310" s="218"/>
      <c r="AX310" s="218"/>
      <c r="AY310" s="218"/>
    </row>
  </sheetData>
  <mergeCells count="1">
    <mergeCell ref="Z5:AL5"/>
  </mergeCells>
  <pageMargins left="0.7" right="0.7" top="0.75" bottom="0.75" header="0.3" footer="0.3"/>
  <pageSetup scale="49" fitToHeight="4" orientation="portrait" r:id="rId1"/>
  <headerFooter>
    <oddHeader>&amp;R&amp;F
&amp;A</oddHeader>
    <oddFooter>&amp;L&amp;D&amp;C&amp;P&amp;R&amp;T</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78"/>
  <sheetViews>
    <sheetView workbookViewId="0">
      <pane xSplit="5" ySplit="6" topLeftCell="F7" activePane="bottomRight" state="frozen"/>
      <selection activeCell="S17" sqref="S17:S18"/>
      <selection pane="topRight" activeCell="S17" sqref="S17:S18"/>
      <selection pane="bottomLeft" activeCell="S17" sqref="S17:S18"/>
      <selection pane="bottomRight" activeCell="S17" sqref="S17:S18"/>
    </sheetView>
  </sheetViews>
  <sheetFormatPr defaultRowHeight="12.75" outlineLevelCol="1"/>
  <cols>
    <col min="1" max="1" width="31.28515625" style="218" customWidth="1"/>
    <col min="2" max="2" width="25.140625" style="217" customWidth="1"/>
    <col min="3" max="3" width="26.7109375" style="217" customWidth="1"/>
    <col min="4" max="4" width="15.140625" style="217" hidden="1" customWidth="1"/>
    <col min="5" max="5" width="10" style="380" hidden="1" customWidth="1"/>
    <col min="6" max="6" width="9" style="218" bestFit="1" customWidth="1"/>
    <col min="7" max="7" width="9" style="217" bestFit="1" customWidth="1"/>
    <col min="8" max="8" width="11" style="217" bestFit="1" customWidth="1"/>
    <col min="9" max="10" width="12.42578125" style="217" hidden="1" customWidth="1" outlineLevel="1"/>
    <col min="11" max="12" width="13.85546875" style="217" hidden="1" customWidth="1" outlineLevel="1"/>
    <col min="13" max="19" width="12.42578125" style="217" hidden="1" customWidth="1" outlineLevel="1"/>
    <col min="20" max="20" width="3.85546875" style="218" customWidth="1" collapsed="1"/>
    <col min="21" max="21" width="12.42578125" style="385" bestFit="1" customWidth="1"/>
    <col min="22" max="22" width="11" style="218" customWidth="1"/>
    <col min="23" max="24" width="12" style="217" hidden="1" customWidth="1" outlineLevel="1"/>
    <col min="25" max="34" width="10.28515625" style="218" hidden="1" customWidth="1" outlineLevel="1"/>
    <col min="35" max="35" width="9.140625" style="218" collapsed="1"/>
    <col min="36" max="36" width="10" style="218" bestFit="1" customWidth="1"/>
    <col min="37" max="38" width="9.140625" style="218"/>
    <col min="39" max="39" width="2.42578125" style="218" customWidth="1"/>
    <col min="40" max="40" width="9.140625" style="218"/>
    <col min="41" max="41" width="1.85546875" style="218" customWidth="1"/>
    <col min="42" max="42" width="9.140625" style="218"/>
    <col min="43" max="43" width="1.5703125" style="218" customWidth="1"/>
    <col min="44" max="44" width="12.42578125" style="218" bestFit="1" customWidth="1"/>
    <col min="45" max="16384" width="9.140625" style="218"/>
  </cols>
  <sheetData>
    <row r="1" spans="1:44">
      <c r="A1" s="216" t="s">
        <v>597</v>
      </c>
      <c r="C1" s="216"/>
      <c r="D1" s="216"/>
      <c r="AI1" s="385"/>
      <c r="AJ1" s="385"/>
      <c r="AK1" s="218" t="s">
        <v>720</v>
      </c>
    </row>
    <row r="2" spans="1:44">
      <c r="A2" s="223"/>
      <c r="B2" s="218"/>
      <c r="C2" s="216"/>
      <c r="D2" s="216"/>
      <c r="F2" s="217"/>
      <c r="T2" s="219"/>
      <c r="V2" s="217"/>
      <c r="AI2" s="385"/>
      <c r="AJ2" s="385"/>
      <c r="AK2" s="218" t="s">
        <v>721</v>
      </c>
      <c r="AL2" s="434">
        <v>0.02</v>
      </c>
    </row>
    <row r="3" spans="1:44">
      <c r="B3" s="218"/>
      <c r="C3" s="216"/>
      <c r="D3" s="216"/>
      <c r="F3" s="217"/>
      <c r="T3" s="219"/>
      <c r="V3" s="217"/>
      <c r="AI3" s="385"/>
      <c r="AJ3" s="385"/>
      <c r="AK3" s="218" t="s">
        <v>722</v>
      </c>
      <c r="AL3" s="434">
        <v>0.02</v>
      </c>
    </row>
    <row r="4" spans="1:44">
      <c r="A4" s="216" t="str">
        <f>+'2180 (Reg.) - Price Out 2020'!A4</f>
        <v>January - December 2020</v>
      </c>
      <c r="B4" s="218"/>
      <c r="C4" s="216"/>
      <c r="D4" s="216"/>
      <c r="F4" s="217"/>
      <c r="T4" s="217"/>
      <c r="AI4" s="385"/>
      <c r="AJ4" s="385"/>
      <c r="AK4" s="218" t="s">
        <v>723</v>
      </c>
      <c r="AL4" s="434">
        <v>0.02</v>
      </c>
    </row>
    <row r="5" spans="1:44" ht="14.25" customHeight="1">
      <c r="A5" s="532" t="s">
        <v>850</v>
      </c>
      <c r="C5" s="221"/>
      <c r="D5" s="221"/>
      <c r="F5" s="222"/>
      <c r="G5" s="222"/>
      <c r="H5" s="452"/>
      <c r="I5" s="450"/>
      <c r="J5" s="450"/>
      <c r="K5" s="450"/>
      <c r="L5" s="450"/>
      <c r="M5" s="450"/>
      <c r="N5" s="450"/>
      <c r="O5" s="450"/>
      <c r="P5" s="450"/>
      <c r="Q5" s="450"/>
      <c r="R5" s="450"/>
      <c r="S5" s="450"/>
      <c r="W5" s="218"/>
      <c r="X5" s="524"/>
      <c r="Y5" s="524"/>
      <c r="Z5" s="524"/>
      <c r="AA5" s="524"/>
      <c r="AB5" s="524"/>
      <c r="AC5" s="524"/>
      <c r="AD5" s="524"/>
      <c r="AE5" s="524"/>
      <c r="AF5" s="524"/>
      <c r="AG5" s="524"/>
      <c r="AH5" s="524"/>
      <c r="AI5" s="385"/>
      <c r="AJ5" s="385"/>
    </row>
    <row r="6" spans="1:44" ht="50.25" customHeight="1">
      <c r="B6" s="223" t="s">
        <v>106</v>
      </c>
      <c r="C6" s="221" t="s">
        <v>132</v>
      </c>
      <c r="D6" s="221" t="s">
        <v>109</v>
      </c>
      <c r="E6" s="221" t="s">
        <v>339</v>
      </c>
      <c r="F6" s="221" t="s">
        <v>340</v>
      </c>
      <c r="G6" s="221" t="str">
        <f>+'2180 (Reg.) - Price Out 2020'!H6</f>
        <v>Tariff Rate Effective 5/1/2020</v>
      </c>
      <c r="H6" s="224">
        <v>43800</v>
      </c>
      <c r="I6" s="224">
        <v>43831</v>
      </c>
      <c r="J6" s="224">
        <v>43862</v>
      </c>
      <c r="K6" s="224">
        <v>43891</v>
      </c>
      <c r="L6" s="224">
        <v>43922</v>
      </c>
      <c r="M6" s="224">
        <v>43952</v>
      </c>
      <c r="N6" s="224">
        <v>43983</v>
      </c>
      <c r="O6" s="224">
        <v>44013</v>
      </c>
      <c r="P6" s="224">
        <v>44044</v>
      </c>
      <c r="Q6" s="224">
        <v>44075</v>
      </c>
      <c r="R6" s="224">
        <v>44105</v>
      </c>
      <c r="S6" s="224">
        <v>44136</v>
      </c>
      <c r="T6" s="224"/>
      <c r="U6" s="383" t="s">
        <v>698</v>
      </c>
      <c r="V6" s="384"/>
      <c r="W6" s="224">
        <f t="shared" ref="W6:AH6" si="0">+H6</f>
        <v>43800</v>
      </c>
      <c r="X6" s="224">
        <f t="shared" si="0"/>
        <v>43831</v>
      </c>
      <c r="Y6" s="224">
        <f t="shared" si="0"/>
        <v>43862</v>
      </c>
      <c r="Z6" s="224">
        <f t="shared" si="0"/>
        <v>43891</v>
      </c>
      <c r="AA6" s="224">
        <f t="shared" si="0"/>
        <v>43922</v>
      </c>
      <c r="AB6" s="224">
        <f t="shared" si="0"/>
        <v>43952</v>
      </c>
      <c r="AC6" s="224">
        <f t="shared" si="0"/>
        <v>43983</v>
      </c>
      <c r="AD6" s="224">
        <f t="shared" si="0"/>
        <v>44013</v>
      </c>
      <c r="AE6" s="224">
        <f t="shared" si="0"/>
        <v>44044</v>
      </c>
      <c r="AF6" s="224">
        <f t="shared" si="0"/>
        <v>44075</v>
      </c>
      <c r="AG6" s="224">
        <f t="shared" si="0"/>
        <v>44105</v>
      </c>
      <c r="AH6" s="224">
        <f t="shared" si="0"/>
        <v>44136</v>
      </c>
      <c r="AI6" s="383" t="s">
        <v>741</v>
      </c>
      <c r="AJ6" s="383" t="s">
        <v>736</v>
      </c>
      <c r="AL6" s="221" t="s">
        <v>724</v>
      </c>
      <c r="AN6" s="221" t="s">
        <v>725</v>
      </c>
      <c r="AP6" s="221" t="s">
        <v>726</v>
      </c>
      <c r="AR6" s="221" t="s">
        <v>727</v>
      </c>
    </row>
    <row r="7" spans="1:44">
      <c r="F7" s="217"/>
      <c r="T7" s="217"/>
      <c r="V7" s="217"/>
      <c r="AI7" s="385"/>
      <c r="AJ7" s="385"/>
    </row>
    <row r="8" spans="1:44">
      <c r="B8" s="225" t="s">
        <v>341</v>
      </c>
      <c r="C8" s="226"/>
      <c r="D8" s="226"/>
      <c r="F8" s="227"/>
      <c r="G8" s="227"/>
      <c r="H8" s="227"/>
      <c r="I8" s="227"/>
      <c r="J8" s="227"/>
      <c r="K8" s="227"/>
      <c r="L8" s="227"/>
      <c r="M8" s="227"/>
      <c r="N8" s="227"/>
      <c r="O8" s="227"/>
      <c r="P8" s="227"/>
      <c r="Q8" s="227"/>
      <c r="R8" s="227"/>
      <c r="S8" s="227"/>
      <c r="T8" s="227"/>
      <c r="V8" s="217"/>
      <c r="AI8" s="385"/>
      <c r="AJ8" s="385"/>
    </row>
    <row r="9" spans="1:44">
      <c r="B9" s="225"/>
      <c r="C9" s="226"/>
      <c r="D9" s="226"/>
      <c r="F9" s="227"/>
      <c r="G9" s="227"/>
      <c r="H9" s="227"/>
      <c r="I9" s="227"/>
      <c r="J9" s="227"/>
      <c r="K9" s="227"/>
      <c r="L9" s="227"/>
      <c r="M9" s="227"/>
      <c r="N9" s="227"/>
      <c r="O9" s="227"/>
      <c r="P9" s="227"/>
      <c r="Q9" s="227"/>
      <c r="R9" s="227"/>
      <c r="S9" s="227"/>
      <c r="T9" s="227"/>
      <c r="V9" s="217"/>
      <c r="AI9" s="385"/>
      <c r="AJ9" s="385"/>
    </row>
    <row r="10" spans="1:44">
      <c r="B10" s="229" t="s">
        <v>133</v>
      </c>
      <c r="C10" s="226"/>
      <c r="D10" s="226"/>
      <c r="F10" s="227"/>
      <c r="G10" s="227"/>
      <c r="H10" s="227"/>
      <c r="I10" s="227"/>
      <c r="J10" s="227"/>
      <c r="K10" s="227"/>
      <c r="L10" s="227"/>
      <c r="M10" s="227"/>
      <c r="N10" s="227"/>
      <c r="O10" s="227"/>
      <c r="P10" s="227"/>
      <c r="Q10" s="227"/>
      <c r="R10" s="227"/>
      <c r="S10" s="227"/>
      <c r="T10" s="227"/>
      <c r="V10" s="217"/>
      <c r="AI10" s="385"/>
      <c r="AJ10" s="385"/>
    </row>
    <row r="11" spans="1:44">
      <c r="A11" s="218" t="str">
        <f>$A$1&amp;"Residential"&amp;B11</f>
        <v>JBLM HOUSINGResidentialSL065.0G1W001WREC</v>
      </c>
      <c r="B11" s="230" t="s">
        <v>188</v>
      </c>
      <c r="C11" s="230" t="s">
        <v>189</v>
      </c>
      <c r="D11" s="230" t="s">
        <v>343</v>
      </c>
      <c r="E11" s="380">
        <v>32000</v>
      </c>
      <c r="F11" s="231">
        <v>22.1</v>
      </c>
      <c r="G11" s="231">
        <v>21.93</v>
      </c>
      <c r="H11" s="231">
        <v>73769.8</v>
      </c>
      <c r="I11" s="231">
        <v>145378.6</v>
      </c>
      <c r="J11" s="231">
        <v>2116.8099999999977</v>
      </c>
      <c r="K11" s="231">
        <v>73680.960000000006</v>
      </c>
      <c r="L11" s="231">
        <v>73755.429999999993</v>
      </c>
      <c r="M11" s="231">
        <v>73096.509999999995</v>
      </c>
      <c r="N11" s="231">
        <v>73096.509999999995</v>
      </c>
      <c r="O11" s="231">
        <v>73105.259999999995</v>
      </c>
      <c r="P11" s="231">
        <v>73340.83</v>
      </c>
      <c r="Q11" s="231">
        <v>73395.66</v>
      </c>
      <c r="R11" s="231">
        <v>73368.240000000005</v>
      </c>
      <c r="S11" s="231">
        <v>73392.36</v>
      </c>
      <c r="T11" s="232"/>
      <c r="U11" s="426">
        <f t="shared" ref="U11:U21" si="1">SUM(H11:S11)</f>
        <v>881496.97</v>
      </c>
      <c r="V11" s="232"/>
      <c r="W11" s="233">
        <f t="shared" ref="W11:W21" si="2">IFERROR(H11/$F11,0)</f>
        <v>3338</v>
      </c>
      <c r="X11" s="233">
        <f t="shared" ref="X11:X21" si="3">IFERROR(I11/$F11,0)</f>
        <v>6578.2171945701357</v>
      </c>
      <c r="Y11" s="233">
        <f t="shared" ref="Y11:Y21" si="4">IFERROR(J11/$F11,0)</f>
        <v>95.783257918551925</v>
      </c>
      <c r="Z11" s="232">
        <f t="shared" ref="Z11:Z21" si="5">IFERROR(K11/$G11,0)</f>
        <v>3359.8248974008211</v>
      </c>
      <c r="AA11" s="232">
        <f t="shared" ref="AA11:AA21" si="6">IFERROR(L11/$G11,0)</f>
        <v>3363.2207022343819</v>
      </c>
      <c r="AB11" s="232">
        <f t="shared" ref="AB11:AB21" si="7">IFERROR(M11/$G11,0)</f>
        <v>3333.1741906064749</v>
      </c>
      <c r="AC11" s="232">
        <f t="shared" ref="AC11:AC21" si="8">IFERROR(N11/$G11,0)</f>
        <v>3333.1741906064749</v>
      </c>
      <c r="AD11" s="232">
        <f t="shared" ref="AD11:AD21" si="9">IFERROR(O11/$G11,0)</f>
        <v>3333.5731874145004</v>
      </c>
      <c r="AE11" s="232">
        <f t="shared" ref="AE11:AE21" si="10">IFERROR(P11/$G11,0)</f>
        <v>3344.3150934792525</v>
      </c>
      <c r="AF11" s="232">
        <f t="shared" ref="AF11:AF21" si="11">IFERROR(Q11/$G11,0)</f>
        <v>3346.8153214774284</v>
      </c>
      <c r="AG11" s="232">
        <f t="shared" ref="AG11:AG21" si="12">IFERROR(R11/$G11,0)</f>
        <v>3345.5649794801643</v>
      </c>
      <c r="AH11" s="232">
        <f t="shared" ref="AH11:AH21" si="13">IFERROR(S11/$G11,0)</f>
        <v>3346.6648426812585</v>
      </c>
      <c r="AI11" s="234">
        <f t="shared" ref="AI11:AI21" si="14">AVERAGE(W11:AH11)</f>
        <v>3343.1939881557878</v>
      </c>
      <c r="AJ11" s="234">
        <f>+SUM(W11:AH11)</f>
        <v>40118.327857869452</v>
      </c>
      <c r="AL11" s="243">
        <f t="shared" ref="AL11:AL21" si="15">G11*$AL$2</f>
        <v>0.43859999999999999</v>
      </c>
      <c r="AN11" s="243">
        <f>AI11*AL11*12</f>
        <v>17595.898598461543</v>
      </c>
      <c r="AP11" s="243">
        <f t="shared" ref="AP11:AP21" si="16">G11+AL11</f>
        <v>22.368600000000001</v>
      </c>
      <c r="AR11" s="243">
        <f t="shared" ref="AR11:AR21" si="17">U11+AN11</f>
        <v>899092.8685984615</v>
      </c>
    </row>
    <row r="12" spans="1:44">
      <c r="A12" s="218" t="str">
        <f>$A$1&amp;"Residential"&amp;B12</f>
        <v>JBLM HOUSINGResidentialSL095.0G1W001WREC</v>
      </c>
      <c r="B12" s="230" t="s">
        <v>200</v>
      </c>
      <c r="C12" s="230" t="s">
        <v>201</v>
      </c>
      <c r="D12" s="230" t="s">
        <v>343</v>
      </c>
      <c r="E12" s="380">
        <v>32000</v>
      </c>
      <c r="F12" s="231">
        <v>28.88</v>
      </c>
      <c r="G12" s="231">
        <v>28.66</v>
      </c>
      <c r="H12" s="231">
        <v>25241.119999999999</v>
      </c>
      <c r="I12" s="231">
        <v>25235.34</v>
      </c>
      <c r="J12" s="231">
        <v>25248.34</v>
      </c>
      <c r="K12" s="231">
        <v>25284.639999999999</v>
      </c>
      <c r="L12" s="231">
        <v>25330.3</v>
      </c>
      <c r="M12" s="231">
        <v>25171.84</v>
      </c>
      <c r="N12" s="231">
        <v>25168.99</v>
      </c>
      <c r="O12" s="231">
        <v>25264.720000000001</v>
      </c>
      <c r="P12" s="231">
        <v>25306.78</v>
      </c>
      <c r="Q12" s="231">
        <v>25283.85</v>
      </c>
      <c r="R12" s="231">
        <v>25303.919999999998</v>
      </c>
      <c r="S12" s="231">
        <v>25356.94</v>
      </c>
      <c r="T12" s="232"/>
      <c r="U12" s="426">
        <f t="shared" si="1"/>
        <v>303196.78000000003</v>
      </c>
      <c r="V12" s="232"/>
      <c r="W12" s="233">
        <f t="shared" si="2"/>
        <v>874</v>
      </c>
      <c r="X12" s="233">
        <f t="shared" si="3"/>
        <v>873.79986149584488</v>
      </c>
      <c r="Y12" s="233">
        <f t="shared" si="4"/>
        <v>874.25</v>
      </c>
      <c r="Z12" s="232">
        <f t="shared" si="5"/>
        <v>882.22749476622471</v>
      </c>
      <c r="AA12" s="232">
        <f t="shared" si="6"/>
        <v>883.82065596650386</v>
      </c>
      <c r="AB12" s="232">
        <f t="shared" si="7"/>
        <v>878.2916957431961</v>
      </c>
      <c r="AC12" s="232">
        <f t="shared" si="8"/>
        <v>878.19225401256108</v>
      </c>
      <c r="AD12" s="232">
        <f t="shared" si="9"/>
        <v>881.53244940683885</v>
      </c>
      <c r="AE12" s="232">
        <f t="shared" si="10"/>
        <v>883</v>
      </c>
      <c r="AF12" s="232">
        <f t="shared" si="11"/>
        <v>882.19993021632934</v>
      </c>
      <c r="AG12" s="232">
        <f t="shared" si="12"/>
        <v>882.90020935101177</v>
      </c>
      <c r="AH12" s="232">
        <f t="shared" si="13"/>
        <v>884.75017445917649</v>
      </c>
      <c r="AI12" s="234">
        <f t="shared" si="14"/>
        <v>879.91372711814074</v>
      </c>
      <c r="AJ12" s="234">
        <f t="shared" ref="AJ12:AJ21" si="18">+SUM(W12:AH12)</f>
        <v>10558.964725417689</v>
      </c>
      <c r="AL12" s="243">
        <f t="shared" si="15"/>
        <v>0.57320000000000004</v>
      </c>
      <c r="AN12" s="243">
        <f t="shared" ref="AN12:AN21" si="19">AI12*AL12*12</f>
        <v>6052.3985806094197</v>
      </c>
      <c r="AP12" s="243">
        <f t="shared" si="16"/>
        <v>29.2332</v>
      </c>
      <c r="AR12" s="243">
        <f t="shared" si="17"/>
        <v>309249.17858060944</v>
      </c>
    </row>
    <row r="13" spans="1:44">
      <c r="A13" s="218" t="str">
        <f>$A$1&amp;"commercial"&amp;B13</f>
        <v>JBLM HOUSINGcommercialFL006.0Y1W001MF</v>
      </c>
      <c r="B13" s="230" t="s">
        <v>314</v>
      </c>
      <c r="C13" s="230" t="s">
        <v>315</v>
      </c>
      <c r="D13" s="230" t="s">
        <v>397</v>
      </c>
      <c r="E13" s="380">
        <v>33000</v>
      </c>
      <c r="F13" s="231">
        <v>329.11</v>
      </c>
      <c r="G13" s="231">
        <v>326.51</v>
      </c>
      <c r="H13" s="231">
        <v>8885.9699999999993</v>
      </c>
      <c r="I13" s="231">
        <v>8885.9699999999993</v>
      </c>
      <c r="J13" s="231">
        <v>8885.9699999999993</v>
      </c>
      <c r="K13" s="231">
        <v>8875.44</v>
      </c>
      <c r="L13" s="231">
        <v>8875.44</v>
      </c>
      <c r="M13" s="231">
        <v>8791.2000000000007</v>
      </c>
      <c r="N13" s="231">
        <v>8791.2000000000007</v>
      </c>
      <c r="O13" s="231">
        <v>8791.2000000000007</v>
      </c>
      <c r="P13" s="231">
        <v>8815.77</v>
      </c>
      <c r="Q13" s="231">
        <v>8815.77</v>
      </c>
      <c r="R13" s="231">
        <v>8815.77</v>
      </c>
      <c r="S13" s="231">
        <v>8815.77</v>
      </c>
      <c r="T13" s="232"/>
      <c r="U13" s="426">
        <f t="shared" si="1"/>
        <v>106045.47000000002</v>
      </c>
      <c r="V13" s="232"/>
      <c r="W13" s="233">
        <f t="shared" si="2"/>
        <v>26.999999999999996</v>
      </c>
      <c r="X13" s="233">
        <f t="shared" si="3"/>
        <v>26.999999999999996</v>
      </c>
      <c r="Y13" s="233">
        <f t="shared" si="4"/>
        <v>26.999999999999996</v>
      </c>
      <c r="Z13" s="232">
        <f t="shared" si="5"/>
        <v>27.18275091115127</v>
      </c>
      <c r="AA13" s="232">
        <f t="shared" si="6"/>
        <v>27.18275091115127</v>
      </c>
      <c r="AB13" s="232">
        <f t="shared" si="7"/>
        <v>26.92474962482007</v>
      </c>
      <c r="AC13" s="232">
        <f t="shared" si="8"/>
        <v>26.92474962482007</v>
      </c>
      <c r="AD13" s="232">
        <f t="shared" si="9"/>
        <v>26.92474962482007</v>
      </c>
      <c r="AE13" s="232">
        <f t="shared" si="10"/>
        <v>27.000000000000004</v>
      </c>
      <c r="AF13" s="232">
        <f t="shared" si="11"/>
        <v>27.000000000000004</v>
      </c>
      <c r="AG13" s="232">
        <f t="shared" si="12"/>
        <v>27.000000000000004</v>
      </c>
      <c r="AH13" s="232">
        <f t="shared" si="13"/>
        <v>27.000000000000004</v>
      </c>
      <c r="AI13" s="234">
        <f t="shared" si="14"/>
        <v>27.011645891396896</v>
      </c>
      <c r="AJ13" s="234">
        <f t="shared" si="18"/>
        <v>324.13975069676275</v>
      </c>
      <c r="AL13" s="243">
        <f t="shared" si="15"/>
        <v>6.5301999999999998</v>
      </c>
      <c r="AN13" s="243">
        <f t="shared" si="19"/>
        <v>2116.6974</v>
      </c>
      <c r="AP13" s="243">
        <f t="shared" si="16"/>
        <v>333.04019999999997</v>
      </c>
      <c r="AR13" s="243">
        <f t="shared" si="17"/>
        <v>108162.16740000002</v>
      </c>
    </row>
    <row r="14" spans="1:44">
      <c r="A14" s="218" t="str">
        <f>$A$1&amp;"commercial"&amp;B14</f>
        <v>JBLM HOUSINGcommercialFL006.0Y2W001MF</v>
      </c>
      <c r="B14" s="230" t="s">
        <v>316</v>
      </c>
      <c r="C14" s="230" t="s">
        <v>317</v>
      </c>
      <c r="D14" s="230" t="s">
        <v>397</v>
      </c>
      <c r="E14" s="380">
        <v>33000</v>
      </c>
      <c r="F14" s="231">
        <v>626.54</v>
      </c>
      <c r="G14" s="231">
        <v>621.54999999999995</v>
      </c>
      <c r="H14" s="231">
        <v>8771.56</v>
      </c>
      <c r="I14" s="231">
        <v>8771.56</v>
      </c>
      <c r="J14" s="231">
        <v>8771.56</v>
      </c>
      <c r="K14" s="231">
        <v>8760.64</v>
      </c>
      <c r="L14" s="231">
        <v>8760.64</v>
      </c>
      <c r="M14" s="231">
        <v>8677.6200000000008</v>
      </c>
      <c r="N14" s="231">
        <v>8677.6200000000008</v>
      </c>
      <c r="O14" s="231">
        <v>8677.6200000000008</v>
      </c>
      <c r="P14" s="231">
        <v>8701.7000000000007</v>
      </c>
      <c r="Q14" s="231">
        <v>8701.7000000000007</v>
      </c>
      <c r="R14" s="231">
        <v>8701.7000000000007</v>
      </c>
      <c r="S14" s="231">
        <v>8701.7000000000007</v>
      </c>
      <c r="T14" s="232"/>
      <c r="U14" s="426">
        <f t="shared" si="1"/>
        <v>104675.62</v>
      </c>
      <c r="V14" s="232"/>
      <c r="W14" s="233">
        <f t="shared" si="2"/>
        <v>14</v>
      </c>
      <c r="X14" s="233">
        <f t="shared" si="3"/>
        <v>14</v>
      </c>
      <c r="Y14" s="233">
        <f t="shared" si="4"/>
        <v>14</v>
      </c>
      <c r="Z14" s="232">
        <f t="shared" si="5"/>
        <v>14.094827447510257</v>
      </c>
      <c r="AA14" s="232">
        <f t="shared" si="6"/>
        <v>14.094827447510257</v>
      </c>
      <c r="AB14" s="232">
        <f t="shared" si="7"/>
        <v>13.961258144960183</v>
      </c>
      <c r="AC14" s="232">
        <f t="shared" si="8"/>
        <v>13.961258144960183</v>
      </c>
      <c r="AD14" s="232">
        <f t="shared" si="9"/>
        <v>13.961258144960183</v>
      </c>
      <c r="AE14" s="232">
        <f t="shared" si="10"/>
        <v>14.000000000000002</v>
      </c>
      <c r="AF14" s="232">
        <f t="shared" si="11"/>
        <v>14.000000000000002</v>
      </c>
      <c r="AG14" s="232">
        <f t="shared" si="12"/>
        <v>14.000000000000002</v>
      </c>
      <c r="AH14" s="232">
        <f t="shared" si="13"/>
        <v>14.000000000000002</v>
      </c>
      <c r="AI14" s="234">
        <f t="shared" si="14"/>
        <v>14.00611911082509</v>
      </c>
      <c r="AJ14" s="234">
        <f t="shared" si="18"/>
        <v>168.07342932990107</v>
      </c>
      <c r="AL14" s="243">
        <f t="shared" si="15"/>
        <v>12.430999999999999</v>
      </c>
      <c r="AN14" s="243">
        <f t="shared" si="19"/>
        <v>2089.3208000000004</v>
      </c>
      <c r="AP14" s="243">
        <f t="shared" si="16"/>
        <v>633.98099999999999</v>
      </c>
      <c r="AR14" s="243">
        <f t="shared" si="17"/>
        <v>106764.9408</v>
      </c>
    </row>
    <row r="15" spans="1:44">
      <c r="A15" s="477"/>
      <c r="B15" s="478" t="s">
        <v>784</v>
      </c>
      <c r="C15" s="478" t="s">
        <v>783</v>
      </c>
      <c r="D15" s="478"/>
      <c r="E15" s="479"/>
      <c r="F15" s="480">
        <f>76.05+(50.71*7.66)</f>
        <v>464.48860000000002</v>
      </c>
      <c r="G15" s="480">
        <f>75.47+(50.3*7.66)</f>
        <v>460.76800000000003</v>
      </c>
      <c r="H15" s="480">
        <v>1857</v>
      </c>
      <c r="I15" s="480">
        <v>1857.96</v>
      </c>
      <c r="J15" s="480">
        <v>1857.96</v>
      </c>
      <c r="K15" s="480">
        <v>1855.52</v>
      </c>
      <c r="L15" s="480">
        <v>1855.52</v>
      </c>
      <c r="M15" s="480">
        <v>1837.96</v>
      </c>
      <c r="N15" s="480">
        <v>1837.96</v>
      </c>
      <c r="O15" s="480">
        <v>1837.96</v>
      </c>
      <c r="P15" s="480">
        <v>1843.08</v>
      </c>
      <c r="Q15" s="480">
        <v>1843.08</v>
      </c>
      <c r="R15" s="480">
        <v>1843.08</v>
      </c>
      <c r="S15" s="480">
        <v>1843.08</v>
      </c>
      <c r="T15" s="481"/>
      <c r="U15" s="481">
        <f t="shared" si="1"/>
        <v>22170.160000000003</v>
      </c>
      <c r="V15" s="232"/>
      <c r="W15" s="233">
        <f t="shared" ref="W15" si="20">IFERROR(H15/$F15,0)</f>
        <v>3.9979452671174274</v>
      </c>
      <c r="X15" s="233">
        <f t="shared" ref="X15" si="21">IFERROR(I15/$F15,0)</f>
        <v>4.000012056270057</v>
      </c>
      <c r="Y15" s="233">
        <f t="shared" ref="Y15" si="22">IFERROR(J15/$F15,0)</f>
        <v>4.000012056270057</v>
      </c>
      <c r="Z15" s="232">
        <f t="shared" ref="Z15" si="23">IFERROR(K15/$G15,0)</f>
        <v>4.0270157649836795</v>
      </c>
      <c r="AA15" s="232">
        <f t="shared" ref="AA15" si="24">IFERROR(L15/$G15,0)</f>
        <v>4.0270157649836795</v>
      </c>
      <c r="AB15" s="232">
        <f t="shared" ref="AB15" si="25">IFERROR(M15/$G15,0)</f>
        <v>3.9889054795471908</v>
      </c>
      <c r="AC15" s="232">
        <f t="shared" ref="AC15" si="26">IFERROR(N15/$G15,0)</f>
        <v>3.9889054795471908</v>
      </c>
      <c r="AD15" s="232">
        <f t="shared" ref="AD15" si="27">IFERROR(O15/$G15,0)</f>
        <v>3.9889054795471908</v>
      </c>
      <c r="AE15" s="232">
        <f t="shared" ref="AE15" si="28">IFERROR(P15/$G15,0)</f>
        <v>4.0000173623168269</v>
      </c>
      <c r="AF15" s="232">
        <f t="shared" ref="AF15" si="29">IFERROR(Q15/$G15,0)</f>
        <v>4.0000173623168269</v>
      </c>
      <c r="AG15" s="232">
        <f t="shared" ref="AG15" si="30">IFERROR(R15/$G15,0)</f>
        <v>4.0000173623168269</v>
      </c>
      <c r="AH15" s="232">
        <f t="shared" ref="AH15" si="31">IFERROR(S15/$G15,0)</f>
        <v>4.0000173623168269</v>
      </c>
      <c r="AI15" s="234">
        <f t="shared" ref="AI15" si="32">AVERAGE(W15:AH15)</f>
        <v>4.0015655664611485</v>
      </c>
      <c r="AJ15" s="234">
        <f t="shared" ref="AJ15" si="33">+SUM(W15:AH15)</f>
        <v>48.018786797533778</v>
      </c>
      <c r="AL15" s="243"/>
      <c r="AN15" s="243"/>
      <c r="AP15" s="243"/>
      <c r="AR15" s="243"/>
    </row>
    <row r="16" spans="1:44">
      <c r="A16" s="218" t="str">
        <f>$A$1&amp;"Residential"&amp;B16</f>
        <v>JBLM HOUSINGResidentialBULKY-RES</v>
      </c>
      <c r="B16" s="230" t="s">
        <v>206</v>
      </c>
      <c r="C16" s="230" t="s">
        <v>207</v>
      </c>
      <c r="D16" s="230" t="s">
        <v>344</v>
      </c>
      <c r="E16" s="380">
        <v>32001</v>
      </c>
      <c r="F16" s="231">
        <v>31.67</v>
      </c>
      <c r="G16" s="231">
        <v>31.98</v>
      </c>
      <c r="H16" s="231">
        <v>0</v>
      </c>
      <c r="I16" s="231">
        <v>0</v>
      </c>
      <c r="J16" s="231">
        <v>144.18</v>
      </c>
      <c r="K16" s="231">
        <v>0</v>
      </c>
      <c r="L16" s="231">
        <v>0</v>
      </c>
      <c r="M16" s="231">
        <v>0</v>
      </c>
      <c r="N16" s="231">
        <v>0</v>
      </c>
      <c r="O16" s="231">
        <v>0</v>
      </c>
      <c r="P16" s="231">
        <v>0</v>
      </c>
      <c r="Q16" s="231">
        <v>0</v>
      </c>
      <c r="R16" s="231">
        <v>0</v>
      </c>
      <c r="S16" s="231">
        <v>0</v>
      </c>
      <c r="T16" s="232"/>
      <c r="U16" s="426">
        <f t="shared" si="1"/>
        <v>144.18</v>
      </c>
      <c r="V16" s="232"/>
      <c r="W16" s="233">
        <f t="shared" si="2"/>
        <v>0</v>
      </c>
      <c r="X16" s="233">
        <f t="shared" si="3"/>
        <v>0</v>
      </c>
      <c r="Y16" s="233">
        <f t="shared" si="4"/>
        <v>4.5525734133249127</v>
      </c>
      <c r="Z16" s="232">
        <f t="shared" si="5"/>
        <v>0</v>
      </c>
      <c r="AA16" s="232">
        <f t="shared" si="6"/>
        <v>0</v>
      </c>
      <c r="AB16" s="232">
        <f t="shared" si="7"/>
        <v>0</v>
      </c>
      <c r="AC16" s="232">
        <f t="shared" si="8"/>
        <v>0</v>
      </c>
      <c r="AD16" s="232">
        <f t="shared" si="9"/>
        <v>0</v>
      </c>
      <c r="AE16" s="232">
        <f t="shared" si="10"/>
        <v>0</v>
      </c>
      <c r="AF16" s="232">
        <f t="shared" si="11"/>
        <v>0</v>
      </c>
      <c r="AG16" s="232">
        <f t="shared" si="12"/>
        <v>0</v>
      </c>
      <c r="AH16" s="232">
        <f t="shared" si="13"/>
        <v>0</v>
      </c>
      <c r="AI16" s="234">
        <f t="shared" si="14"/>
        <v>0.37938111777707606</v>
      </c>
      <c r="AJ16" s="234">
        <f t="shared" si="18"/>
        <v>4.5525734133249127</v>
      </c>
      <c r="AL16" s="243">
        <f t="shared" si="15"/>
        <v>0.63960000000000006</v>
      </c>
      <c r="AN16" s="243">
        <f t="shared" si="19"/>
        <v>2.9118259551626147</v>
      </c>
      <c r="AP16" s="243">
        <f t="shared" si="16"/>
        <v>32.619599999999998</v>
      </c>
      <c r="AR16" s="243">
        <f t="shared" si="17"/>
        <v>147.09182595516262</v>
      </c>
    </row>
    <row r="17" spans="1:44">
      <c r="A17" s="218" t="str">
        <f>$A$1&amp;"Residential"&amp;B17</f>
        <v>JBLM HOUSINGResidentialOW-RES</v>
      </c>
      <c r="B17" s="230" t="s">
        <v>348</v>
      </c>
      <c r="C17" s="230" t="s">
        <v>349</v>
      </c>
      <c r="D17" s="230" t="s">
        <v>344</v>
      </c>
      <c r="E17" s="380">
        <v>32001</v>
      </c>
      <c r="F17" s="231">
        <v>0</v>
      </c>
      <c r="G17" s="231">
        <v>0</v>
      </c>
      <c r="H17" s="231">
        <v>5998.5</v>
      </c>
      <c r="I17" s="231">
        <v>6950.52</v>
      </c>
      <c r="J17" s="231">
        <v>4736.88</v>
      </c>
      <c r="K17" s="231">
        <v>3010.86</v>
      </c>
      <c r="L17" s="231">
        <v>3506.22</v>
      </c>
      <c r="M17" s="231">
        <v>5688.9</v>
      </c>
      <c r="N17" s="231">
        <v>4458.24</v>
      </c>
      <c r="O17" s="231">
        <v>2956.68</v>
      </c>
      <c r="P17" s="231">
        <v>3335.94</v>
      </c>
      <c r="Q17" s="231">
        <v>2770.92</v>
      </c>
      <c r="R17" s="231">
        <v>3630.06</v>
      </c>
      <c r="S17" s="231">
        <v>2724.48</v>
      </c>
      <c r="T17" s="232"/>
      <c r="U17" s="426">
        <f t="shared" si="1"/>
        <v>49768.200000000004</v>
      </c>
      <c r="V17" s="232"/>
      <c r="W17" s="233">
        <f t="shared" si="2"/>
        <v>0</v>
      </c>
      <c r="X17" s="233">
        <f t="shared" si="3"/>
        <v>0</v>
      </c>
      <c r="Y17" s="233">
        <f t="shared" si="4"/>
        <v>0</v>
      </c>
      <c r="Z17" s="232">
        <f t="shared" si="5"/>
        <v>0</v>
      </c>
      <c r="AA17" s="232">
        <f t="shared" si="6"/>
        <v>0</v>
      </c>
      <c r="AB17" s="232">
        <f t="shared" si="7"/>
        <v>0</v>
      </c>
      <c r="AC17" s="232">
        <f t="shared" si="8"/>
        <v>0</v>
      </c>
      <c r="AD17" s="232">
        <f t="shared" si="9"/>
        <v>0</v>
      </c>
      <c r="AE17" s="232">
        <f t="shared" si="10"/>
        <v>0</v>
      </c>
      <c r="AF17" s="232">
        <f t="shared" si="11"/>
        <v>0</v>
      </c>
      <c r="AG17" s="232">
        <f t="shared" si="12"/>
        <v>0</v>
      </c>
      <c r="AH17" s="232">
        <f t="shared" si="13"/>
        <v>0</v>
      </c>
      <c r="AI17" s="234">
        <f t="shared" si="14"/>
        <v>0</v>
      </c>
      <c r="AJ17" s="234">
        <f t="shared" si="18"/>
        <v>0</v>
      </c>
      <c r="AL17" s="243">
        <f t="shared" si="15"/>
        <v>0</v>
      </c>
      <c r="AN17" s="243">
        <f t="shared" si="19"/>
        <v>0</v>
      </c>
      <c r="AP17" s="243">
        <f t="shared" si="16"/>
        <v>0</v>
      </c>
      <c r="AR17" s="243">
        <f t="shared" si="17"/>
        <v>49768.200000000004</v>
      </c>
    </row>
    <row r="18" spans="1:44" s="217" customFormat="1">
      <c r="A18" s="218" t="str">
        <f>$A$1&amp;"Residential"&amp;B18</f>
        <v>JBLM HOUSINGResidentialDISPFEDMSW-RES</v>
      </c>
      <c r="B18" s="230" t="s">
        <v>598</v>
      </c>
      <c r="C18" s="230" t="s">
        <v>599</v>
      </c>
      <c r="D18" s="230" t="s">
        <v>343</v>
      </c>
      <c r="E18" s="380">
        <v>32000</v>
      </c>
      <c r="F18" s="231">
        <v>112.64</v>
      </c>
      <c r="G18" s="231">
        <v>112.38</v>
      </c>
      <c r="H18" s="231">
        <v>2282.09</v>
      </c>
      <c r="I18" s="231">
        <v>2323.7600000000002</v>
      </c>
      <c r="J18" s="231">
        <v>4191.33</v>
      </c>
      <c r="K18" s="231">
        <v>2488.2199999999998</v>
      </c>
      <c r="L18" s="231">
        <v>4031.07</v>
      </c>
      <c r="M18" s="231">
        <v>0</v>
      </c>
      <c r="N18" s="231">
        <v>0</v>
      </c>
      <c r="O18" s="231">
        <v>0</v>
      </c>
      <c r="P18" s="231">
        <v>0</v>
      </c>
      <c r="Q18" s="231">
        <v>0</v>
      </c>
      <c r="R18" s="231">
        <v>0</v>
      </c>
      <c r="S18" s="231">
        <v>0</v>
      </c>
      <c r="T18" s="232"/>
      <c r="U18" s="426">
        <f t="shared" si="1"/>
        <v>15316.47</v>
      </c>
      <c r="V18" s="232"/>
      <c r="W18" s="233">
        <f t="shared" si="2"/>
        <v>20.260031960227273</v>
      </c>
      <c r="X18" s="233">
        <f t="shared" si="3"/>
        <v>20.629971590909093</v>
      </c>
      <c r="Y18" s="233">
        <f t="shared" si="4"/>
        <v>37.2099609375</v>
      </c>
      <c r="Z18" s="232">
        <f t="shared" si="5"/>
        <v>22.141128314646732</v>
      </c>
      <c r="AA18" s="232">
        <f t="shared" si="6"/>
        <v>35.869994660971706</v>
      </c>
      <c r="AB18" s="232">
        <f t="shared" si="7"/>
        <v>0</v>
      </c>
      <c r="AC18" s="232">
        <f t="shared" si="8"/>
        <v>0</v>
      </c>
      <c r="AD18" s="232">
        <f t="shared" si="9"/>
        <v>0</v>
      </c>
      <c r="AE18" s="232">
        <f t="shared" si="10"/>
        <v>0</v>
      </c>
      <c r="AF18" s="232">
        <f t="shared" si="11"/>
        <v>0</v>
      </c>
      <c r="AG18" s="232">
        <f t="shared" si="12"/>
        <v>0</v>
      </c>
      <c r="AH18" s="232">
        <f t="shared" si="13"/>
        <v>0</v>
      </c>
      <c r="AI18" s="234">
        <f t="shared" si="14"/>
        <v>11.342590622021234</v>
      </c>
      <c r="AJ18" s="234">
        <f t="shared" si="18"/>
        <v>136.11108746425481</v>
      </c>
      <c r="AK18" s="218"/>
      <c r="AL18" s="243">
        <f t="shared" si="15"/>
        <v>2.2475999999999998</v>
      </c>
      <c r="AM18" s="218"/>
      <c r="AN18" s="243">
        <f t="shared" si="19"/>
        <v>305.92328018465912</v>
      </c>
      <c r="AO18" s="218"/>
      <c r="AP18" s="243">
        <f t="shared" si="16"/>
        <v>114.6276</v>
      </c>
      <c r="AQ18" s="218"/>
      <c r="AR18" s="243">
        <f t="shared" si="17"/>
        <v>15622.393280184659</v>
      </c>
    </row>
    <row r="19" spans="1:44">
      <c r="A19" s="218" t="str">
        <f>$A$1&amp;"Residential"&amp;B19</f>
        <v>JBLM HOUSINGResidentialPDBAG-RES</v>
      </c>
      <c r="B19" s="230" t="s">
        <v>358</v>
      </c>
      <c r="C19" s="230" t="s">
        <v>359</v>
      </c>
      <c r="D19" s="230" t="s">
        <v>343</v>
      </c>
      <c r="E19" s="380">
        <v>32000</v>
      </c>
      <c r="F19" s="231">
        <v>5.09</v>
      </c>
      <c r="G19" s="231">
        <v>0</v>
      </c>
      <c r="H19" s="231">
        <v>0</v>
      </c>
      <c r="I19" s="231">
        <v>0</v>
      </c>
      <c r="J19" s="231">
        <v>0</v>
      </c>
      <c r="K19" s="231">
        <v>0</v>
      </c>
      <c r="L19" s="231">
        <v>1026</v>
      </c>
      <c r="M19" s="231">
        <v>0</v>
      </c>
      <c r="N19" s="231">
        <v>0</v>
      </c>
      <c r="O19" s="231">
        <v>0</v>
      </c>
      <c r="P19" s="231">
        <v>0</v>
      </c>
      <c r="Q19" s="231">
        <v>0</v>
      </c>
      <c r="R19" s="231">
        <v>0</v>
      </c>
      <c r="S19" s="231">
        <v>0</v>
      </c>
      <c r="T19" s="232"/>
      <c r="U19" s="426">
        <f t="shared" si="1"/>
        <v>1026</v>
      </c>
      <c r="V19" s="232"/>
      <c r="W19" s="233">
        <f t="shared" si="2"/>
        <v>0</v>
      </c>
      <c r="X19" s="233">
        <f t="shared" si="3"/>
        <v>0</v>
      </c>
      <c r="Y19" s="233">
        <f t="shared" si="4"/>
        <v>0</v>
      </c>
      <c r="Z19" s="232">
        <f t="shared" si="5"/>
        <v>0</v>
      </c>
      <c r="AA19" s="232">
        <f t="shared" si="6"/>
        <v>0</v>
      </c>
      <c r="AB19" s="232">
        <f t="shared" si="7"/>
        <v>0</v>
      </c>
      <c r="AC19" s="232">
        <f t="shared" si="8"/>
        <v>0</v>
      </c>
      <c r="AD19" s="232">
        <f t="shared" si="9"/>
        <v>0</v>
      </c>
      <c r="AE19" s="232">
        <f t="shared" si="10"/>
        <v>0</v>
      </c>
      <c r="AF19" s="232">
        <f t="shared" si="11"/>
        <v>0</v>
      </c>
      <c r="AG19" s="232">
        <f t="shared" si="12"/>
        <v>0</v>
      </c>
      <c r="AH19" s="232">
        <f t="shared" si="13"/>
        <v>0</v>
      </c>
      <c r="AI19" s="234">
        <f t="shared" si="14"/>
        <v>0</v>
      </c>
      <c r="AJ19" s="234">
        <f t="shared" si="18"/>
        <v>0</v>
      </c>
      <c r="AL19" s="243">
        <f t="shared" si="15"/>
        <v>0</v>
      </c>
      <c r="AN19" s="243">
        <f t="shared" si="19"/>
        <v>0</v>
      </c>
      <c r="AP19" s="243">
        <f t="shared" si="16"/>
        <v>0</v>
      </c>
      <c r="AR19" s="243">
        <f t="shared" si="17"/>
        <v>1026</v>
      </c>
    </row>
    <row r="20" spans="1:44">
      <c r="A20" s="218" t="str">
        <f>$A$1&amp;"Residential"&amp;B20</f>
        <v>JBLM HOUSINGResidentialREINSTATE-RES</v>
      </c>
      <c r="B20" s="230" t="s">
        <v>364</v>
      </c>
      <c r="C20" s="230" t="s">
        <v>365</v>
      </c>
      <c r="D20" s="230" t="s">
        <v>344</v>
      </c>
      <c r="E20" s="380">
        <v>32001</v>
      </c>
      <c r="F20" s="231">
        <v>12.65</v>
      </c>
      <c r="G20" s="231">
        <v>12.65</v>
      </c>
      <c r="H20" s="231">
        <v>0</v>
      </c>
      <c r="I20" s="231">
        <v>0</v>
      </c>
      <c r="J20" s="231">
        <v>0</v>
      </c>
      <c r="K20" s="231">
        <v>0</v>
      </c>
      <c r="L20" s="231">
        <v>0</v>
      </c>
      <c r="M20" s="231">
        <v>0</v>
      </c>
      <c r="N20" s="231">
        <v>0</v>
      </c>
      <c r="O20" s="231">
        <v>0</v>
      </c>
      <c r="P20" s="231">
        <v>0</v>
      </c>
      <c r="Q20" s="231">
        <v>0</v>
      </c>
      <c r="R20" s="231">
        <v>12.56</v>
      </c>
      <c r="S20" s="231">
        <v>0</v>
      </c>
      <c r="T20" s="232"/>
      <c r="U20" s="426">
        <f t="shared" si="1"/>
        <v>12.56</v>
      </c>
      <c r="V20" s="232"/>
      <c r="W20" s="233">
        <f t="shared" si="2"/>
        <v>0</v>
      </c>
      <c r="X20" s="233">
        <f t="shared" si="3"/>
        <v>0</v>
      </c>
      <c r="Y20" s="233">
        <f t="shared" si="4"/>
        <v>0</v>
      </c>
      <c r="Z20" s="232">
        <f t="shared" si="5"/>
        <v>0</v>
      </c>
      <c r="AA20" s="232">
        <f t="shared" si="6"/>
        <v>0</v>
      </c>
      <c r="AB20" s="232">
        <f t="shared" si="7"/>
        <v>0</v>
      </c>
      <c r="AC20" s="232">
        <f t="shared" si="8"/>
        <v>0</v>
      </c>
      <c r="AD20" s="232">
        <f t="shared" si="9"/>
        <v>0</v>
      </c>
      <c r="AE20" s="232">
        <f t="shared" si="10"/>
        <v>0</v>
      </c>
      <c r="AF20" s="232">
        <f t="shared" si="11"/>
        <v>0</v>
      </c>
      <c r="AG20" s="232">
        <f t="shared" si="12"/>
        <v>0.99288537549407119</v>
      </c>
      <c r="AH20" s="232">
        <f t="shared" si="13"/>
        <v>0</v>
      </c>
      <c r="AI20" s="234">
        <f t="shared" si="14"/>
        <v>8.2740447957839261E-2</v>
      </c>
      <c r="AJ20" s="234">
        <f t="shared" si="18"/>
        <v>0.99288537549407119</v>
      </c>
      <c r="AL20" s="243">
        <f t="shared" si="15"/>
        <v>0.253</v>
      </c>
      <c r="AN20" s="243">
        <f t="shared" si="19"/>
        <v>0.25119999999999998</v>
      </c>
      <c r="AP20" s="243">
        <f t="shared" si="16"/>
        <v>12.903</v>
      </c>
      <c r="AR20" s="243">
        <f t="shared" si="17"/>
        <v>12.811200000000001</v>
      </c>
    </row>
    <row r="21" spans="1:44">
      <c r="A21" s="218" t="str">
        <f>$A$1&amp;"Residential"&amp;B21</f>
        <v>JBLM HOUSINGResidentialTIME-RES</v>
      </c>
      <c r="B21" s="230" t="s">
        <v>372</v>
      </c>
      <c r="C21" s="230" t="s">
        <v>373</v>
      </c>
      <c r="D21" s="230" t="s">
        <v>344</v>
      </c>
      <c r="E21" s="380">
        <v>32001</v>
      </c>
      <c r="F21" s="231">
        <v>106</v>
      </c>
      <c r="G21" s="231">
        <v>105.29</v>
      </c>
      <c r="H21" s="231">
        <v>822.38</v>
      </c>
      <c r="I21" s="231">
        <v>685.13</v>
      </c>
      <c r="J21" s="231">
        <v>1400.63</v>
      </c>
      <c r="K21" s="231">
        <v>177.75</v>
      </c>
      <c r="L21" s="231">
        <v>4536.63</v>
      </c>
      <c r="M21" s="231">
        <v>26.25</v>
      </c>
      <c r="N21" s="231">
        <v>0</v>
      </c>
      <c r="O21" s="231">
        <v>0</v>
      </c>
      <c r="P21" s="231">
        <v>0</v>
      </c>
      <c r="Q21" s="231">
        <v>0</v>
      </c>
      <c r="R21" s="231">
        <v>26.32</v>
      </c>
      <c r="S21" s="231">
        <v>0</v>
      </c>
      <c r="T21" s="232"/>
      <c r="U21" s="426">
        <f t="shared" si="1"/>
        <v>7675.09</v>
      </c>
      <c r="V21" s="232"/>
      <c r="W21" s="233">
        <f t="shared" si="2"/>
        <v>7.7583018867924531</v>
      </c>
      <c r="X21" s="233">
        <f t="shared" si="3"/>
        <v>6.463490566037736</v>
      </c>
      <c r="Y21" s="233">
        <f t="shared" si="4"/>
        <v>13.213490566037738</v>
      </c>
      <c r="Z21" s="232">
        <f t="shared" si="5"/>
        <v>1.6881945103998479</v>
      </c>
      <c r="AA21" s="232">
        <f t="shared" si="6"/>
        <v>43.086997815557034</v>
      </c>
      <c r="AB21" s="232">
        <f t="shared" si="7"/>
        <v>0.24931142558647543</v>
      </c>
      <c r="AC21" s="232">
        <f t="shared" si="8"/>
        <v>0</v>
      </c>
      <c r="AD21" s="232">
        <f t="shared" si="9"/>
        <v>0</v>
      </c>
      <c r="AE21" s="232">
        <f t="shared" si="10"/>
        <v>0</v>
      </c>
      <c r="AF21" s="232">
        <f t="shared" si="11"/>
        <v>0</v>
      </c>
      <c r="AG21" s="232">
        <f t="shared" si="12"/>
        <v>0.24997625605470603</v>
      </c>
      <c r="AH21" s="232">
        <f t="shared" si="13"/>
        <v>0</v>
      </c>
      <c r="AI21" s="234">
        <f t="shared" si="14"/>
        <v>6.0591469188721652</v>
      </c>
      <c r="AJ21" s="234">
        <f t="shared" si="18"/>
        <v>72.709763026465978</v>
      </c>
      <c r="AL21" s="243">
        <f t="shared" si="15"/>
        <v>2.1058000000000003</v>
      </c>
      <c r="AN21" s="243">
        <f t="shared" si="19"/>
        <v>153.11221898113209</v>
      </c>
      <c r="AP21" s="243">
        <f t="shared" si="16"/>
        <v>107.39580000000001</v>
      </c>
      <c r="AR21" s="243">
        <f t="shared" si="17"/>
        <v>7828.2022189811323</v>
      </c>
    </row>
    <row r="22" spans="1:44">
      <c r="B22" s="230"/>
      <c r="C22" s="230"/>
      <c r="D22" s="230"/>
      <c r="F22" s="231"/>
      <c r="G22" s="231"/>
      <c r="H22" s="231"/>
      <c r="I22" s="231"/>
      <c r="J22" s="231"/>
      <c r="K22" s="231"/>
      <c r="L22" s="231"/>
      <c r="M22" s="231"/>
      <c r="N22" s="231"/>
      <c r="O22" s="231"/>
      <c r="P22" s="231"/>
      <c r="Q22" s="231"/>
      <c r="R22" s="231"/>
      <c r="S22" s="231"/>
      <c r="T22" s="232"/>
      <c r="U22" s="426"/>
      <c r="V22" s="232"/>
      <c r="W22" s="233"/>
      <c r="X22" s="233"/>
      <c r="Y22" s="233"/>
      <c r="Z22" s="232"/>
      <c r="AA22" s="232"/>
      <c r="AB22" s="232"/>
      <c r="AC22" s="232"/>
      <c r="AD22" s="232"/>
      <c r="AE22" s="232"/>
      <c r="AF22" s="232"/>
      <c r="AG22" s="232"/>
      <c r="AH22" s="232"/>
      <c r="AI22" s="234"/>
      <c r="AJ22" s="234"/>
      <c r="AL22" s="243"/>
      <c r="AN22" s="243"/>
      <c r="AP22" s="243"/>
      <c r="AR22" s="243"/>
    </row>
    <row r="23" spans="1:44">
      <c r="B23" s="230"/>
      <c r="C23" s="235" t="s">
        <v>134</v>
      </c>
      <c r="D23" s="230"/>
      <c r="F23" s="231"/>
      <c r="G23" s="231"/>
      <c r="H23" s="237">
        <f t="shared" ref="H23:P23" si="34">SUM(H11:H21)</f>
        <v>127628.42</v>
      </c>
      <c r="I23" s="237">
        <f t="shared" si="34"/>
        <v>200088.84</v>
      </c>
      <c r="J23" s="237">
        <f t="shared" si="34"/>
        <v>57353.659999999989</v>
      </c>
      <c r="K23" s="237">
        <f t="shared" si="34"/>
        <v>124134.03000000001</v>
      </c>
      <c r="L23" s="237">
        <f t="shared" si="34"/>
        <v>131677.25</v>
      </c>
      <c r="M23" s="237">
        <f t="shared" si="34"/>
        <v>123290.27999999998</v>
      </c>
      <c r="N23" s="237">
        <f t="shared" si="34"/>
        <v>122030.52</v>
      </c>
      <c r="O23" s="237">
        <f t="shared" si="34"/>
        <v>120633.43999999999</v>
      </c>
      <c r="P23" s="237">
        <f t="shared" si="34"/>
        <v>121344.1</v>
      </c>
      <c r="Q23" s="237">
        <f>SUM(Q11:Q21)</f>
        <v>120810.98000000001</v>
      </c>
      <c r="R23" s="237">
        <f>SUM(R11:R21)</f>
        <v>121701.65000000001</v>
      </c>
      <c r="S23" s="237">
        <f>SUM(S11:S21)</f>
        <v>120834.33</v>
      </c>
      <c r="T23" s="238"/>
      <c r="U23" s="237">
        <f>SUM(U11:U21)</f>
        <v>1491527.4999999998</v>
      </c>
      <c r="V23" s="241"/>
      <c r="W23" s="390">
        <f>SUM(W11:W15)</f>
        <v>4256.9979452671178</v>
      </c>
      <c r="X23" s="390">
        <f t="shared" ref="X23:AJ23" si="35">SUM(X11:X15)</f>
        <v>7497.0170681222507</v>
      </c>
      <c r="Y23" s="390">
        <f t="shared" si="35"/>
        <v>1015.033269974822</v>
      </c>
      <c r="Z23" s="390">
        <f t="shared" si="35"/>
        <v>4287.3569862906907</v>
      </c>
      <c r="AA23" s="390">
        <f t="shared" si="35"/>
        <v>4292.345952324531</v>
      </c>
      <c r="AB23" s="390">
        <f t="shared" si="35"/>
        <v>4256.3407995989983</v>
      </c>
      <c r="AC23" s="390">
        <f t="shared" si="35"/>
        <v>4256.2413578683636</v>
      </c>
      <c r="AD23" s="390">
        <f t="shared" si="35"/>
        <v>4259.9805500706671</v>
      </c>
      <c r="AE23" s="390">
        <f t="shared" si="35"/>
        <v>4272.3151108415686</v>
      </c>
      <c r="AF23" s="390">
        <f t="shared" si="35"/>
        <v>4274.0152690560744</v>
      </c>
      <c r="AG23" s="390">
        <f t="shared" si="35"/>
        <v>4273.465206193493</v>
      </c>
      <c r="AH23" s="390">
        <f t="shared" si="35"/>
        <v>4276.415034502752</v>
      </c>
      <c r="AI23" s="390">
        <f t="shared" si="35"/>
        <v>4268.1270458426125</v>
      </c>
      <c r="AJ23" s="390">
        <f t="shared" si="35"/>
        <v>51217.524550111339</v>
      </c>
      <c r="AL23" s="243"/>
      <c r="AN23" s="243"/>
      <c r="AP23" s="243"/>
      <c r="AR23" s="237">
        <f>SUM(AR11:AR21)</f>
        <v>1497673.8539041919</v>
      </c>
    </row>
    <row r="24" spans="1:44">
      <c r="B24" s="230"/>
      <c r="C24" s="230"/>
      <c r="D24" s="230"/>
      <c r="F24" s="231"/>
      <c r="G24" s="231"/>
      <c r="H24" s="236"/>
      <c r="I24" s="231"/>
      <c r="J24" s="231"/>
      <c r="K24" s="231"/>
      <c r="L24" s="231"/>
      <c r="M24" s="231"/>
      <c r="N24" s="231"/>
      <c r="O24" s="231"/>
      <c r="P24" s="231"/>
      <c r="Q24" s="231"/>
      <c r="R24" s="231"/>
      <c r="S24" s="231"/>
      <c r="T24" s="236"/>
      <c r="U24" s="435"/>
      <c r="V24" s="252"/>
      <c r="W24" s="233"/>
      <c r="X24" s="233"/>
      <c r="Y24" s="233"/>
      <c r="Z24" s="232"/>
      <c r="AA24" s="232"/>
      <c r="AB24" s="232"/>
      <c r="AC24" s="232"/>
      <c r="AD24" s="232"/>
      <c r="AE24" s="232"/>
      <c r="AF24" s="232"/>
      <c r="AG24" s="232"/>
      <c r="AH24" s="232"/>
      <c r="AL24" s="243"/>
      <c r="AN24" s="243"/>
      <c r="AP24" s="243"/>
      <c r="AR24" s="243"/>
    </row>
    <row r="25" spans="1:44">
      <c r="B25" s="239" t="s">
        <v>135</v>
      </c>
      <c r="C25" s="230"/>
      <c r="D25" s="230"/>
      <c r="F25" s="231"/>
      <c r="G25" s="231"/>
      <c r="H25" s="236"/>
      <c r="I25" s="231"/>
      <c r="J25" s="231"/>
      <c r="K25" s="231"/>
      <c r="L25" s="231"/>
      <c r="M25" s="231"/>
      <c r="N25" s="231"/>
      <c r="O25" s="231"/>
      <c r="P25" s="231"/>
      <c r="Q25" s="231"/>
      <c r="R25" s="231"/>
      <c r="S25" s="231"/>
      <c r="T25" s="236"/>
      <c r="U25" s="435"/>
      <c r="V25" s="252"/>
      <c r="W25" s="233"/>
      <c r="X25" s="233"/>
      <c r="Y25" s="233"/>
      <c r="Z25" s="232"/>
      <c r="AA25" s="232"/>
      <c r="AB25" s="232"/>
      <c r="AC25" s="232"/>
      <c r="AD25" s="232"/>
      <c r="AE25" s="232"/>
      <c r="AF25" s="232"/>
      <c r="AG25" s="232"/>
      <c r="AH25" s="232"/>
      <c r="AL25" s="243"/>
      <c r="AN25" s="243"/>
      <c r="AP25" s="243"/>
      <c r="AR25" s="243"/>
    </row>
    <row r="26" spans="1:44">
      <c r="A26" s="218" t="str">
        <f>$A$1&amp;"Residential"&amp;B26</f>
        <v>JBLM HOUSINGResidentialRECBINONLYR</v>
      </c>
      <c r="B26" s="230" t="s">
        <v>380</v>
      </c>
      <c r="C26" s="230" t="s">
        <v>136</v>
      </c>
      <c r="D26" s="230" t="s">
        <v>381</v>
      </c>
      <c r="E26" s="380">
        <v>32100</v>
      </c>
      <c r="F26" s="231">
        <v>5.07</v>
      </c>
      <c r="G26" s="231">
        <v>6.65</v>
      </c>
      <c r="H26" s="231">
        <v>10.14</v>
      </c>
      <c r="I26" s="231">
        <v>10.14</v>
      </c>
      <c r="J26" s="231">
        <v>10.14</v>
      </c>
      <c r="K26" s="231">
        <v>10.14</v>
      </c>
      <c r="L26" s="231">
        <v>15.21</v>
      </c>
      <c r="M26" s="231">
        <v>19.89</v>
      </c>
      <c r="N26" s="231">
        <v>26.52</v>
      </c>
      <c r="O26" s="231">
        <v>26.52</v>
      </c>
      <c r="P26" s="231">
        <v>26.6</v>
      </c>
      <c r="Q26" s="231">
        <v>26.6</v>
      </c>
      <c r="R26" s="231">
        <v>13.3</v>
      </c>
      <c r="S26" s="231">
        <v>13.3</v>
      </c>
      <c r="T26" s="232"/>
      <c r="U26" s="426">
        <f>SUM(H26:S26)</f>
        <v>208.5</v>
      </c>
      <c r="V26" s="232"/>
      <c r="W26" s="233">
        <f t="shared" ref="W26:Y28" si="36">IFERROR(H26/$F26,0)</f>
        <v>2</v>
      </c>
      <c r="X26" s="233">
        <f t="shared" si="36"/>
        <v>2</v>
      </c>
      <c r="Y26" s="233">
        <f t="shared" si="36"/>
        <v>2</v>
      </c>
      <c r="Z26" s="232">
        <f t="shared" ref="Z26:AH28" si="37">IFERROR(K26/$G26,0)</f>
        <v>1.524812030075188</v>
      </c>
      <c r="AA26" s="232">
        <f t="shared" si="37"/>
        <v>2.2872180451127821</v>
      </c>
      <c r="AB26" s="232">
        <f t="shared" si="37"/>
        <v>2.9909774436090224</v>
      </c>
      <c r="AC26" s="232">
        <f t="shared" si="37"/>
        <v>3.9879699248120297</v>
      </c>
      <c r="AD26" s="232">
        <f t="shared" si="37"/>
        <v>3.9879699248120297</v>
      </c>
      <c r="AE26" s="232">
        <f t="shared" si="37"/>
        <v>4</v>
      </c>
      <c r="AF26" s="232">
        <f t="shared" si="37"/>
        <v>4</v>
      </c>
      <c r="AG26" s="232">
        <f t="shared" si="37"/>
        <v>2</v>
      </c>
      <c r="AH26" s="232">
        <f t="shared" si="37"/>
        <v>2</v>
      </c>
      <c r="AI26" s="234">
        <f>AVERAGE(W26:AH26)</f>
        <v>2.7315789473684213</v>
      </c>
      <c r="AJ26" s="234">
        <f>+SUM(W26:AH26)</f>
        <v>32.778947368421058</v>
      </c>
      <c r="AL26" s="243">
        <f>G26*$AL$3</f>
        <v>0.13300000000000001</v>
      </c>
      <c r="AN26" s="243">
        <f>AI26*AL26*12</f>
        <v>4.3596000000000004</v>
      </c>
      <c r="AP26" s="243">
        <f>G26+AL26</f>
        <v>6.7830000000000004</v>
      </c>
      <c r="AR26" s="243">
        <f>U26+AN26</f>
        <v>212.8596</v>
      </c>
    </row>
    <row r="27" spans="1:44">
      <c r="A27" s="218" t="str">
        <f>$A$1&amp;"Residential"&amp;B27</f>
        <v>JBLM HOUSINGResidentialRECPROGADJ-RES</v>
      </c>
      <c r="B27" s="230" t="s">
        <v>382</v>
      </c>
      <c r="C27" s="230" t="s">
        <v>383</v>
      </c>
      <c r="D27" s="230" t="s">
        <v>381</v>
      </c>
      <c r="E27" s="380">
        <v>32100</v>
      </c>
      <c r="F27" s="231">
        <v>5.07</v>
      </c>
      <c r="G27" s="231">
        <v>6.65</v>
      </c>
      <c r="H27" s="231">
        <v>21288.93</v>
      </c>
      <c r="I27" s="231">
        <v>21287.66</v>
      </c>
      <c r="J27" s="231">
        <v>21288.93</v>
      </c>
      <c r="K27" s="231">
        <v>21288.93</v>
      </c>
      <c r="L27" s="231">
        <v>21288.93</v>
      </c>
      <c r="M27" s="231">
        <v>27839.37</v>
      </c>
      <c r="N27" s="231">
        <v>27839.37</v>
      </c>
      <c r="O27" s="231">
        <v>27839.37</v>
      </c>
      <c r="P27" s="231">
        <v>27923.35</v>
      </c>
      <c r="Q27" s="231">
        <v>27923.35</v>
      </c>
      <c r="R27" s="231">
        <v>27925.01</v>
      </c>
      <c r="S27" s="231">
        <v>27930</v>
      </c>
      <c r="T27" s="232"/>
      <c r="U27" s="426">
        <f>SUM(H27:S27)</f>
        <v>301663.2</v>
      </c>
      <c r="V27" s="232"/>
      <c r="W27" s="233">
        <f t="shared" si="36"/>
        <v>4199</v>
      </c>
      <c r="X27" s="233">
        <f t="shared" si="36"/>
        <v>4198.749506903353</v>
      </c>
      <c r="Y27" s="233">
        <f t="shared" si="36"/>
        <v>4199</v>
      </c>
      <c r="Z27" s="232">
        <f t="shared" si="37"/>
        <v>3201.3428571428572</v>
      </c>
      <c r="AA27" s="232">
        <f t="shared" si="37"/>
        <v>3201.3428571428572</v>
      </c>
      <c r="AB27" s="232">
        <f t="shared" si="37"/>
        <v>4186.3714285714286</v>
      </c>
      <c r="AC27" s="232">
        <f t="shared" si="37"/>
        <v>4186.3714285714286</v>
      </c>
      <c r="AD27" s="232">
        <f t="shared" si="37"/>
        <v>4186.3714285714286</v>
      </c>
      <c r="AE27" s="232">
        <f t="shared" si="37"/>
        <v>4199</v>
      </c>
      <c r="AF27" s="232">
        <f t="shared" si="37"/>
        <v>4199</v>
      </c>
      <c r="AG27" s="232">
        <f t="shared" si="37"/>
        <v>4199.2496240601495</v>
      </c>
      <c r="AH27" s="232">
        <f t="shared" si="37"/>
        <v>4200</v>
      </c>
      <c r="AI27" s="234">
        <f>AVERAGE(W27:AH27)</f>
        <v>4029.6499275802921</v>
      </c>
      <c r="AJ27" s="234">
        <f>+SUM(W27:AH27)</f>
        <v>48355.799130963504</v>
      </c>
      <c r="AL27" s="243">
        <f>G27*$AL$3</f>
        <v>0.13300000000000001</v>
      </c>
      <c r="AN27" s="243">
        <f>AI27*AL27*12</f>
        <v>6431.3212844181471</v>
      </c>
      <c r="AP27" s="243">
        <f>G27+AL27</f>
        <v>6.7830000000000004</v>
      </c>
      <c r="AR27" s="243">
        <f>U27+AN27</f>
        <v>308094.52128441818</v>
      </c>
    </row>
    <row r="28" spans="1:44">
      <c r="A28" s="218" t="str">
        <f>$A$1&amp;"Commercial Recycle"&amp;B28</f>
        <v>JBLM HOUSINGCommercial RecycleMFWBINS</v>
      </c>
      <c r="B28" s="230" t="s">
        <v>500</v>
      </c>
      <c r="C28" s="230" t="s">
        <v>501</v>
      </c>
      <c r="D28" s="230" t="s">
        <v>502</v>
      </c>
      <c r="E28" s="250">
        <v>33020</v>
      </c>
      <c r="F28" s="231">
        <v>1.7</v>
      </c>
      <c r="G28" s="231">
        <v>2.23</v>
      </c>
      <c r="H28" s="231">
        <v>1198.5</v>
      </c>
      <c r="I28" s="231">
        <v>1198.5</v>
      </c>
      <c r="J28" s="231">
        <v>1198.5</v>
      </c>
      <c r="K28" s="231">
        <v>1198.5</v>
      </c>
      <c r="L28" s="231">
        <v>1198.5</v>
      </c>
      <c r="M28" s="231">
        <v>1565.1</v>
      </c>
      <c r="N28" s="231">
        <v>1565.1</v>
      </c>
      <c r="O28" s="231">
        <v>1565.1</v>
      </c>
      <c r="P28" s="231">
        <v>1572.15</v>
      </c>
      <c r="Q28" s="231">
        <v>1572.15</v>
      </c>
      <c r="R28" s="231">
        <v>1572.15</v>
      </c>
      <c r="S28" s="231">
        <v>1572.15</v>
      </c>
      <c r="T28" s="232"/>
      <c r="U28" s="426">
        <f>SUM(H28:S28)</f>
        <v>16976.400000000001</v>
      </c>
      <c r="V28" s="232"/>
      <c r="W28" s="233">
        <f t="shared" si="36"/>
        <v>705</v>
      </c>
      <c r="X28" s="233">
        <f t="shared" si="36"/>
        <v>705</v>
      </c>
      <c r="Y28" s="233">
        <f t="shared" si="36"/>
        <v>705</v>
      </c>
      <c r="Z28" s="232">
        <f t="shared" si="37"/>
        <v>537.44394618834076</v>
      </c>
      <c r="AA28" s="232">
        <f t="shared" si="37"/>
        <v>537.44394618834076</v>
      </c>
      <c r="AB28" s="232">
        <f t="shared" si="37"/>
        <v>701.83856502242145</v>
      </c>
      <c r="AC28" s="232">
        <f t="shared" si="37"/>
        <v>701.83856502242145</v>
      </c>
      <c r="AD28" s="232">
        <f t="shared" si="37"/>
        <v>701.83856502242145</v>
      </c>
      <c r="AE28" s="232">
        <f t="shared" si="37"/>
        <v>705</v>
      </c>
      <c r="AF28" s="232">
        <f t="shared" si="37"/>
        <v>705</v>
      </c>
      <c r="AG28" s="232">
        <f t="shared" si="37"/>
        <v>705</v>
      </c>
      <c r="AH28" s="232">
        <f t="shared" si="37"/>
        <v>705</v>
      </c>
      <c r="AI28" s="234">
        <f>AVERAGE(W28:AH28)</f>
        <v>676.2836322869955</v>
      </c>
      <c r="AJ28" s="234">
        <f>+SUM(W28:AH28)</f>
        <v>8115.403587443946</v>
      </c>
      <c r="AL28" s="243">
        <f>G28*$AL$3</f>
        <v>4.4600000000000001E-2</v>
      </c>
      <c r="AN28" s="243">
        <f>AI28*AL28*12</f>
        <v>361.947</v>
      </c>
      <c r="AP28" s="243">
        <f>G28+AL28</f>
        <v>2.2746</v>
      </c>
      <c r="AR28" s="243">
        <f>U28+AN28</f>
        <v>17338.347000000002</v>
      </c>
    </row>
    <row r="29" spans="1:44">
      <c r="B29" s="230"/>
      <c r="C29" s="230"/>
      <c r="D29" s="230"/>
      <c r="E29" s="250"/>
      <c r="F29" s="231"/>
      <c r="G29" s="231"/>
      <c r="H29" s="231"/>
      <c r="I29" s="231"/>
      <c r="J29" s="231"/>
      <c r="K29" s="231"/>
      <c r="L29" s="231"/>
      <c r="M29" s="231"/>
      <c r="N29" s="231"/>
      <c r="O29" s="231"/>
      <c r="P29" s="231"/>
      <c r="Q29" s="231"/>
      <c r="R29" s="231"/>
      <c r="S29" s="231"/>
      <c r="T29" s="232"/>
      <c r="U29" s="426"/>
      <c r="V29" s="232"/>
      <c r="W29" s="233"/>
      <c r="X29" s="233"/>
      <c r="Y29" s="233"/>
      <c r="Z29" s="232"/>
      <c r="AA29" s="232"/>
      <c r="AB29" s="232"/>
      <c r="AC29" s="232"/>
      <c r="AD29" s="232"/>
      <c r="AE29" s="232"/>
      <c r="AF29" s="232"/>
      <c r="AG29" s="232"/>
      <c r="AH29" s="232"/>
      <c r="AL29" s="243"/>
      <c r="AN29" s="243"/>
      <c r="AP29" s="243"/>
      <c r="AR29" s="243"/>
    </row>
    <row r="30" spans="1:44">
      <c r="B30" s="230"/>
      <c r="C30" s="235" t="s">
        <v>137</v>
      </c>
      <c r="D30" s="230"/>
      <c r="F30" s="231"/>
      <c r="G30" s="231"/>
      <c r="H30" s="237">
        <f>SUM(H26:H29)</f>
        <v>22497.57</v>
      </c>
      <c r="I30" s="237">
        <f>SUM(I26:I29)</f>
        <v>22496.3</v>
      </c>
      <c r="J30" s="237">
        <f>SUM(J26:J29)</f>
        <v>22497.57</v>
      </c>
      <c r="K30" s="237">
        <f>SUM(K26:K29)</f>
        <v>22497.57</v>
      </c>
      <c r="L30" s="237">
        <f t="shared" ref="L30:S30" si="38">SUM(L26:L29)</f>
        <v>22502.639999999999</v>
      </c>
      <c r="M30" s="237">
        <f t="shared" si="38"/>
        <v>29424.359999999997</v>
      </c>
      <c r="N30" s="237">
        <f t="shared" si="38"/>
        <v>29430.989999999998</v>
      </c>
      <c r="O30" s="237">
        <f t="shared" si="38"/>
        <v>29430.989999999998</v>
      </c>
      <c r="P30" s="237">
        <f t="shared" si="38"/>
        <v>29522.1</v>
      </c>
      <c r="Q30" s="237">
        <f t="shared" si="38"/>
        <v>29522.1</v>
      </c>
      <c r="R30" s="237">
        <f t="shared" si="38"/>
        <v>29510.46</v>
      </c>
      <c r="S30" s="237">
        <f t="shared" si="38"/>
        <v>29515.45</v>
      </c>
      <c r="T30" s="238"/>
      <c r="U30" s="237">
        <f>SUM(U26:U29)</f>
        <v>318848.10000000003</v>
      </c>
      <c r="V30" s="241"/>
      <c r="W30" s="390">
        <f>SUM(W26:W29)</f>
        <v>4906</v>
      </c>
      <c r="X30" s="390">
        <f>SUM(X26:X29)</f>
        <v>4905.749506903353</v>
      </c>
      <c r="Y30" s="390">
        <f t="shared" ref="Y30:AJ30" si="39">SUM(Y26:Y29)</f>
        <v>4906</v>
      </c>
      <c r="Z30" s="390">
        <f>SUM(Z26:Z29)</f>
        <v>3740.3116153612732</v>
      </c>
      <c r="AA30" s="390">
        <f t="shared" si="39"/>
        <v>3741.0740213763106</v>
      </c>
      <c r="AB30" s="390">
        <f t="shared" si="39"/>
        <v>4891.2009710374596</v>
      </c>
      <c r="AC30" s="390">
        <f t="shared" si="39"/>
        <v>4892.1979635186626</v>
      </c>
      <c r="AD30" s="390">
        <f t="shared" si="39"/>
        <v>4892.1979635186626</v>
      </c>
      <c r="AE30" s="390">
        <f t="shared" si="39"/>
        <v>4908</v>
      </c>
      <c r="AF30" s="390">
        <f t="shared" si="39"/>
        <v>4908</v>
      </c>
      <c r="AG30" s="390">
        <f t="shared" si="39"/>
        <v>4906.2496240601495</v>
      </c>
      <c r="AH30" s="390">
        <f t="shared" si="39"/>
        <v>4907</v>
      </c>
      <c r="AI30" s="237">
        <f>AVERAGE(W30:AH30)</f>
        <v>4708.6651388146556</v>
      </c>
      <c r="AJ30" s="390">
        <f t="shared" si="39"/>
        <v>56503.981665775871</v>
      </c>
      <c r="AL30" s="243"/>
      <c r="AN30" s="243"/>
      <c r="AP30" s="243"/>
      <c r="AR30" s="237">
        <f>SUM(AR26:AR29)</f>
        <v>325645.72788441821</v>
      </c>
    </row>
    <row r="31" spans="1:44">
      <c r="B31" s="230"/>
      <c r="C31" s="235"/>
      <c r="D31" s="230"/>
      <c r="F31" s="231"/>
      <c r="G31" s="231"/>
      <c r="H31" s="236"/>
      <c r="I31" s="240"/>
      <c r="J31" s="240"/>
      <c r="K31" s="240"/>
      <c r="L31" s="240"/>
      <c r="M31" s="240"/>
      <c r="N31" s="240"/>
      <c r="O31" s="240"/>
      <c r="P31" s="240"/>
      <c r="Q31" s="240"/>
      <c r="R31" s="240"/>
      <c r="S31" s="240"/>
      <c r="T31" s="241"/>
      <c r="U31" s="436"/>
      <c r="V31" s="241"/>
      <c r="W31" s="233"/>
      <c r="X31" s="233"/>
      <c r="Y31" s="233"/>
      <c r="Z31" s="232"/>
      <c r="AA31" s="232"/>
      <c r="AB31" s="232"/>
      <c r="AC31" s="232"/>
      <c r="AD31" s="232"/>
      <c r="AE31" s="232"/>
      <c r="AF31" s="232"/>
      <c r="AG31" s="232"/>
      <c r="AH31" s="232"/>
      <c r="AK31" s="217"/>
      <c r="AL31" s="243"/>
      <c r="AM31" s="217"/>
      <c r="AN31" s="243"/>
      <c r="AO31" s="217"/>
      <c r="AP31" s="243"/>
      <c r="AQ31" s="217"/>
      <c r="AR31" s="243"/>
    </row>
    <row r="32" spans="1:44">
      <c r="A32" s="218" t="str">
        <f>$A$1&amp;"Residential"&amp;B32</f>
        <v>JBLM HOUSINGResidentialRECVALRES</v>
      </c>
      <c r="B32" s="230" t="s">
        <v>386</v>
      </c>
      <c r="C32" s="230" t="s">
        <v>387</v>
      </c>
      <c r="D32" s="230" t="s">
        <v>385</v>
      </c>
      <c r="E32" s="380">
        <v>35527</v>
      </c>
      <c r="F32" s="231">
        <v>-0.48</v>
      </c>
      <c r="G32" s="231">
        <v>-0.48</v>
      </c>
      <c r="H32" s="231"/>
      <c r="I32" s="262"/>
      <c r="J32" s="262"/>
      <c r="K32" s="262"/>
      <c r="L32" s="262"/>
      <c r="M32" s="262"/>
      <c r="N32" s="262"/>
      <c r="O32" s="262"/>
      <c r="P32" s="262"/>
      <c r="Q32" s="262"/>
      <c r="R32" s="262"/>
      <c r="S32" s="262"/>
      <c r="T32" s="232"/>
      <c r="U32" s="426"/>
      <c r="V32" s="232"/>
      <c r="W32" s="233">
        <f>IFERROR(H32/$F32,0)</f>
        <v>0</v>
      </c>
      <c r="X32" s="233">
        <f>IFERROR(I32/$F32,0)</f>
        <v>0</v>
      </c>
      <c r="Y32" s="233">
        <f>IFERROR(J32/$F32,0)</f>
        <v>0</v>
      </c>
      <c r="Z32" s="232">
        <f t="shared" ref="Z32:AH32" si="40">IFERROR(K32/$G32,0)</f>
        <v>0</v>
      </c>
      <c r="AA32" s="232">
        <f t="shared" si="40"/>
        <v>0</v>
      </c>
      <c r="AB32" s="232">
        <f t="shared" si="40"/>
        <v>0</v>
      </c>
      <c r="AC32" s="232">
        <f t="shared" si="40"/>
        <v>0</v>
      </c>
      <c r="AD32" s="232">
        <f t="shared" si="40"/>
        <v>0</v>
      </c>
      <c r="AE32" s="232">
        <f t="shared" si="40"/>
        <v>0</v>
      </c>
      <c r="AF32" s="232">
        <f t="shared" si="40"/>
        <v>0</v>
      </c>
      <c r="AG32" s="232">
        <f t="shared" si="40"/>
        <v>0</v>
      </c>
      <c r="AH32" s="232">
        <f t="shared" si="40"/>
        <v>0</v>
      </c>
      <c r="AL32" s="243"/>
      <c r="AN32" s="243"/>
      <c r="AP32" s="243"/>
      <c r="AR32" s="243"/>
    </row>
    <row r="33" spans="1:44">
      <c r="B33" s="230"/>
      <c r="C33" s="235"/>
      <c r="D33" s="230"/>
      <c r="F33" s="231"/>
      <c r="G33" s="231"/>
      <c r="H33" s="236"/>
      <c r="I33" s="231"/>
      <c r="J33" s="231"/>
      <c r="K33" s="231"/>
      <c r="L33" s="231"/>
      <c r="M33" s="231"/>
      <c r="N33" s="231"/>
      <c r="O33" s="231"/>
      <c r="P33" s="231"/>
      <c r="Q33" s="231"/>
      <c r="R33" s="231"/>
      <c r="S33" s="231"/>
      <c r="T33" s="236"/>
      <c r="U33" s="435"/>
      <c r="V33" s="252"/>
      <c r="W33" s="233"/>
      <c r="X33" s="233"/>
      <c r="Y33" s="233"/>
      <c r="Z33" s="232"/>
      <c r="AA33" s="232"/>
      <c r="AB33" s="232"/>
      <c r="AC33" s="232"/>
      <c r="AD33" s="232"/>
      <c r="AE33" s="232"/>
      <c r="AF33" s="232"/>
      <c r="AG33" s="232"/>
      <c r="AH33" s="232"/>
      <c r="AL33" s="243"/>
      <c r="AN33" s="243"/>
      <c r="AP33" s="243"/>
      <c r="AR33" s="243"/>
    </row>
    <row r="34" spans="1:44">
      <c r="B34" s="239" t="s">
        <v>138</v>
      </c>
      <c r="C34" s="230"/>
      <c r="D34" s="230"/>
      <c r="F34" s="231"/>
      <c r="G34" s="231"/>
      <c r="H34" s="236"/>
      <c r="I34" s="231"/>
      <c r="J34" s="231"/>
      <c r="K34" s="231"/>
      <c r="L34" s="231"/>
      <c r="M34" s="231"/>
      <c r="N34" s="231"/>
      <c r="O34" s="231"/>
      <c r="P34" s="231"/>
      <c r="Q34" s="231"/>
      <c r="R34" s="231"/>
      <c r="S34" s="231"/>
      <c r="T34" s="236"/>
      <c r="U34" s="435"/>
      <c r="V34" s="252"/>
      <c r="W34" s="233"/>
      <c r="X34" s="233"/>
      <c r="Y34" s="233"/>
      <c r="Z34" s="232"/>
      <c r="AA34" s="232"/>
      <c r="AB34" s="232"/>
      <c r="AC34" s="232"/>
      <c r="AD34" s="232"/>
      <c r="AE34" s="232"/>
      <c r="AF34" s="232"/>
      <c r="AG34" s="232"/>
      <c r="AH34" s="232"/>
      <c r="AL34" s="243"/>
      <c r="AN34" s="243"/>
      <c r="AP34" s="243"/>
      <c r="AR34" s="243"/>
    </row>
    <row r="35" spans="1:44">
      <c r="A35" s="218" t="str">
        <f>$A$1&amp;"Residential"&amp;B35</f>
        <v>JBLM HOUSINGResidentialGWRES</v>
      </c>
      <c r="B35" s="230" t="s">
        <v>388</v>
      </c>
      <c r="C35" s="230" t="s">
        <v>389</v>
      </c>
      <c r="D35" s="230" t="s">
        <v>390</v>
      </c>
      <c r="E35" s="380">
        <v>32110</v>
      </c>
      <c r="F35" s="231">
        <v>5.53</v>
      </c>
      <c r="G35" s="231">
        <v>6.26</v>
      </c>
      <c r="H35" s="231">
        <v>3461.78</v>
      </c>
      <c r="I35" s="231">
        <v>3472.84</v>
      </c>
      <c r="J35" s="231">
        <v>3467.31</v>
      </c>
      <c r="K35" s="231">
        <v>3445.19</v>
      </c>
      <c r="L35" s="231">
        <v>3478.37</v>
      </c>
      <c r="M35" s="231">
        <v>3993.6</v>
      </c>
      <c r="N35" s="231">
        <v>4118.3999999999996</v>
      </c>
      <c r="O35" s="231">
        <v>4243.2</v>
      </c>
      <c r="P35" s="231">
        <v>4338.18</v>
      </c>
      <c r="Q35" s="231">
        <v>4382</v>
      </c>
      <c r="R35" s="231">
        <v>4382</v>
      </c>
      <c r="S35" s="231">
        <v>4601.1000000000004</v>
      </c>
      <c r="T35" s="232"/>
      <c r="U35" s="426">
        <f>SUM(H35:S35)</f>
        <v>47383.969999999994</v>
      </c>
      <c r="V35" s="232"/>
      <c r="W35" s="233">
        <f>IFERROR(H35/$F35,0)</f>
        <v>626</v>
      </c>
      <c r="X35" s="233">
        <f>IFERROR(I35/$F35,0)</f>
        <v>628</v>
      </c>
      <c r="Y35" s="233">
        <f>IFERROR(J35/$F35,0)</f>
        <v>627</v>
      </c>
      <c r="Z35" s="232">
        <f t="shared" ref="Z35:AH35" si="41">IFERROR(K35/$G35,0)</f>
        <v>550.34984025559106</v>
      </c>
      <c r="AA35" s="232">
        <f t="shared" si="41"/>
        <v>555.65015974440894</v>
      </c>
      <c r="AB35" s="232">
        <f t="shared" si="41"/>
        <v>637.9552715654952</v>
      </c>
      <c r="AC35" s="232">
        <f t="shared" si="41"/>
        <v>657.89137380191687</v>
      </c>
      <c r="AD35" s="232">
        <f t="shared" si="41"/>
        <v>677.82747603833866</v>
      </c>
      <c r="AE35" s="232">
        <f t="shared" si="41"/>
        <v>693.00000000000011</v>
      </c>
      <c r="AF35" s="232">
        <f t="shared" si="41"/>
        <v>700</v>
      </c>
      <c r="AG35" s="232">
        <f t="shared" si="41"/>
        <v>700</v>
      </c>
      <c r="AH35" s="232">
        <f t="shared" si="41"/>
        <v>735.00000000000011</v>
      </c>
      <c r="AI35" s="234">
        <f>AVERAGE(W35:AH35)</f>
        <v>649.05617678381248</v>
      </c>
      <c r="AJ35" s="234">
        <f>+SUM(W35:AH35)</f>
        <v>7788.6741214057502</v>
      </c>
      <c r="AL35" s="243">
        <f>G35*$AL$4</f>
        <v>0.12520000000000001</v>
      </c>
      <c r="AN35" s="243">
        <f>AI35*AL35*12</f>
        <v>975.14199999999994</v>
      </c>
      <c r="AP35" s="243">
        <f>G35+AL35</f>
        <v>6.3852000000000002</v>
      </c>
      <c r="AR35" s="243">
        <f>U35+AN35</f>
        <v>48359.111999999994</v>
      </c>
    </row>
    <row r="36" spans="1:44">
      <c r="B36" s="230"/>
      <c r="C36" s="235" t="s">
        <v>139</v>
      </c>
      <c r="D36" s="230"/>
      <c r="F36" s="231"/>
      <c r="G36" s="231"/>
      <c r="H36" s="237">
        <f t="shared" ref="H36:P36" si="42">SUM(H35:H35)</f>
        <v>3461.78</v>
      </c>
      <c r="I36" s="237">
        <f t="shared" si="42"/>
        <v>3472.84</v>
      </c>
      <c r="J36" s="237">
        <f t="shared" si="42"/>
        <v>3467.31</v>
      </c>
      <c r="K36" s="237">
        <f t="shared" si="42"/>
        <v>3445.19</v>
      </c>
      <c r="L36" s="237">
        <f t="shared" si="42"/>
        <v>3478.37</v>
      </c>
      <c r="M36" s="237">
        <f t="shared" si="42"/>
        <v>3993.6</v>
      </c>
      <c r="N36" s="237">
        <f t="shared" si="42"/>
        <v>4118.3999999999996</v>
      </c>
      <c r="O36" s="237">
        <f t="shared" si="42"/>
        <v>4243.2</v>
      </c>
      <c r="P36" s="237">
        <f t="shared" si="42"/>
        <v>4338.18</v>
      </c>
      <c r="Q36" s="237">
        <f>SUM(Q35:Q35)</f>
        <v>4382</v>
      </c>
      <c r="R36" s="237">
        <f>SUM(R35:R35)</f>
        <v>4382</v>
      </c>
      <c r="S36" s="237">
        <f>SUM(S35:S35)</f>
        <v>4601.1000000000004</v>
      </c>
      <c r="T36" s="238"/>
      <c r="U36" s="237">
        <f>SUM(U35:U35)</f>
        <v>47383.969999999994</v>
      </c>
      <c r="V36" s="241"/>
      <c r="W36" s="390">
        <f>SUM(W35:W35)</f>
        <v>626</v>
      </c>
      <c r="X36" s="390">
        <f t="shared" ref="X36:AJ36" si="43">SUM(X35:X35)</f>
        <v>628</v>
      </c>
      <c r="Y36" s="390">
        <f t="shared" si="43"/>
        <v>627</v>
      </c>
      <c r="Z36" s="390">
        <f t="shared" si="43"/>
        <v>550.34984025559106</v>
      </c>
      <c r="AA36" s="390">
        <f t="shared" si="43"/>
        <v>555.65015974440894</v>
      </c>
      <c r="AB36" s="390">
        <f t="shared" si="43"/>
        <v>637.9552715654952</v>
      </c>
      <c r="AC36" s="390">
        <f t="shared" si="43"/>
        <v>657.89137380191687</v>
      </c>
      <c r="AD36" s="390">
        <f t="shared" si="43"/>
        <v>677.82747603833866</v>
      </c>
      <c r="AE36" s="390">
        <f t="shared" si="43"/>
        <v>693.00000000000011</v>
      </c>
      <c r="AF36" s="390">
        <f t="shared" si="43"/>
        <v>700</v>
      </c>
      <c r="AG36" s="390">
        <f t="shared" si="43"/>
        <v>700</v>
      </c>
      <c r="AH36" s="390">
        <f t="shared" si="43"/>
        <v>735.00000000000011</v>
      </c>
      <c r="AI36" s="237">
        <f>AVERAGE(W36:AH36)</f>
        <v>649.05617678381248</v>
      </c>
      <c r="AJ36" s="390">
        <f t="shared" si="43"/>
        <v>7788.6741214057502</v>
      </c>
      <c r="AL36" s="243"/>
      <c r="AN36" s="243"/>
      <c r="AP36" s="243"/>
      <c r="AR36" s="237">
        <f>SUM(AR35:AR35)</f>
        <v>48359.111999999994</v>
      </c>
    </row>
    <row r="37" spans="1:44">
      <c r="B37" s="230"/>
      <c r="C37" s="235"/>
      <c r="D37" s="230"/>
      <c r="F37" s="231"/>
      <c r="G37" s="231"/>
      <c r="H37" s="236"/>
      <c r="I37" s="231"/>
      <c r="J37" s="231"/>
      <c r="K37" s="231"/>
      <c r="L37" s="231"/>
      <c r="M37" s="231"/>
      <c r="N37" s="231"/>
      <c r="O37" s="231"/>
      <c r="P37" s="231"/>
      <c r="Q37" s="231"/>
      <c r="R37" s="231"/>
      <c r="S37" s="231"/>
      <c r="T37" s="236"/>
      <c r="U37" s="435"/>
      <c r="V37" s="252"/>
      <c r="W37" s="233"/>
      <c r="X37" s="233"/>
      <c r="Y37" s="233"/>
      <c r="Z37" s="232"/>
      <c r="AA37" s="232"/>
      <c r="AB37" s="232"/>
      <c r="AC37" s="232"/>
      <c r="AD37" s="232"/>
      <c r="AE37" s="232"/>
      <c r="AF37" s="232"/>
      <c r="AG37" s="232"/>
      <c r="AH37" s="232"/>
      <c r="AL37" s="243"/>
      <c r="AN37" s="243"/>
      <c r="AP37" s="243"/>
      <c r="AR37" s="243"/>
    </row>
    <row r="38" spans="1:44">
      <c r="F38" s="231"/>
      <c r="G38" s="231"/>
      <c r="I38" s="231"/>
      <c r="J38" s="231"/>
      <c r="K38" s="231"/>
      <c r="L38" s="231"/>
      <c r="M38" s="231"/>
      <c r="N38" s="231"/>
      <c r="O38" s="231"/>
      <c r="P38" s="231"/>
      <c r="Q38" s="231"/>
      <c r="R38" s="231"/>
      <c r="S38" s="231"/>
      <c r="W38" s="233"/>
      <c r="X38" s="233"/>
      <c r="Y38" s="233"/>
      <c r="Z38" s="232"/>
      <c r="AA38" s="232"/>
      <c r="AB38" s="232"/>
      <c r="AC38" s="232"/>
      <c r="AD38" s="232"/>
      <c r="AE38" s="232"/>
      <c r="AF38" s="232"/>
      <c r="AG38" s="232"/>
      <c r="AH38" s="232"/>
      <c r="AL38" s="243"/>
      <c r="AN38" s="243"/>
      <c r="AP38" s="243"/>
      <c r="AR38" s="243"/>
    </row>
    <row r="39" spans="1:44">
      <c r="F39" s="231"/>
      <c r="G39" s="231"/>
      <c r="I39" s="231"/>
      <c r="J39" s="231"/>
      <c r="K39" s="231"/>
      <c r="L39" s="231"/>
      <c r="M39" s="231"/>
      <c r="N39" s="231"/>
      <c r="O39" s="231"/>
      <c r="P39" s="231"/>
      <c r="Q39" s="231"/>
      <c r="R39" s="231"/>
      <c r="S39" s="231"/>
      <c r="T39" s="217"/>
      <c r="V39" s="217"/>
      <c r="W39" s="233"/>
      <c r="X39" s="233"/>
      <c r="Y39" s="233"/>
      <c r="Z39" s="232"/>
      <c r="AA39" s="232"/>
      <c r="AB39" s="232"/>
      <c r="AC39" s="232"/>
      <c r="AD39" s="232"/>
      <c r="AE39" s="232"/>
      <c r="AF39" s="232"/>
      <c r="AG39" s="232"/>
      <c r="AH39" s="232"/>
      <c r="AL39" s="243"/>
      <c r="AN39" s="243"/>
      <c r="AP39" s="243"/>
      <c r="AR39" s="243"/>
    </row>
    <row r="40" spans="1:44" s="216" customFormat="1">
      <c r="B40" s="216" t="s">
        <v>395</v>
      </c>
      <c r="E40" s="223"/>
      <c r="F40" s="231"/>
      <c r="G40" s="231"/>
      <c r="H40" s="244">
        <f t="shared" ref="H40:S40" si="44">+H23+H30+H36+H32</f>
        <v>153587.76999999999</v>
      </c>
      <c r="I40" s="244">
        <f t="shared" si="44"/>
        <v>226057.97999999998</v>
      </c>
      <c r="J40" s="244">
        <f t="shared" si="44"/>
        <v>83318.539999999979</v>
      </c>
      <c r="K40" s="244">
        <f t="shared" si="44"/>
        <v>150076.79</v>
      </c>
      <c r="L40" s="244">
        <f t="shared" si="44"/>
        <v>157658.26</v>
      </c>
      <c r="M40" s="244">
        <f t="shared" si="44"/>
        <v>156708.24</v>
      </c>
      <c r="N40" s="244">
        <f t="shared" si="44"/>
        <v>155579.91</v>
      </c>
      <c r="O40" s="244">
        <f t="shared" si="44"/>
        <v>154307.63</v>
      </c>
      <c r="P40" s="244">
        <f t="shared" si="44"/>
        <v>155204.38</v>
      </c>
      <c r="Q40" s="244">
        <f t="shared" si="44"/>
        <v>154715.08000000002</v>
      </c>
      <c r="R40" s="244">
        <f t="shared" si="44"/>
        <v>155594.11000000002</v>
      </c>
      <c r="S40" s="244">
        <f t="shared" si="44"/>
        <v>154950.88</v>
      </c>
      <c r="T40" s="263"/>
      <c r="U40" s="437">
        <f>+U23+U30+U36+U32</f>
        <v>1857759.5699999998</v>
      </c>
      <c r="V40" s="263"/>
      <c r="W40" s="233"/>
      <c r="X40" s="233"/>
      <c r="Y40" s="233"/>
      <c r="Z40" s="232"/>
      <c r="AA40" s="232"/>
      <c r="AB40" s="232"/>
      <c r="AC40" s="232"/>
      <c r="AD40" s="232"/>
      <c r="AE40" s="232"/>
      <c r="AF40" s="232"/>
      <c r="AG40" s="232"/>
      <c r="AH40" s="232"/>
      <c r="AK40" s="218"/>
      <c r="AL40" s="243"/>
      <c r="AM40" s="218"/>
      <c r="AN40" s="243"/>
      <c r="AO40" s="218"/>
      <c r="AP40" s="243"/>
      <c r="AQ40" s="218"/>
      <c r="AR40" s="437">
        <f>+AR23+AR30+AR36+AR32</f>
        <v>1871678.6937886102</v>
      </c>
    </row>
    <row r="41" spans="1:44" s="216" customFormat="1">
      <c r="E41" s="223"/>
      <c r="F41" s="231"/>
      <c r="G41" s="231"/>
      <c r="H41" s="245"/>
      <c r="I41" s="231"/>
      <c r="J41" s="231"/>
      <c r="K41" s="231"/>
      <c r="L41" s="231"/>
      <c r="M41" s="231"/>
      <c r="N41" s="231"/>
      <c r="O41" s="231"/>
      <c r="P41" s="231"/>
      <c r="Q41" s="231"/>
      <c r="R41" s="231"/>
      <c r="S41" s="231"/>
      <c r="T41" s="246"/>
      <c r="U41" s="438"/>
      <c r="V41" s="263"/>
      <c r="W41" s="233"/>
      <c r="X41" s="233"/>
      <c r="Y41" s="233"/>
      <c r="Z41" s="232"/>
      <c r="AA41" s="232"/>
      <c r="AB41" s="232"/>
      <c r="AC41" s="232"/>
      <c r="AD41" s="232"/>
      <c r="AE41" s="232"/>
      <c r="AF41" s="232"/>
      <c r="AG41" s="232"/>
      <c r="AH41" s="232"/>
      <c r="AK41" s="218"/>
      <c r="AL41" s="243"/>
      <c r="AM41" s="218"/>
      <c r="AN41" s="243"/>
      <c r="AO41" s="218"/>
      <c r="AP41" s="243"/>
      <c r="AQ41" s="218"/>
      <c r="AR41" s="243"/>
    </row>
    <row r="42" spans="1:44" s="216" customFormat="1">
      <c r="E42" s="223"/>
      <c r="F42" s="231"/>
      <c r="G42" s="231"/>
      <c r="H42" s="245"/>
      <c r="I42" s="231"/>
      <c r="J42" s="231"/>
      <c r="K42" s="231"/>
      <c r="L42" s="231"/>
      <c r="M42" s="231"/>
      <c r="N42" s="231"/>
      <c r="O42" s="231"/>
      <c r="P42" s="231"/>
      <c r="Q42" s="231"/>
      <c r="R42" s="231"/>
      <c r="S42" s="231"/>
      <c r="T42" s="246"/>
      <c r="U42" s="438"/>
      <c r="V42" s="263"/>
      <c r="W42" s="233"/>
      <c r="X42" s="233"/>
      <c r="Y42" s="233"/>
      <c r="Z42" s="232"/>
      <c r="AA42" s="232"/>
      <c r="AB42" s="232"/>
      <c r="AC42" s="232"/>
      <c r="AD42" s="232"/>
      <c r="AE42" s="232"/>
      <c r="AF42" s="232"/>
      <c r="AG42" s="232"/>
      <c r="AH42" s="232"/>
      <c r="AK42" s="218"/>
      <c r="AL42" s="243"/>
      <c r="AM42" s="218"/>
      <c r="AN42" s="243"/>
      <c r="AO42" s="218"/>
      <c r="AP42" s="243"/>
      <c r="AQ42" s="218"/>
      <c r="AR42" s="243"/>
    </row>
    <row r="43" spans="1:44">
      <c r="F43" s="231"/>
      <c r="G43" s="231"/>
      <c r="I43" s="231"/>
      <c r="J43" s="231"/>
      <c r="K43" s="231"/>
      <c r="L43" s="231"/>
      <c r="M43" s="231"/>
      <c r="N43" s="231"/>
      <c r="O43" s="231"/>
      <c r="P43" s="231"/>
      <c r="Q43" s="231"/>
      <c r="R43" s="231"/>
      <c r="S43" s="231"/>
      <c r="W43" s="233"/>
      <c r="X43" s="233"/>
      <c r="Y43" s="233"/>
      <c r="Z43" s="232"/>
      <c r="AA43" s="232"/>
      <c r="AB43" s="232"/>
      <c r="AC43" s="232"/>
      <c r="AD43" s="232"/>
      <c r="AE43" s="232"/>
      <c r="AF43" s="232"/>
      <c r="AG43" s="232"/>
      <c r="AH43" s="232"/>
      <c r="AL43" s="243"/>
      <c r="AN43" s="243"/>
      <c r="AP43" s="243"/>
      <c r="AR43" s="243"/>
    </row>
    <row r="44" spans="1:44">
      <c r="E44" s="247"/>
      <c r="F44" s="231"/>
      <c r="G44" s="231"/>
      <c r="I44" s="231"/>
      <c r="J44" s="231"/>
      <c r="K44" s="231"/>
      <c r="L44" s="231"/>
      <c r="M44" s="231"/>
      <c r="N44" s="231"/>
      <c r="O44" s="231"/>
      <c r="P44" s="231"/>
      <c r="Q44" s="231"/>
      <c r="R44" s="231"/>
      <c r="S44" s="231"/>
      <c r="W44" s="233"/>
      <c r="X44" s="233"/>
      <c r="Y44" s="233"/>
      <c r="Z44" s="232"/>
      <c r="AA44" s="232"/>
      <c r="AB44" s="232"/>
      <c r="AC44" s="232"/>
      <c r="AD44" s="232"/>
      <c r="AE44" s="232"/>
      <c r="AF44" s="232"/>
      <c r="AG44" s="232"/>
      <c r="AH44" s="232"/>
      <c r="AL44" s="243"/>
      <c r="AN44" s="243"/>
      <c r="AP44" s="243"/>
      <c r="AR44" s="243"/>
    </row>
    <row r="45" spans="1:44">
      <c r="B45" s="225" t="s">
        <v>396</v>
      </c>
      <c r="C45" s="226"/>
      <c r="D45" s="226"/>
      <c r="F45" s="231"/>
      <c r="G45" s="231"/>
      <c r="H45" s="227"/>
      <c r="I45" s="231"/>
      <c r="J45" s="231"/>
      <c r="K45" s="231"/>
      <c r="L45" s="231"/>
      <c r="M45" s="231"/>
      <c r="N45" s="231"/>
      <c r="O45" s="231"/>
      <c r="P45" s="231"/>
      <c r="Q45" s="231"/>
      <c r="R45" s="231"/>
      <c r="S45" s="231"/>
      <c r="T45" s="248"/>
      <c r="W45" s="233"/>
      <c r="X45" s="233"/>
      <c r="Y45" s="233"/>
      <c r="Z45" s="232"/>
      <c r="AA45" s="232"/>
      <c r="AB45" s="232"/>
      <c r="AC45" s="232"/>
      <c r="AD45" s="232"/>
      <c r="AE45" s="232"/>
      <c r="AF45" s="232"/>
      <c r="AG45" s="232"/>
      <c r="AH45" s="232"/>
      <c r="AL45" s="243"/>
      <c r="AN45" s="243"/>
      <c r="AP45" s="243"/>
      <c r="AR45" s="243"/>
    </row>
    <row r="46" spans="1:44">
      <c r="B46" s="225"/>
      <c r="C46" s="226"/>
      <c r="D46" s="226"/>
      <c r="F46" s="231"/>
      <c r="G46" s="231"/>
      <c r="H46" s="227"/>
      <c r="I46" s="231"/>
      <c r="J46" s="231"/>
      <c r="K46" s="231"/>
      <c r="L46" s="231"/>
      <c r="M46" s="231"/>
      <c r="N46" s="231"/>
      <c r="O46" s="231"/>
      <c r="P46" s="231"/>
      <c r="Q46" s="231"/>
      <c r="R46" s="231"/>
      <c r="S46" s="231"/>
      <c r="T46" s="248"/>
      <c r="W46" s="233"/>
      <c r="X46" s="233"/>
      <c r="Y46" s="233"/>
      <c r="Z46" s="232"/>
      <c r="AA46" s="232"/>
      <c r="AB46" s="232"/>
      <c r="AC46" s="232"/>
      <c r="AD46" s="232"/>
      <c r="AE46" s="232"/>
      <c r="AF46" s="232"/>
      <c r="AG46" s="232"/>
      <c r="AH46" s="232"/>
      <c r="AL46" s="243"/>
      <c r="AN46" s="243"/>
      <c r="AP46" s="243"/>
      <c r="AR46" s="243"/>
    </row>
    <row r="47" spans="1:44">
      <c r="B47" s="229" t="s">
        <v>140</v>
      </c>
      <c r="C47" s="226"/>
      <c r="D47" s="226"/>
      <c r="F47" s="231"/>
      <c r="G47" s="231"/>
      <c r="H47" s="227"/>
      <c r="I47" s="231"/>
      <c r="J47" s="231"/>
      <c r="K47" s="231"/>
      <c r="L47" s="231"/>
      <c r="M47" s="231"/>
      <c r="N47" s="231"/>
      <c r="O47" s="231"/>
      <c r="P47" s="231"/>
      <c r="Q47" s="231"/>
      <c r="R47" s="231"/>
      <c r="S47" s="231"/>
      <c r="T47" s="248"/>
      <c r="W47" s="233"/>
      <c r="X47" s="233"/>
      <c r="Y47" s="233"/>
      <c r="Z47" s="232"/>
      <c r="AA47" s="232"/>
      <c r="AB47" s="232"/>
      <c r="AC47" s="232"/>
      <c r="AD47" s="232"/>
      <c r="AE47" s="232"/>
      <c r="AF47" s="232"/>
      <c r="AG47" s="232"/>
      <c r="AH47" s="232"/>
      <c r="AL47" s="243"/>
      <c r="AN47" s="243"/>
      <c r="AP47" s="243"/>
      <c r="AR47" s="243"/>
    </row>
    <row r="48" spans="1:44">
      <c r="A48" s="218" t="str">
        <f>$A$1&amp;"Commercial"&amp;B48</f>
        <v>JBLM HOUSINGCommercialSL065.0G1W001NORECC</v>
      </c>
      <c r="B48" s="230" t="s">
        <v>271</v>
      </c>
      <c r="C48" s="230" t="s">
        <v>272</v>
      </c>
      <c r="D48" s="230" t="s">
        <v>397</v>
      </c>
      <c r="E48" s="380">
        <v>33000</v>
      </c>
      <c r="F48" s="231">
        <v>22.1</v>
      </c>
      <c r="G48" s="231">
        <v>21.93</v>
      </c>
      <c r="H48" s="231">
        <v>0</v>
      </c>
      <c r="I48" s="231">
        <v>0</v>
      </c>
      <c r="J48" s="231">
        <v>0</v>
      </c>
      <c r="K48" s="231">
        <v>0</v>
      </c>
      <c r="L48" s="231">
        <v>0</v>
      </c>
      <c r="M48" s="231">
        <v>0</v>
      </c>
      <c r="N48" s="231">
        <v>0</v>
      </c>
      <c r="O48" s="231">
        <v>0</v>
      </c>
      <c r="P48" s="231">
        <v>0</v>
      </c>
      <c r="Q48" s="231">
        <v>0</v>
      </c>
      <c r="R48" s="231">
        <v>0</v>
      </c>
      <c r="S48" s="231">
        <v>0</v>
      </c>
      <c r="T48" s="232"/>
      <c r="U48" s="426">
        <f>SUM(H48:S48)</f>
        <v>0</v>
      </c>
      <c r="V48" s="232"/>
      <c r="W48" s="233">
        <f t="shared" ref="W48:Y49" si="45">IFERROR(H48/$F48,0)</f>
        <v>0</v>
      </c>
      <c r="X48" s="233">
        <f t="shared" si="45"/>
        <v>0</v>
      </c>
      <c r="Y48" s="233">
        <f t="shared" si="45"/>
        <v>0</v>
      </c>
      <c r="Z48" s="232">
        <f t="shared" ref="Z48:AH49" si="46">IFERROR(K48/$G48,0)</f>
        <v>0</v>
      </c>
      <c r="AA48" s="232">
        <f t="shared" si="46"/>
        <v>0</v>
      </c>
      <c r="AB48" s="232">
        <f t="shared" si="46"/>
        <v>0</v>
      </c>
      <c r="AC48" s="232">
        <f t="shared" si="46"/>
        <v>0</v>
      </c>
      <c r="AD48" s="232">
        <f t="shared" si="46"/>
        <v>0</v>
      </c>
      <c r="AE48" s="232">
        <f t="shared" si="46"/>
        <v>0</v>
      </c>
      <c r="AF48" s="232">
        <f t="shared" si="46"/>
        <v>0</v>
      </c>
      <c r="AG48" s="232">
        <f t="shared" si="46"/>
        <v>0</v>
      </c>
      <c r="AH48" s="232">
        <f t="shared" si="46"/>
        <v>0</v>
      </c>
      <c r="AI48" s="234">
        <f>AVERAGE(W48:AH48)</f>
        <v>0</v>
      </c>
      <c r="AJ48" s="234">
        <f>+SUM(W48:AH48)</f>
        <v>0</v>
      </c>
      <c r="AK48" s="217"/>
      <c r="AL48" s="243">
        <f>G48*$AL$2</f>
        <v>0.43859999999999999</v>
      </c>
      <c r="AM48" s="217"/>
      <c r="AN48" s="243">
        <f>AI48*AL48*12</f>
        <v>0</v>
      </c>
      <c r="AO48" s="217"/>
      <c r="AP48" s="243">
        <f>G48+AL48</f>
        <v>22.368600000000001</v>
      </c>
      <c r="AQ48" s="217"/>
      <c r="AR48" s="243">
        <f>U48+AN48</f>
        <v>0</v>
      </c>
    </row>
    <row r="49" spans="1:44">
      <c r="A49" s="218" t="str">
        <f>$A$1&amp;"Commercial"&amp;B49</f>
        <v>JBLM HOUSINGCommercialSL095.0G1W001WRECC</v>
      </c>
      <c r="B49" s="230" t="s">
        <v>281</v>
      </c>
      <c r="C49" s="230" t="s">
        <v>282</v>
      </c>
      <c r="D49" s="230" t="s">
        <v>397</v>
      </c>
      <c r="E49" s="380">
        <v>33000</v>
      </c>
      <c r="F49" s="231">
        <v>28.88</v>
      </c>
      <c r="G49" s="231">
        <v>28.66</v>
      </c>
      <c r="H49" s="231">
        <v>0</v>
      </c>
      <c r="I49" s="231">
        <v>0</v>
      </c>
      <c r="J49" s="231">
        <v>0</v>
      </c>
      <c r="K49" s="231">
        <v>0</v>
      </c>
      <c r="L49" s="231">
        <v>0</v>
      </c>
      <c r="M49" s="231">
        <v>0</v>
      </c>
      <c r="N49" s="231">
        <v>0</v>
      </c>
      <c r="O49" s="231">
        <v>0</v>
      </c>
      <c r="P49" s="231">
        <v>0</v>
      </c>
      <c r="Q49" s="231">
        <v>0</v>
      </c>
      <c r="R49" s="231">
        <v>0</v>
      </c>
      <c r="S49" s="231">
        <v>0</v>
      </c>
      <c r="T49" s="232"/>
      <c r="U49" s="426">
        <f>SUM(H49:S49)</f>
        <v>0</v>
      </c>
      <c r="V49" s="232"/>
      <c r="W49" s="233">
        <f t="shared" si="45"/>
        <v>0</v>
      </c>
      <c r="X49" s="233">
        <f t="shared" si="45"/>
        <v>0</v>
      </c>
      <c r="Y49" s="233">
        <f t="shared" si="45"/>
        <v>0</v>
      </c>
      <c r="Z49" s="232">
        <f t="shared" si="46"/>
        <v>0</v>
      </c>
      <c r="AA49" s="232">
        <f t="shared" si="46"/>
        <v>0</v>
      </c>
      <c r="AB49" s="232">
        <f t="shared" si="46"/>
        <v>0</v>
      </c>
      <c r="AC49" s="232">
        <f t="shared" si="46"/>
        <v>0</v>
      </c>
      <c r="AD49" s="232">
        <f t="shared" si="46"/>
        <v>0</v>
      </c>
      <c r="AE49" s="232">
        <f t="shared" si="46"/>
        <v>0</v>
      </c>
      <c r="AF49" s="232">
        <f t="shared" si="46"/>
        <v>0</v>
      </c>
      <c r="AG49" s="232">
        <f t="shared" si="46"/>
        <v>0</v>
      </c>
      <c r="AH49" s="232">
        <f t="shared" si="46"/>
        <v>0</v>
      </c>
      <c r="AI49" s="234">
        <f>AVERAGE(W49:AH49)</f>
        <v>0</v>
      </c>
      <c r="AJ49" s="234">
        <f>+SUM(W49:AH49)</f>
        <v>0</v>
      </c>
      <c r="AK49" s="217"/>
      <c r="AL49" s="243">
        <f>G49*$AL$2</f>
        <v>0.57320000000000004</v>
      </c>
      <c r="AM49" s="217"/>
      <c r="AN49" s="243">
        <f>AI49*AL49*12</f>
        <v>0</v>
      </c>
      <c r="AO49" s="217"/>
      <c r="AP49" s="243">
        <f>G49+AL49</f>
        <v>29.2332</v>
      </c>
      <c r="AQ49" s="217"/>
      <c r="AR49" s="243">
        <f>U49+AN49</f>
        <v>0</v>
      </c>
    </row>
    <row r="50" spans="1:44" ht="14.25">
      <c r="B50" s="249"/>
      <c r="C50" s="230"/>
      <c r="D50" s="230"/>
      <c r="F50" s="231"/>
      <c r="G50" s="231"/>
      <c r="H50" s="231"/>
      <c r="I50" s="231"/>
      <c r="J50" s="231"/>
      <c r="K50" s="231"/>
      <c r="L50" s="231"/>
      <c r="M50" s="231"/>
      <c r="N50" s="231"/>
      <c r="O50" s="231"/>
      <c r="P50" s="231"/>
      <c r="Q50" s="231"/>
      <c r="R50" s="231"/>
      <c r="S50" s="231"/>
      <c r="T50" s="232"/>
      <c r="U50" s="426"/>
      <c r="V50" s="232"/>
      <c r="W50" s="233"/>
      <c r="X50" s="233"/>
      <c r="Y50" s="233"/>
      <c r="Z50" s="232"/>
      <c r="AA50" s="232"/>
      <c r="AB50" s="232"/>
      <c r="AC50" s="232"/>
      <c r="AD50" s="232"/>
      <c r="AE50" s="232"/>
      <c r="AF50" s="232"/>
      <c r="AG50" s="232"/>
      <c r="AH50" s="232"/>
      <c r="AK50" s="217"/>
      <c r="AL50" s="243"/>
      <c r="AM50" s="217"/>
      <c r="AN50" s="243"/>
      <c r="AO50" s="217"/>
      <c r="AP50" s="243"/>
      <c r="AQ50" s="217"/>
      <c r="AR50" s="243"/>
    </row>
    <row r="51" spans="1:44">
      <c r="B51" s="230"/>
      <c r="C51" s="235" t="s">
        <v>141</v>
      </c>
      <c r="D51" s="230"/>
      <c r="E51" s="250"/>
      <c r="F51" s="231"/>
      <c r="G51" s="231"/>
      <c r="H51" s="237">
        <f t="shared" ref="H51:P51" si="47">SUM(H48:H49)</f>
        <v>0</v>
      </c>
      <c r="I51" s="237">
        <f t="shared" si="47"/>
        <v>0</v>
      </c>
      <c r="J51" s="237">
        <f t="shared" si="47"/>
        <v>0</v>
      </c>
      <c r="K51" s="237">
        <f t="shared" si="47"/>
        <v>0</v>
      </c>
      <c r="L51" s="237">
        <f t="shared" si="47"/>
        <v>0</v>
      </c>
      <c r="M51" s="237">
        <f t="shared" si="47"/>
        <v>0</v>
      </c>
      <c r="N51" s="237">
        <f t="shared" si="47"/>
        <v>0</v>
      </c>
      <c r="O51" s="237">
        <f t="shared" si="47"/>
        <v>0</v>
      </c>
      <c r="P51" s="237">
        <f t="shared" si="47"/>
        <v>0</v>
      </c>
      <c r="Q51" s="237">
        <f>SUM(Q48:Q49)</f>
        <v>0</v>
      </c>
      <c r="R51" s="237">
        <f>SUM(R48:R49)</f>
        <v>0</v>
      </c>
      <c r="S51" s="237">
        <f>SUM(S48:S49)</f>
        <v>0</v>
      </c>
      <c r="T51" s="238"/>
      <c r="U51" s="237">
        <f>SUM(U48:U49)</f>
        <v>0</v>
      </c>
      <c r="V51" s="241"/>
      <c r="W51" s="233"/>
      <c r="X51" s="233"/>
      <c r="Y51" s="233"/>
      <c r="Z51" s="232"/>
      <c r="AA51" s="232"/>
      <c r="AB51" s="232"/>
      <c r="AC51" s="232"/>
      <c r="AD51" s="232"/>
      <c r="AE51" s="232"/>
      <c r="AF51" s="232"/>
      <c r="AG51" s="232"/>
      <c r="AH51" s="232"/>
      <c r="AL51" s="243"/>
      <c r="AN51" s="243"/>
      <c r="AP51" s="243"/>
      <c r="AR51" s="237">
        <f>SUM(AR48:AR49)</f>
        <v>0</v>
      </c>
    </row>
    <row r="52" spans="1:44">
      <c r="B52" s="230"/>
      <c r="C52" s="235"/>
      <c r="D52" s="230"/>
      <c r="E52" s="250"/>
      <c r="F52" s="231"/>
      <c r="G52" s="231"/>
      <c r="H52" s="236"/>
      <c r="I52" s="231"/>
      <c r="J52" s="231"/>
      <c r="K52" s="231"/>
      <c r="L52" s="231"/>
      <c r="M52" s="231"/>
      <c r="N52" s="231"/>
      <c r="O52" s="231"/>
      <c r="P52" s="231"/>
      <c r="Q52" s="231"/>
      <c r="R52" s="231"/>
      <c r="S52" s="231"/>
      <c r="T52" s="241"/>
      <c r="U52" s="436"/>
      <c r="V52" s="241"/>
      <c r="W52" s="233"/>
      <c r="X52" s="233"/>
      <c r="Y52" s="233"/>
      <c r="Z52" s="232"/>
      <c r="AA52" s="232"/>
      <c r="AB52" s="232"/>
      <c r="AC52" s="232"/>
      <c r="AD52" s="232"/>
      <c r="AE52" s="232"/>
      <c r="AF52" s="232"/>
      <c r="AG52" s="232"/>
      <c r="AH52" s="232"/>
      <c r="AL52" s="243"/>
      <c r="AN52" s="243"/>
      <c r="AP52" s="243"/>
      <c r="AR52" s="243"/>
    </row>
    <row r="53" spans="1:44">
      <c r="B53" s="230"/>
      <c r="C53" s="235"/>
      <c r="D53" s="230"/>
      <c r="E53" s="250"/>
      <c r="F53" s="231"/>
      <c r="G53" s="231"/>
      <c r="H53" s="236"/>
      <c r="I53" s="231"/>
      <c r="J53" s="231"/>
      <c r="K53" s="231"/>
      <c r="L53" s="231"/>
      <c r="M53" s="231"/>
      <c r="N53" s="231"/>
      <c r="O53" s="231"/>
      <c r="P53" s="231"/>
      <c r="Q53" s="231"/>
      <c r="R53" s="231"/>
      <c r="S53" s="231"/>
      <c r="T53" s="241"/>
      <c r="U53" s="436"/>
      <c r="V53" s="241"/>
      <c r="W53" s="233"/>
      <c r="X53" s="233"/>
      <c r="Y53" s="233"/>
      <c r="Z53" s="232"/>
      <c r="AA53" s="232"/>
      <c r="AB53" s="232"/>
      <c r="AC53" s="232"/>
      <c r="AD53" s="232"/>
      <c r="AE53" s="232"/>
      <c r="AF53" s="232"/>
      <c r="AG53" s="232"/>
      <c r="AH53" s="232"/>
      <c r="AL53" s="243"/>
      <c r="AN53" s="243"/>
      <c r="AP53" s="243"/>
      <c r="AR53" s="243"/>
    </row>
    <row r="54" spans="1:44">
      <c r="B54" s="230"/>
      <c r="C54" s="230"/>
      <c r="D54" s="230"/>
      <c r="E54" s="250"/>
      <c r="F54" s="231"/>
      <c r="G54" s="231"/>
      <c r="H54" s="236"/>
      <c r="I54" s="231"/>
      <c r="J54" s="231"/>
      <c r="K54" s="231"/>
      <c r="L54" s="231"/>
      <c r="M54" s="231"/>
      <c r="N54" s="231"/>
      <c r="O54" s="231"/>
      <c r="P54" s="231"/>
      <c r="Q54" s="231"/>
      <c r="R54" s="231"/>
      <c r="S54" s="231"/>
      <c r="T54" s="236"/>
      <c r="U54" s="435"/>
      <c r="V54" s="252"/>
      <c r="W54" s="233"/>
      <c r="X54" s="233"/>
      <c r="Y54" s="233"/>
      <c r="Z54" s="232"/>
      <c r="AA54" s="232"/>
      <c r="AB54" s="232"/>
      <c r="AC54" s="232"/>
      <c r="AD54" s="232"/>
      <c r="AE54" s="232"/>
      <c r="AF54" s="232"/>
      <c r="AG54" s="232"/>
      <c r="AH54" s="232"/>
      <c r="AL54" s="243"/>
      <c r="AN54" s="243"/>
      <c r="AP54" s="243"/>
      <c r="AR54" s="243"/>
    </row>
    <row r="55" spans="1:44">
      <c r="B55" s="239" t="s">
        <v>505</v>
      </c>
      <c r="C55" s="230"/>
      <c r="D55" s="230"/>
      <c r="E55" s="250"/>
      <c r="F55" s="231"/>
      <c r="G55" s="231"/>
      <c r="H55" s="236"/>
      <c r="I55" s="231"/>
      <c r="J55" s="231"/>
      <c r="K55" s="231"/>
      <c r="L55" s="231"/>
      <c r="M55" s="231"/>
      <c r="N55" s="231"/>
      <c r="O55" s="231"/>
      <c r="P55" s="231"/>
      <c r="Q55" s="231"/>
      <c r="R55" s="231"/>
      <c r="S55" s="231"/>
      <c r="T55" s="236"/>
      <c r="U55" s="435"/>
      <c r="V55" s="252"/>
      <c r="W55" s="233"/>
      <c r="X55" s="233"/>
      <c r="Y55" s="233"/>
      <c r="Z55" s="232"/>
      <c r="AA55" s="232"/>
      <c r="AB55" s="232"/>
      <c r="AC55" s="232"/>
      <c r="AD55" s="232"/>
      <c r="AE55" s="232"/>
      <c r="AF55" s="232"/>
      <c r="AG55" s="232"/>
      <c r="AH55" s="232"/>
      <c r="AL55" s="243"/>
      <c r="AN55" s="243"/>
      <c r="AP55" s="243"/>
      <c r="AR55" s="243"/>
    </row>
    <row r="56" spans="1:44" s="217" customFormat="1">
      <c r="A56" s="218"/>
      <c r="B56" s="230"/>
      <c r="C56" s="230"/>
      <c r="D56" s="230"/>
      <c r="E56" s="380"/>
      <c r="F56" s="231"/>
      <c r="G56" s="231"/>
      <c r="H56" s="231"/>
      <c r="I56" s="231"/>
      <c r="J56" s="231"/>
      <c r="K56" s="231"/>
      <c r="L56" s="231"/>
      <c r="M56" s="231"/>
      <c r="N56" s="231"/>
      <c r="O56" s="231"/>
      <c r="P56" s="231"/>
      <c r="Q56" s="231"/>
      <c r="R56" s="231"/>
      <c r="S56" s="231"/>
      <c r="T56" s="232"/>
      <c r="U56" s="426"/>
      <c r="V56" s="232"/>
      <c r="W56" s="233"/>
      <c r="X56" s="233"/>
      <c r="Y56" s="233"/>
      <c r="Z56" s="232"/>
      <c r="AA56" s="232"/>
      <c r="AB56" s="232"/>
      <c r="AC56" s="232"/>
      <c r="AD56" s="232"/>
      <c r="AE56" s="232"/>
      <c r="AF56" s="232"/>
      <c r="AG56" s="232"/>
      <c r="AH56" s="232"/>
      <c r="AI56" s="234"/>
      <c r="AJ56" s="234">
        <f>+SUM(W56:AH56)</f>
        <v>0</v>
      </c>
      <c r="AK56" s="218"/>
      <c r="AL56" s="243"/>
      <c r="AM56" s="218"/>
      <c r="AN56" s="243"/>
      <c r="AO56" s="218"/>
      <c r="AP56" s="243"/>
      <c r="AQ56" s="218"/>
      <c r="AR56" s="243"/>
    </row>
    <row r="57" spans="1:44" s="217" customFormat="1">
      <c r="B57" s="230"/>
      <c r="C57" s="230"/>
      <c r="D57" s="230"/>
      <c r="E57" s="380"/>
      <c r="F57" s="231"/>
      <c r="G57" s="231"/>
      <c r="H57" s="231"/>
      <c r="I57" s="231"/>
      <c r="J57" s="231"/>
      <c r="K57" s="231"/>
      <c r="L57" s="231"/>
      <c r="M57" s="231"/>
      <c r="N57" s="231"/>
      <c r="O57" s="231"/>
      <c r="P57" s="231"/>
      <c r="Q57" s="231"/>
      <c r="R57" s="231"/>
      <c r="S57" s="231"/>
      <c r="T57" s="233"/>
      <c r="U57" s="439"/>
      <c r="V57" s="264"/>
      <c r="W57" s="233"/>
      <c r="X57" s="233"/>
      <c r="Y57" s="233"/>
      <c r="Z57" s="232"/>
      <c r="AA57" s="232"/>
      <c r="AB57" s="232"/>
      <c r="AC57" s="232"/>
      <c r="AD57" s="232"/>
      <c r="AE57" s="232"/>
      <c r="AF57" s="232"/>
      <c r="AG57" s="232"/>
      <c r="AH57" s="232"/>
      <c r="AK57" s="218"/>
      <c r="AL57" s="243"/>
      <c r="AM57" s="218"/>
      <c r="AN57" s="243"/>
      <c r="AO57" s="218"/>
      <c r="AP57" s="243"/>
      <c r="AQ57" s="218"/>
      <c r="AR57" s="243"/>
    </row>
    <row r="58" spans="1:44">
      <c r="B58" s="230"/>
      <c r="C58" s="235" t="s">
        <v>506</v>
      </c>
      <c r="D58" s="230"/>
      <c r="F58" s="231"/>
      <c r="G58" s="231"/>
      <c r="H58" s="237">
        <f>SUM(H56:H56)</f>
        <v>0</v>
      </c>
      <c r="I58" s="237">
        <f>SUM(I56:I56)</f>
        <v>0</v>
      </c>
      <c r="J58" s="237">
        <f t="shared" ref="J58:S58" si="48">SUM(J56:J56)</f>
        <v>0</v>
      </c>
      <c r="K58" s="237">
        <f t="shared" si="48"/>
        <v>0</v>
      </c>
      <c r="L58" s="237">
        <f t="shared" si="48"/>
        <v>0</v>
      </c>
      <c r="M58" s="237">
        <f t="shared" si="48"/>
        <v>0</v>
      </c>
      <c r="N58" s="237">
        <f t="shared" si="48"/>
        <v>0</v>
      </c>
      <c r="O58" s="237">
        <f t="shared" si="48"/>
        <v>0</v>
      </c>
      <c r="P58" s="237">
        <f t="shared" si="48"/>
        <v>0</v>
      </c>
      <c r="Q58" s="237">
        <f t="shared" si="48"/>
        <v>0</v>
      </c>
      <c r="R58" s="237">
        <f t="shared" si="48"/>
        <v>0</v>
      </c>
      <c r="S58" s="237">
        <f t="shared" si="48"/>
        <v>0</v>
      </c>
      <c r="T58" s="238"/>
      <c r="U58" s="237">
        <f>SUM(U56:U56)</f>
        <v>0</v>
      </c>
      <c r="V58" s="241"/>
      <c r="W58" s="233"/>
      <c r="X58" s="233"/>
      <c r="Y58" s="233"/>
      <c r="Z58" s="232"/>
      <c r="AA58" s="232"/>
      <c r="AB58" s="232"/>
      <c r="AC58" s="232"/>
      <c r="AD58" s="232"/>
      <c r="AE58" s="232"/>
      <c r="AF58" s="232"/>
      <c r="AG58" s="232"/>
      <c r="AH58" s="232"/>
      <c r="AL58" s="243"/>
      <c r="AN58" s="243"/>
      <c r="AP58" s="243"/>
      <c r="AR58" s="243"/>
    </row>
    <row r="59" spans="1:44">
      <c r="F59" s="231"/>
      <c r="G59" s="231"/>
      <c r="I59" s="231"/>
      <c r="J59" s="231"/>
      <c r="K59" s="231"/>
      <c r="L59" s="231"/>
      <c r="M59" s="231"/>
      <c r="N59" s="231"/>
      <c r="O59" s="231"/>
      <c r="P59" s="231"/>
      <c r="Q59" s="231"/>
      <c r="R59" s="231"/>
      <c r="S59" s="231"/>
      <c r="T59" s="251"/>
      <c r="U59" s="440"/>
      <c r="V59" s="251"/>
      <c r="W59" s="233"/>
      <c r="X59" s="233"/>
      <c r="Y59" s="233"/>
      <c r="Z59" s="232"/>
      <c r="AA59" s="232"/>
      <c r="AB59" s="232"/>
      <c r="AC59" s="232"/>
      <c r="AD59" s="232"/>
      <c r="AE59" s="232"/>
      <c r="AF59" s="232"/>
      <c r="AG59" s="232"/>
      <c r="AH59" s="232"/>
      <c r="AL59" s="243"/>
      <c r="AN59" s="243"/>
      <c r="AP59" s="243"/>
      <c r="AR59" s="243"/>
    </row>
    <row r="60" spans="1:44">
      <c r="F60" s="231"/>
      <c r="G60" s="231"/>
      <c r="I60" s="231"/>
      <c r="J60" s="231"/>
      <c r="K60" s="231"/>
      <c r="L60" s="231"/>
      <c r="M60" s="231"/>
      <c r="N60" s="231"/>
      <c r="O60" s="231"/>
      <c r="P60" s="231"/>
      <c r="Q60" s="231"/>
      <c r="R60" s="231"/>
      <c r="S60" s="231"/>
      <c r="W60" s="233"/>
      <c r="X60" s="233"/>
      <c r="Y60" s="233"/>
      <c r="Z60" s="232"/>
      <c r="AA60" s="232"/>
      <c r="AB60" s="232"/>
      <c r="AC60" s="232"/>
      <c r="AD60" s="232"/>
      <c r="AE60" s="232"/>
      <c r="AF60" s="232"/>
      <c r="AG60" s="232"/>
      <c r="AH60" s="232"/>
      <c r="AL60" s="243"/>
      <c r="AN60" s="243"/>
      <c r="AP60" s="243"/>
      <c r="AR60" s="243"/>
    </row>
    <row r="61" spans="1:44" s="242" customFormat="1">
      <c r="B61" s="216" t="s">
        <v>507</v>
      </c>
      <c r="C61" s="216"/>
      <c r="D61" s="216"/>
      <c r="E61" s="223"/>
      <c r="F61" s="231"/>
      <c r="G61" s="231"/>
      <c r="H61" s="244">
        <f>+H58+H51</f>
        <v>0</v>
      </c>
      <c r="I61" s="244">
        <f>+I58+I51</f>
        <v>0</v>
      </c>
      <c r="J61" s="244">
        <f t="shared" ref="J61:U61" si="49">+J58+J51</f>
        <v>0</v>
      </c>
      <c r="K61" s="244">
        <f t="shared" si="49"/>
        <v>0</v>
      </c>
      <c r="L61" s="244">
        <f t="shared" si="49"/>
        <v>0</v>
      </c>
      <c r="M61" s="244">
        <f t="shared" si="49"/>
        <v>0</v>
      </c>
      <c r="N61" s="244">
        <f t="shared" si="49"/>
        <v>0</v>
      </c>
      <c r="O61" s="244">
        <f t="shared" si="49"/>
        <v>0</v>
      </c>
      <c r="P61" s="244">
        <f t="shared" si="49"/>
        <v>0</v>
      </c>
      <c r="Q61" s="244">
        <f t="shared" si="49"/>
        <v>0</v>
      </c>
      <c r="R61" s="244">
        <f t="shared" si="49"/>
        <v>0</v>
      </c>
      <c r="S61" s="244">
        <f t="shared" si="49"/>
        <v>0</v>
      </c>
      <c r="T61" s="218"/>
      <c r="U61" s="237">
        <f t="shared" si="49"/>
        <v>0</v>
      </c>
      <c r="V61" s="218"/>
      <c r="W61" s="233"/>
      <c r="X61" s="233"/>
      <c r="Y61" s="233"/>
      <c r="Z61" s="232"/>
      <c r="AA61" s="232"/>
      <c r="AB61" s="232"/>
      <c r="AC61" s="232"/>
      <c r="AD61" s="232"/>
      <c r="AE61" s="232"/>
      <c r="AF61" s="232"/>
      <c r="AG61" s="232"/>
      <c r="AH61" s="232"/>
      <c r="AK61" s="218"/>
      <c r="AL61" s="243"/>
      <c r="AM61" s="218"/>
      <c r="AN61" s="243"/>
      <c r="AO61" s="218"/>
      <c r="AP61" s="243"/>
      <c r="AQ61" s="218"/>
      <c r="AR61" s="237">
        <f>+AR58+AR51</f>
        <v>0</v>
      </c>
    </row>
    <row r="62" spans="1:44" s="242" customFormat="1">
      <c r="B62" s="216"/>
      <c r="C62" s="216"/>
      <c r="D62" s="216"/>
      <c r="E62" s="223"/>
      <c r="F62" s="231"/>
      <c r="G62" s="231"/>
      <c r="H62" s="245"/>
      <c r="I62" s="231"/>
      <c r="J62" s="231"/>
      <c r="K62" s="231"/>
      <c r="L62" s="231"/>
      <c r="M62" s="231"/>
      <c r="N62" s="231"/>
      <c r="O62" s="231"/>
      <c r="P62" s="231"/>
      <c r="Q62" s="231"/>
      <c r="R62" s="231"/>
      <c r="S62" s="231"/>
      <c r="T62" s="218"/>
      <c r="U62" s="385"/>
      <c r="V62" s="218"/>
      <c r="W62" s="233"/>
      <c r="X62" s="233"/>
      <c r="Y62" s="233"/>
      <c r="Z62" s="232"/>
      <c r="AA62" s="232"/>
      <c r="AB62" s="232"/>
      <c r="AC62" s="232"/>
      <c r="AD62" s="232"/>
      <c r="AE62" s="232"/>
      <c r="AF62" s="232"/>
      <c r="AG62" s="232"/>
      <c r="AH62" s="232"/>
      <c r="AK62" s="218"/>
      <c r="AL62" s="243"/>
      <c r="AM62" s="218"/>
      <c r="AN62" s="243"/>
      <c r="AO62" s="218"/>
      <c r="AP62" s="243"/>
      <c r="AQ62" s="218"/>
      <c r="AR62" s="243"/>
    </row>
    <row r="63" spans="1:44" s="242" customFormat="1">
      <c r="B63" s="216"/>
      <c r="C63" s="216"/>
      <c r="D63" s="216"/>
      <c r="E63" s="223"/>
      <c r="F63" s="231"/>
      <c r="G63" s="231"/>
      <c r="H63" s="245"/>
      <c r="I63" s="231"/>
      <c r="J63" s="231"/>
      <c r="K63" s="231"/>
      <c r="L63" s="231"/>
      <c r="M63" s="231"/>
      <c r="N63" s="231"/>
      <c r="O63" s="231"/>
      <c r="P63" s="231"/>
      <c r="Q63" s="231"/>
      <c r="R63" s="231"/>
      <c r="S63" s="231"/>
      <c r="T63" s="218"/>
      <c r="U63" s="385"/>
      <c r="V63" s="218"/>
      <c r="W63" s="233"/>
      <c r="X63" s="233"/>
      <c r="Y63" s="233"/>
      <c r="Z63" s="232"/>
      <c r="AA63" s="232"/>
      <c r="AB63" s="232"/>
      <c r="AC63" s="232"/>
      <c r="AD63" s="232"/>
      <c r="AE63" s="232"/>
      <c r="AF63" s="232"/>
      <c r="AG63" s="232"/>
      <c r="AH63" s="232"/>
      <c r="AK63" s="218"/>
      <c r="AL63" s="218"/>
      <c r="AM63" s="218"/>
      <c r="AN63" s="218"/>
      <c r="AO63" s="218"/>
      <c r="AP63" s="218"/>
      <c r="AQ63" s="218"/>
      <c r="AR63" s="218"/>
    </row>
    <row r="64" spans="1:44">
      <c r="F64" s="231"/>
      <c r="G64" s="231"/>
      <c r="I64" s="231"/>
      <c r="J64" s="231"/>
      <c r="K64" s="231"/>
      <c r="L64" s="231"/>
      <c r="M64" s="231"/>
      <c r="N64" s="231"/>
      <c r="O64" s="231"/>
      <c r="P64" s="231"/>
      <c r="Q64" s="231"/>
      <c r="R64" s="231"/>
      <c r="S64" s="231"/>
      <c r="W64" s="233"/>
      <c r="X64" s="233"/>
      <c r="Y64" s="233"/>
      <c r="Z64" s="232"/>
      <c r="AA64" s="232"/>
      <c r="AB64" s="232"/>
      <c r="AC64" s="232"/>
      <c r="AD64" s="232"/>
      <c r="AE64" s="232"/>
      <c r="AF64" s="232"/>
      <c r="AG64" s="232"/>
      <c r="AH64" s="232"/>
    </row>
    <row r="65" spans="1:44">
      <c r="B65" s="226" t="s">
        <v>144</v>
      </c>
      <c r="C65" s="226"/>
      <c r="D65" s="226"/>
      <c r="F65" s="231"/>
      <c r="G65" s="231"/>
      <c r="H65" s="227"/>
      <c r="I65" s="231"/>
      <c r="J65" s="231"/>
      <c r="K65" s="231"/>
      <c r="L65" s="231"/>
      <c r="M65" s="231"/>
      <c r="N65" s="231"/>
      <c r="O65" s="231"/>
      <c r="P65" s="231"/>
      <c r="Q65" s="231"/>
      <c r="R65" s="231"/>
      <c r="S65" s="231"/>
      <c r="T65" s="248"/>
      <c r="U65" s="440"/>
      <c r="V65" s="219"/>
      <c r="W65" s="233"/>
      <c r="X65" s="233"/>
      <c r="Y65" s="233"/>
      <c r="Z65" s="232"/>
      <c r="AA65" s="232"/>
      <c r="AB65" s="232"/>
      <c r="AC65" s="232"/>
      <c r="AD65" s="232"/>
      <c r="AE65" s="232"/>
      <c r="AF65" s="232"/>
      <c r="AG65" s="232"/>
      <c r="AH65" s="232"/>
    </row>
    <row r="66" spans="1:44">
      <c r="B66" s="226"/>
      <c r="C66" s="226"/>
      <c r="D66" s="226"/>
      <c r="F66" s="231"/>
      <c r="G66" s="231"/>
      <c r="H66" s="227"/>
      <c r="I66" s="231"/>
      <c r="J66" s="231"/>
      <c r="K66" s="231"/>
      <c r="L66" s="231"/>
      <c r="M66" s="231"/>
      <c r="N66" s="231"/>
      <c r="O66" s="231"/>
      <c r="P66" s="231"/>
      <c r="Q66" s="231"/>
      <c r="R66" s="231"/>
      <c r="S66" s="231"/>
      <c r="T66" s="248"/>
      <c r="W66" s="233"/>
      <c r="X66" s="233"/>
      <c r="Y66" s="233"/>
      <c r="Z66" s="232"/>
      <c r="AA66" s="232"/>
      <c r="AB66" s="232"/>
      <c r="AC66" s="232"/>
      <c r="AD66" s="232"/>
      <c r="AE66" s="232"/>
      <c r="AF66" s="232"/>
      <c r="AG66" s="232"/>
      <c r="AH66" s="232"/>
    </row>
    <row r="67" spans="1:44">
      <c r="B67" s="239" t="s">
        <v>145</v>
      </c>
      <c r="C67" s="230"/>
      <c r="D67" s="230"/>
      <c r="F67" s="231"/>
      <c r="G67" s="231"/>
      <c r="H67" s="252"/>
      <c r="I67" s="231"/>
      <c r="J67" s="231"/>
      <c r="K67" s="231"/>
      <c r="L67" s="231"/>
      <c r="M67" s="231"/>
      <c r="N67" s="231"/>
      <c r="O67" s="231"/>
      <c r="P67" s="231"/>
      <c r="Q67" s="231"/>
      <c r="R67" s="231"/>
      <c r="S67" s="231"/>
      <c r="T67" s="252"/>
      <c r="U67" s="435"/>
      <c r="V67" s="252"/>
      <c r="W67" s="233"/>
      <c r="X67" s="233"/>
      <c r="Y67" s="233"/>
      <c r="Z67" s="232"/>
      <c r="AA67" s="232"/>
      <c r="AB67" s="232"/>
      <c r="AC67" s="232"/>
      <c r="AD67" s="232"/>
      <c r="AE67" s="232"/>
      <c r="AF67" s="232"/>
      <c r="AG67" s="232"/>
      <c r="AH67" s="232"/>
    </row>
    <row r="68" spans="1:44">
      <c r="A68" s="218" t="str">
        <f>$A$1&amp;"Rolloff"&amp;B68</f>
        <v>JBLM HOUSINGRolloffHAUL20-RO</v>
      </c>
      <c r="B68" s="230" t="s">
        <v>509</v>
      </c>
      <c r="C68" s="230" t="s">
        <v>510</v>
      </c>
      <c r="D68" s="230" t="s">
        <v>508</v>
      </c>
      <c r="E68" s="380">
        <v>31000</v>
      </c>
      <c r="F68" s="231">
        <v>152</v>
      </c>
      <c r="G68" s="231">
        <v>150.97999999999999</v>
      </c>
      <c r="H68" s="231">
        <v>152</v>
      </c>
      <c r="I68" s="231">
        <v>0</v>
      </c>
      <c r="J68" s="231">
        <v>152</v>
      </c>
      <c r="K68" s="231">
        <v>152</v>
      </c>
      <c r="L68" s="231">
        <v>304</v>
      </c>
      <c r="M68" s="231">
        <v>1053.92</v>
      </c>
      <c r="N68" s="231">
        <v>2860.64</v>
      </c>
      <c r="O68" s="231">
        <v>1355.04</v>
      </c>
      <c r="P68" s="231">
        <v>1207</v>
      </c>
      <c r="Q68" s="231">
        <v>1207.8399999999999</v>
      </c>
      <c r="R68" s="231">
        <v>1358.82</v>
      </c>
      <c r="S68" s="231">
        <v>1811.76</v>
      </c>
      <c r="T68" s="232"/>
      <c r="U68" s="426">
        <f t="shared" ref="U68:U76" si="50">SUM(H68:S68)</f>
        <v>11615.019999999999</v>
      </c>
      <c r="V68" s="232"/>
      <c r="W68" s="233">
        <f t="shared" ref="W68:W76" si="51">IFERROR(H68/$F68,0)</f>
        <v>1</v>
      </c>
      <c r="X68" s="233">
        <f t="shared" ref="X68:X76" si="52">IFERROR(I68/$F68,0)</f>
        <v>0</v>
      </c>
      <c r="Y68" s="233">
        <f t="shared" ref="Y68:Y76" si="53">IFERROR(J68/$F68,0)</f>
        <v>1</v>
      </c>
      <c r="Z68" s="232">
        <f t="shared" ref="Z68:Z76" si="54">IFERROR(K68/$G68,0)</f>
        <v>1.006755861703537</v>
      </c>
      <c r="AA68" s="232">
        <f t="shared" ref="AA68:AA76" si="55">IFERROR(L68/$G68,0)</f>
        <v>2.0135117234070741</v>
      </c>
      <c r="AB68" s="232">
        <f t="shared" ref="AB68:AB76" si="56">IFERROR(M68/$G68,0)</f>
        <v>6.9805272221486296</v>
      </c>
      <c r="AC68" s="232">
        <f t="shared" ref="AC68:AC76" si="57">IFERROR(N68/$G68,0)</f>
        <v>18.947145317260564</v>
      </c>
      <c r="AD68" s="232">
        <f t="shared" ref="AD68:AD76" si="58">IFERROR(O68/$G68,0)</f>
        <v>8.9749635713339515</v>
      </c>
      <c r="AE68" s="232">
        <f t="shared" ref="AE68:AE76" si="59">IFERROR(P68/$G68,0)</f>
        <v>7.9944363491853228</v>
      </c>
      <c r="AF68" s="232">
        <f t="shared" ref="AF68:AF76" si="60">IFERROR(Q68/$G68,0)</f>
        <v>8</v>
      </c>
      <c r="AG68" s="232">
        <f t="shared" ref="AG68:AG76" si="61">IFERROR(R68/$G68,0)</f>
        <v>9</v>
      </c>
      <c r="AH68" s="232">
        <f t="shared" ref="AH68:AH76" si="62">IFERROR(S68/$G68,0)</f>
        <v>12</v>
      </c>
      <c r="AI68" s="234">
        <f t="shared" ref="AI68:AI76" si="63">AVERAGE(W68:AH68)</f>
        <v>6.4097783370865899</v>
      </c>
      <c r="AJ68" s="234">
        <f t="shared" ref="AJ68:AJ76" si="64">+SUM(W68:AH68)</f>
        <v>76.917340045039083</v>
      </c>
      <c r="AL68" s="243">
        <f t="shared" ref="AL68:AL76" si="65">G68*$AL$2</f>
        <v>3.0196000000000001</v>
      </c>
      <c r="AN68" s="243">
        <f>AI68*AL68*12</f>
        <v>232.25959999999998</v>
      </c>
      <c r="AP68" s="243">
        <f t="shared" ref="AP68:AP76" si="66">G68+AL68</f>
        <v>153.99959999999999</v>
      </c>
      <c r="AR68" s="243">
        <f t="shared" ref="AR68:AR76" si="67">U68+AN68</f>
        <v>11847.279599999998</v>
      </c>
    </row>
    <row r="69" spans="1:44">
      <c r="A69" s="218" t="str">
        <f>$A$1&amp;"Rolloff"&amp;B69</f>
        <v>JBLM HOUSINGRolloffHAUL30-RO</v>
      </c>
      <c r="B69" s="230" t="s">
        <v>511</v>
      </c>
      <c r="C69" s="230" t="s">
        <v>512</v>
      </c>
      <c r="D69" s="230" t="s">
        <v>508</v>
      </c>
      <c r="E69" s="380">
        <v>31000</v>
      </c>
      <c r="F69" s="231">
        <v>159</v>
      </c>
      <c r="G69" s="231">
        <v>157.94</v>
      </c>
      <c r="H69" s="231">
        <v>159</v>
      </c>
      <c r="I69" s="231">
        <v>318</v>
      </c>
      <c r="J69" s="231">
        <v>318</v>
      </c>
      <c r="K69" s="231">
        <v>318</v>
      </c>
      <c r="L69" s="231">
        <v>477</v>
      </c>
      <c r="M69" s="231">
        <v>472.5</v>
      </c>
      <c r="N69" s="231">
        <v>472.5</v>
      </c>
      <c r="O69" s="231">
        <v>630</v>
      </c>
      <c r="P69" s="231">
        <v>473.82</v>
      </c>
      <c r="Q69" s="231">
        <v>315.88</v>
      </c>
      <c r="R69" s="231">
        <v>631.76</v>
      </c>
      <c r="S69" s="231">
        <v>473.82</v>
      </c>
      <c r="T69" s="232"/>
      <c r="U69" s="426">
        <f t="shared" si="50"/>
        <v>5060.28</v>
      </c>
      <c r="V69" s="232"/>
      <c r="W69" s="233">
        <f t="shared" si="51"/>
        <v>1</v>
      </c>
      <c r="X69" s="233">
        <f t="shared" si="52"/>
        <v>2</v>
      </c>
      <c r="Y69" s="233">
        <f t="shared" si="53"/>
        <v>2</v>
      </c>
      <c r="Z69" s="232">
        <f t="shared" si="54"/>
        <v>2.0134228187919465</v>
      </c>
      <c r="AA69" s="232">
        <f t="shared" si="55"/>
        <v>3.0201342281879193</v>
      </c>
      <c r="AB69" s="232">
        <f t="shared" si="56"/>
        <v>2.9916423958465241</v>
      </c>
      <c r="AC69" s="232">
        <f t="shared" si="57"/>
        <v>2.9916423958465241</v>
      </c>
      <c r="AD69" s="232">
        <f t="shared" si="58"/>
        <v>3.9888565277953654</v>
      </c>
      <c r="AE69" s="232">
        <f t="shared" si="59"/>
        <v>3</v>
      </c>
      <c r="AF69" s="232">
        <f t="shared" si="60"/>
        <v>2</v>
      </c>
      <c r="AG69" s="232">
        <f t="shared" si="61"/>
        <v>4</v>
      </c>
      <c r="AH69" s="232">
        <f t="shared" si="62"/>
        <v>3</v>
      </c>
      <c r="AI69" s="234">
        <f t="shared" si="63"/>
        <v>2.6671415305390234</v>
      </c>
      <c r="AJ69" s="234">
        <f t="shared" si="64"/>
        <v>32.00569836646828</v>
      </c>
      <c r="AL69" s="243">
        <f t="shared" si="65"/>
        <v>3.1587999999999998</v>
      </c>
      <c r="AN69" s="243">
        <f t="shared" ref="AN69:AN76" si="68">AI69*AL69*12</f>
        <v>101.0996</v>
      </c>
      <c r="AP69" s="243">
        <f t="shared" si="66"/>
        <v>161.09880000000001</v>
      </c>
      <c r="AR69" s="243">
        <f t="shared" si="67"/>
        <v>5161.3795999999993</v>
      </c>
    </row>
    <row r="70" spans="1:44">
      <c r="A70" s="218" t="str">
        <f>$A$1&amp;"Rolloff"&amp;B70</f>
        <v>JBLM HOUSINGRolloffHAUL40-RO</v>
      </c>
      <c r="B70" s="230" t="s">
        <v>513</v>
      </c>
      <c r="C70" s="230" t="s">
        <v>514</v>
      </c>
      <c r="D70" s="230" t="s">
        <v>508</v>
      </c>
      <c r="E70" s="380">
        <v>31000</v>
      </c>
      <c r="F70" s="231">
        <v>165</v>
      </c>
      <c r="G70" s="231">
        <v>163.89</v>
      </c>
      <c r="H70" s="231">
        <v>3630</v>
      </c>
      <c r="I70" s="231">
        <v>3795</v>
      </c>
      <c r="J70" s="231">
        <v>3135</v>
      </c>
      <c r="K70" s="231">
        <v>3960</v>
      </c>
      <c r="L70" s="231">
        <v>5115</v>
      </c>
      <c r="M70" s="231">
        <v>4742.88</v>
      </c>
      <c r="N70" s="231">
        <v>4412.88</v>
      </c>
      <c r="O70" s="231">
        <v>5230.08</v>
      </c>
      <c r="P70" s="231">
        <v>4751.91</v>
      </c>
      <c r="Q70" s="231">
        <v>4425.03</v>
      </c>
      <c r="R70" s="231">
        <v>3277.8</v>
      </c>
      <c r="S70" s="231">
        <v>2950.02</v>
      </c>
      <c r="T70" s="232"/>
      <c r="U70" s="426">
        <f t="shared" si="50"/>
        <v>49425.599999999999</v>
      </c>
      <c r="V70" s="232"/>
      <c r="W70" s="233">
        <f t="shared" si="51"/>
        <v>22</v>
      </c>
      <c r="X70" s="233">
        <f t="shared" si="52"/>
        <v>23</v>
      </c>
      <c r="Y70" s="233">
        <f t="shared" si="53"/>
        <v>19</v>
      </c>
      <c r="Z70" s="232">
        <f t="shared" si="54"/>
        <v>24.162548050521693</v>
      </c>
      <c r="AA70" s="232">
        <f t="shared" si="55"/>
        <v>31.20995789859052</v>
      </c>
      <c r="AB70" s="232">
        <f t="shared" si="56"/>
        <v>28.939410580267257</v>
      </c>
      <c r="AC70" s="232">
        <f t="shared" si="57"/>
        <v>26.925864909390448</v>
      </c>
      <c r="AD70" s="232">
        <f t="shared" si="58"/>
        <v>31.912136188907198</v>
      </c>
      <c r="AE70" s="232">
        <f t="shared" si="59"/>
        <v>28.9945085118067</v>
      </c>
      <c r="AF70" s="232">
        <f t="shared" si="60"/>
        <v>27</v>
      </c>
      <c r="AG70" s="232">
        <f t="shared" si="61"/>
        <v>20.000000000000004</v>
      </c>
      <c r="AH70" s="232">
        <f t="shared" si="62"/>
        <v>18</v>
      </c>
      <c r="AI70" s="234">
        <f t="shared" si="63"/>
        <v>25.095368844956983</v>
      </c>
      <c r="AJ70" s="234">
        <f t="shared" si="64"/>
        <v>301.14442613948381</v>
      </c>
      <c r="AL70" s="243">
        <f t="shared" si="65"/>
        <v>3.2777999999999996</v>
      </c>
      <c r="AN70" s="243">
        <f t="shared" si="68"/>
        <v>987.09119999999996</v>
      </c>
      <c r="AP70" s="243">
        <f t="shared" si="66"/>
        <v>167.1678</v>
      </c>
      <c r="AR70" s="243">
        <f t="shared" si="67"/>
        <v>50412.691200000001</v>
      </c>
    </row>
    <row r="71" spans="1:44">
      <c r="A71" s="218" t="str">
        <f>$A$1&amp;"Rolloff"&amp;B71</f>
        <v>JBLM HOUSINGRolloffRENT20MO-RO</v>
      </c>
      <c r="B71" s="230" t="s">
        <v>552</v>
      </c>
      <c r="C71" s="230" t="s">
        <v>553</v>
      </c>
      <c r="D71" s="230" t="s">
        <v>551</v>
      </c>
      <c r="E71" s="380">
        <v>31002</v>
      </c>
      <c r="F71" s="231">
        <v>59.5</v>
      </c>
      <c r="G71" s="231">
        <v>58.94</v>
      </c>
      <c r="H71" s="231">
        <v>59.5</v>
      </c>
      <c r="I71" s="231">
        <v>59.5</v>
      </c>
      <c r="J71" s="231">
        <v>59.5</v>
      </c>
      <c r="K71" s="231">
        <v>59.5</v>
      </c>
      <c r="L71" s="231">
        <v>93.22</v>
      </c>
      <c r="M71" s="231">
        <v>171.12</v>
      </c>
      <c r="N71" s="231">
        <v>282.92</v>
      </c>
      <c r="O71" s="231">
        <v>328.92</v>
      </c>
      <c r="P71" s="231">
        <v>353.64</v>
      </c>
      <c r="Q71" s="231">
        <v>353.64</v>
      </c>
      <c r="R71" s="231">
        <v>353.64</v>
      </c>
      <c r="S71" s="231">
        <v>353.64</v>
      </c>
      <c r="T71" s="232"/>
      <c r="U71" s="426">
        <f t="shared" si="50"/>
        <v>2528.7399999999998</v>
      </c>
      <c r="V71" s="232"/>
      <c r="W71" s="233">
        <f t="shared" si="51"/>
        <v>1</v>
      </c>
      <c r="X71" s="233">
        <f t="shared" si="52"/>
        <v>1</v>
      </c>
      <c r="Y71" s="233">
        <f t="shared" si="53"/>
        <v>1</v>
      </c>
      <c r="Z71" s="232">
        <f t="shared" si="54"/>
        <v>1.0095011876484561</v>
      </c>
      <c r="AA71" s="232">
        <f t="shared" si="55"/>
        <v>1.5816084153376315</v>
      </c>
      <c r="AB71" s="232">
        <f t="shared" si="56"/>
        <v>2.9032914828639296</v>
      </c>
      <c r="AC71" s="232">
        <f t="shared" si="57"/>
        <v>4.8001357312521211</v>
      </c>
      <c r="AD71" s="232">
        <f t="shared" si="58"/>
        <v>5.5805904309467262</v>
      </c>
      <c r="AE71" s="232">
        <f t="shared" si="59"/>
        <v>6</v>
      </c>
      <c r="AF71" s="232">
        <f t="shared" si="60"/>
        <v>6</v>
      </c>
      <c r="AG71" s="232">
        <f t="shared" si="61"/>
        <v>6</v>
      </c>
      <c r="AH71" s="232">
        <f t="shared" si="62"/>
        <v>6</v>
      </c>
      <c r="AI71" s="234">
        <f t="shared" si="63"/>
        <v>3.5729272706707387</v>
      </c>
      <c r="AJ71" s="234">
        <f t="shared" si="64"/>
        <v>42.875127248048862</v>
      </c>
      <c r="AL71" s="243">
        <f t="shared" si="65"/>
        <v>1.1788000000000001</v>
      </c>
      <c r="AN71" s="243">
        <f t="shared" si="68"/>
        <v>50.541200000000003</v>
      </c>
      <c r="AP71" s="243">
        <f t="shared" si="66"/>
        <v>60.1188</v>
      </c>
      <c r="AR71" s="243">
        <f t="shared" si="67"/>
        <v>2579.2811999999999</v>
      </c>
    </row>
    <row r="72" spans="1:44">
      <c r="A72" s="218" t="str">
        <f>$A$1&amp;"Rolloff"&amp;B72</f>
        <v>JBLM HOUSINGRolloffRENT30MO-RO</v>
      </c>
      <c r="B72" s="230" t="s">
        <v>554</v>
      </c>
      <c r="C72" s="230" t="s">
        <v>555</v>
      </c>
      <c r="D72" s="230" t="s">
        <v>551</v>
      </c>
      <c r="E72" s="380">
        <v>31002</v>
      </c>
      <c r="F72" s="231">
        <v>59.5</v>
      </c>
      <c r="G72" s="231">
        <v>58.94</v>
      </c>
      <c r="H72" s="231">
        <v>59.5</v>
      </c>
      <c r="I72" s="231">
        <v>59.5</v>
      </c>
      <c r="J72" s="231">
        <v>59.5</v>
      </c>
      <c r="K72" s="231">
        <v>59.5</v>
      </c>
      <c r="L72" s="231">
        <v>59.5</v>
      </c>
      <c r="M72" s="231">
        <v>58.94</v>
      </c>
      <c r="N72" s="231">
        <v>58.94</v>
      </c>
      <c r="O72" s="231">
        <v>58.94</v>
      </c>
      <c r="P72" s="231">
        <v>58.94</v>
      </c>
      <c r="Q72" s="231">
        <v>58.94</v>
      </c>
      <c r="R72" s="231">
        <v>58.94</v>
      </c>
      <c r="S72" s="231">
        <v>58.94</v>
      </c>
      <c r="T72" s="232"/>
      <c r="U72" s="426">
        <f t="shared" si="50"/>
        <v>710.08000000000015</v>
      </c>
      <c r="V72" s="232"/>
      <c r="W72" s="233">
        <f t="shared" si="51"/>
        <v>1</v>
      </c>
      <c r="X72" s="233">
        <f t="shared" si="52"/>
        <v>1</v>
      </c>
      <c r="Y72" s="233">
        <f t="shared" si="53"/>
        <v>1</v>
      </c>
      <c r="Z72" s="232">
        <f t="shared" si="54"/>
        <v>1.0095011876484561</v>
      </c>
      <c r="AA72" s="232">
        <f t="shared" si="55"/>
        <v>1.0095011876484561</v>
      </c>
      <c r="AB72" s="232">
        <f t="shared" si="56"/>
        <v>1</v>
      </c>
      <c r="AC72" s="232">
        <f t="shared" si="57"/>
        <v>1</v>
      </c>
      <c r="AD72" s="232">
        <f t="shared" si="58"/>
        <v>1</v>
      </c>
      <c r="AE72" s="232">
        <f t="shared" si="59"/>
        <v>1</v>
      </c>
      <c r="AF72" s="232">
        <f t="shared" si="60"/>
        <v>1</v>
      </c>
      <c r="AG72" s="232">
        <f t="shared" si="61"/>
        <v>1</v>
      </c>
      <c r="AH72" s="232">
        <f t="shared" si="62"/>
        <v>1</v>
      </c>
      <c r="AI72" s="234">
        <f t="shared" si="63"/>
        <v>1.0015835312747428</v>
      </c>
      <c r="AJ72" s="234">
        <f t="shared" si="64"/>
        <v>12.019002375296912</v>
      </c>
      <c r="AL72" s="243">
        <f t="shared" si="65"/>
        <v>1.1788000000000001</v>
      </c>
      <c r="AN72" s="243">
        <f t="shared" si="68"/>
        <v>14.168000000000001</v>
      </c>
      <c r="AP72" s="243">
        <f t="shared" si="66"/>
        <v>60.1188</v>
      </c>
      <c r="AR72" s="243">
        <f t="shared" si="67"/>
        <v>724.24800000000016</v>
      </c>
    </row>
    <row r="73" spans="1:44">
      <c r="A73" s="218" t="str">
        <f>$A$1&amp;"Rolloff"&amp;B73</f>
        <v>JBLM HOUSINGRolloffRENT40MO-RO</v>
      </c>
      <c r="B73" s="230" t="s">
        <v>556</v>
      </c>
      <c r="C73" s="230" t="s">
        <v>557</v>
      </c>
      <c r="D73" s="230" t="s">
        <v>551</v>
      </c>
      <c r="E73" s="380">
        <v>31002</v>
      </c>
      <c r="F73" s="231">
        <v>59.5</v>
      </c>
      <c r="G73" s="231">
        <v>58.94</v>
      </c>
      <c r="H73" s="231">
        <v>119</v>
      </c>
      <c r="I73" s="231">
        <v>119</v>
      </c>
      <c r="J73" s="231">
        <v>119</v>
      </c>
      <c r="K73" s="231">
        <v>119</v>
      </c>
      <c r="L73" s="231">
        <v>119</v>
      </c>
      <c r="M73" s="231">
        <v>117.88</v>
      </c>
      <c r="N73" s="231">
        <v>117.88</v>
      </c>
      <c r="O73" s="231">
        <v>117.88</v>
      </c>
      <c r="P73" s="231">
        <v>117.88</v>
      </c>
      <c r="Q73" s="231">
        <v>117.88</v>
      </c>
      <c r="R73" s="231">
        <v>117.88</v>
      </c>
      <c r="S73" s="231">
        <v>117.88</v>
      </c>
      <c r="T73" s="232"/>
      <c r="U73" s="426">
        <f t="shared" si="50"/>
        <v>1420.1600000000003</v>
      </c>
      <c r="V73" s="232"/>
      <c r="W73" s="233">
        <f t="shared" si="51"/>
        <v>2</v>
      </c>
      <c r="X73" s="233">
        <f t="shared" si="52"/>
        <v>2</v>
      </c>
      <c r="Y73" s="233">
        <f t="shared" si="53"/>
        <v>2</v>
      </c>
      <c r="Z73" s="232">
        <f t="shared" si="54"/>
        <v>2.0190023752969122</v>
      </c>
      <c r="AA73" s="232">
        <f t="shared" si="55"/>
        <v>2.0190023752969122</v>
      </c>
      <c r="AB73" s="232">
        <f t="shared" si="56"/>
        <v>2</v>
      </c>
      <c r="AC73" s="232">
        <f t="shared" si="57"/>
        <v>2</v>
      </c>
      <c r="AD73" s="232">
        <f t="shared" si="58"/>
        <v>2</v>
      </c>
      <c r="AE73" s="232">
        <f t="shared" si="59"/>
        <v>2</v>
      </c>
      <c r="AF73" s="232">
        <f t="shared" si="60"/>
        <v>2</v>
      </c>
      <c r="AG73" s="232">
        <f t="shared" si="61"/>
        <v>2</v>
      </c>
      <c r="AH73" s="232">
        <f t="shared" si="62"/>
        <v>2</v>
      </c>
      <c r="AI73" s="234">
        <f t="shared" si="63"/>
        <v>2.0031670625494855</v>
      </c>
      <c r="AJ73" s="234">
        <f t="shared" si="64"/>
        <v>24.038004750593824</v>
      </c>
      <c r="AK73" s="242"/>
      <c r="AL73" s="243">
        <f t="shared" si="65"/>
        <v>1.1788000000000001</v>
      </c>
      <c r="AN73" s="243">
        <f t="shared" si="68"/>
        <v>28.336000000000002</v>
      </c>
      <c r="AP73" s="243">
        <f t="shared" si="66"/>
        <v>60.1188</v>
      </c>
      <c r="AR73" s="243">
        <f t="shared" si="67"/>
        <v>1448.4960000000003</v>
      </c>
    </row>
    <row r="74" spans="1:44" ht="13.5" customHeight="1">
      <c r="A74" s="218" t="str">
        <f>$A$1&amp;"Rolloff"&amp;B74</f>
        <v>JBLM HOUSINGRolloffEXWGHT-RO</v>
      </c>
      <c r="B74" s="230" t="s">
        <v>571</v>
      </c>
      <c r="C74" s="230" t="s">
        <v>572</v>
      </c>
      <c r="D74" s="230" t="s">
        <v>508</v>
      </c>
      <c r="E74" s="380">
        <v>31000</v>
      </c>
      <c r="F74" s="231">
        <v>0</v>
      </c>
      <c r="G74" s="231">
        <v>0</v>
      </c>
      <c r="H74" s="231">
        <v>0</v>
      </c>
      <c r="I74" s="231">
        <v>0</v>
      </c>
      <c r="J74" s="231">
        <v>0</v>
      </c>
      <c r="K74" s="231">
        <v>0</v>
      </c>
      <c r="L74" s="231">
        <v>0</v>
      </c>
      <c r="M74" s="231">
        <v>0</v>
      </c>
      <c r="N74" s="231">
        <v>0</v>
      </c>
      <c r="O74" s="231">
        <v>0</v>
      </c>
      <c r="P74" s="231">
        <v>0</v>
      </c>
      <c r="Q74" s="231">
        <v>0</v>
      </c>
      <c r="R74" s="231">
        <v>0</v>
      </c>
      <c r="S74" s="231">
        <v>0</v>
      </c>
      <c r="T74" s="232"/>
      <c r="U74" s="426">
        <f t="shared" si="50"/>
        <v>0</v>
      </c>
      <c r="V74" s="232"/>
      <c r="W74" s="233">
        <f t="shared" si="51"/>
        <v>0</v>
      </c>
      <c r="X74" s="233">
        <f t="shared" si="52"/>
        <v>0</v>
      </c>
      <c r="Y74" s="233">
        <f t="shared" si="53"/>
        <v>0</v>
      </c>
      <c r="Z74" s="232">
        <f t="shared" si="54"/>
        <v>0</v>
      </c>
      <c r="AA74" s="232">
        <f t="shared" si="55"/>
        <v>0</v>
      </c>
      <c r="AB74" s="232">
        <f t="shared" si="56"/>
        <v>0</v>
      </c>
      <c r="AC74" s="232">
        <f t="shared" si="57"/>
        <v>0</v>
      </c>
      <c r="AD74" s="232">
        <f t="shared" si="58"/>
        <v>0</v>
      </c>
      <c r="AE74" s="232">
        <f t="shared" si="59"/>
        <v>0</v>
      </c>
      <c r="AF74" s="232">
        <f t="shared" si="60"/>
        <v>0</v>
      </c>
      <c r="AG74" s="232">
        <f t="shared" si="61"/>
        <v>0</v>
      </c>
      <c r="AH74" s="232">
        <f t="shared" si="62"/>
        <v>0</v>
      </c>
      <c r="AI74" s="234">
        <f t="shared" si="63"/>
        <v>0</v>
      </c>
      <c r="AJ74" s="234">
        <f t="shared" si="64"/>
        <v>0</v>
      </c>
      <c r="AK74" s="389"/>
      <c r="AL74" s="243">
        <f t="shared" si="65"/>
        <v>0</v>
      </c>
      <c r="AN74" s="243">
        <f t="shared" si="68"/>
        <v>0</v>
      </c>
      <c r="AP74" s="243">
        <f t="shared" si="66"/>
        <v>0</v>
      </c>
      <c r="AR74" s="243">
        <f t="shared" si="67"/>
        <v>0</v>
      </c>
    </row>
    <row r="75" spans="1:44">
      <c r="A75" s="218" t="str">
        <f>$A$1&amp;"Rolloff"&amp;B75</f>
        <v>JBLM HOUSINGRolloffMILE-RO</v>
      </c>
      <c r="B75" s="230" t="s">
        <v>579</v>
      </c>
      <c r="C75" s="230" t="s">
        <v>580</v>
      </c>
      <c r="D75" s="230" t="s">
        <v>508</v>
      </c>
      <c r="E75" s="380">
        <v>31000</v>
      </c>
      <c r="F75" s="231">
        <v>3</v>
      </c>
      <c r="G75" s="231">
        <v>2.98</v>
      </c>
      <c r="H75" s="231">
        <v>423</v>
      </c>
      <c r="I75" s="231">
        <v>432</v>
      </c>
      <c r="J75" s="231">
        <v>378</v>
      </c>
      <c r="K75" s="231">
        <v>468</v>
      </c>
      <c r="L75" s="231">
        <v>621</v>
      </c>
      <c r="M75" s="231">
        <v>668.61</v>
      </c>
      <c r="N75" s="231">
        <v>846.45</v>
      </c>
      <c r="O75" s="231">
        <v>766.26</v>
      </c>
      <c r="P75" s="231">
        <v>688.14</v>
      </c>
      <c r="Q75" s="231">
        <v>643.67999999999995</v>
      </c>
      <c r="R75" s="231">
        <v>572.16</v>
      </c>
      <c r="S75" s="231">
        <v>563.22</v>
      </c>
      <c r="T75" s="232"/>
      <c r="U75" s="426">
        <f t="shared" si="50"/>
        <v>7070.5200000000013</v>
      </c>
      <c r="V75" s="232"/>
      <c r="W75" s="233">
        <f t="shared" si="51"/>
        <v>141</v>
      </c>
      <c r="X75" s="233">
        <f t="shared" si="52"/>
        <v>144</v>
      </c>
      <c r="Y75" s="233">
        <f t="shared" si="53"/>
        <v>126</v>
      </c>
      <c r="Z75" s="232">
        <f t="shared" si="54"/>
        <v>157.04697986577182</v>
      </c>
      <c r="AA75" s="232">
        <f t="shared" si="55"/>
        <v>208.38926174496643</v>
      </c>
      <c r="AB75" s="232">
        <f t="shared" si="56"/>
        <v>224.36577181208054</v>
      </c>
      <c r="AC75" s="232">
        <f t="shared" si="57"/>
        <v>284.04362416107386</v>
      </c>
      <c r="AD75" s="232">
        <f t="shared" si="58"/>
        <v>257.13422818791946</v>
      </c>
      <c r="AE75" s="232">
        <f t="shared" si="59"/>
        <v>230.91946308724832</v>
      </c>
      <c r="AF75" s="232">
        <f t="shared" si="60"/>
        <v>215.99999999999997</v>
      </c>
      <c r="AG75" s="232">
        <f t="shared" si="61"/>
        <v>192</v>
      </c>
      <c r="AH75" s="232">
        <f t="shared" si="62"/>
        <v>189</v>
      </c>
      <c r="AI75" s="234">
        <f t="shared" si="63"/>
        <v>197.49161073825505</v>
      </c>
      <c r="AJ75" s="234">
        <f t="shared" si="64"/>
        <v>2369.8993288590605</v>
      </c>
      <c r="AK75" s="396"/>
      <c r="AL75" s="243">
        <f t="shared" si="65"/>
        <v>5.96E-2</v>
      </c>
      <c r="AN75" s="243">
        <f t="shared" si="68"/>
        <v>141.24600000000001</v>
      </c>
      <c r="AP75" s="243">
        <f t="shared" si="66"/>
        <v>3.0396000000000001</v>
      </c>
      <c r="AR75" s="243">
        <f t="shared" si="67"/>
        <v>7211.7660000000014</v>
      </c>
    </row>
    <row r="76" spans="1:44">
      <c r="A76" s="218" t="str">
        <f>$A$1&amp;"Rolloff"&amp;B76</f>
        <v>JBLM HOUSINGRolloffRTRNTRIP-RO</v>
      </c>
      <c r="B76" s="230" t="s">
        <v>581</v>
      </c>
      <c r="C76" s="230" t="s">
        <v>582</v>
      </c>
      <c r="D76" s="230" t="s">
        <v>508</v>
      </c>
      <c r="E76" s="380">
        <v>31000</v>
      </c>
      <c r="F76" s="231">
        <v>60</v>
      </c>
      <c r="G76" s="231">
        <v>59.59</v>
      </c>
      <c r="H76" s="231">
        <v>360</v>
      </c>
      <c r="I76" s="231">
        <v>240</v>
      </c>
      <c r="J76" s="231">
        <v>60</v>
      </c>
      <c r="K76" s="231">
        <v>60</v>
      </c>
      <c r="L76" s="231">
        <v>0</v>
      </c>
      <c r="M76" s="231">
        <v>59.43</v>
      </c>
      <c r="N76" s="231">
        <v>237.72</v>
      </c>
      <c r="O76" s="231">
        <v>297.14999999999998</v>
      </c>
      <c r="P76" s="231">
        <v>238.36</v>
      </c>
      <c r="Q76" s="231">
        <v>297.95</v>
      </c>
      <c r="R76" s="231">
        <v>476.72</v>
      </c>
      <c r="S76" s="231">
        <v>595.9</v>
      </c>
      <c r="T76" s="232"/>
      <c r="U76" s="426">
        <f t="shared" si="50"/>
        <v>2923.23</v>
      </c>
      <c r="V76" s="232"/>
      <c r="W76" s="233">
        <f t="shared" si="51"/>
        <v>6</v>
      </c>
      <c r="X76" s="233">
        <f t="shared" si="52"/>
        <v>4</v>
      </c>
      <c r="Y76" s="233">
        <f t="shared" si="53"/>
        <v>1</v>
      </c>
      <c r="Z76" s="232">
        <f t="shared" si="54"/>
        <v>1.0068803490518543</v>
      </c>
      <c r="AA76" s="232">
        <f t="shared" si="55"/>
        <v>0</v>
      </c>
      <c r="AB76" s="232">
        <f t="shared" si="56"/>
        <v>0.99731498573586164</v>
      </c>
      <c r="AC76" s="232">
        <f t="shared" si="57"/>
        <v>3.9892599429434465</v>
      </c>
      <c r="AD76" s="232">
        <f t="shared" si="58"/>
        <v>4.9865749286793077</v>
      </c>
      <c r="AE76" s="232">
        <f t="shared" si="59"/>
        <v>4</v>
      </c>
      <c r="AF76" s="232">
        <f t="shared" si="60"/>
        <v>4.9999999999999991</v>
      </c>
      <c r="AG76" s="232">
        <f t="shared" si="61"/>
        <v>8</v>
      </c>
      <c r="AH76" s="232">
        <f t="shared" si="62"/>
        <v>9.9999999999999982</v>
      </c>
      <c r="AI76" s="234">
        <f t="shared" si="63"/>
        <v>4.0816691838675396</v>
      </c>
      <c r="AJ76" s="234">
        <f t="shared" si="64"/>
        <v>48.980030206410476</v>
      </c>
      <c r="AK76" s="381"/>
      <c r="AL76" s="243">
        <f t="shared" si="65"/>
        <v>1.1918000000000002</v>
      </c>
      <c r="AN76" s="243">
        <f t="shared" si="68"/>
        <v>58.374400000000023</v>
      </c>
      <c r="AP76" s="243">
        <f t="shared" si="66"/>
        <v>60.781800000000004</v>
      </c>
      <c r="AR76" s="243">
        <f t="shared" si="67"/>
        <v>2981.6044000000002</v>
      </c>
    </row>
    <row r="77" spans="1:44">
      <c r="B77" s="230"/>
      <c r="C77" s="230"/>
      <c r="D77" s="230"/>
      <c r="F77" s="231"/>
      <c r="G77" s="231"/>
      <c r="H77" s="231"/>
      <c r="I77" s="231"/>
      <c r="J77" s="231"/>
      <c r="K77" s="231"/>
      <c r="L77" s="231"/>
      <c r="M77" s="231"/>
      <c r="N77" s="231"/>
      <c r="O77" s="231"/>
      <c r="P77" s="231"/>
      <c r="Q77" s="231"/>
      <c r="R77" s="231"/>
      <c r="S77" s="231"/>
      <c r="T77" s="232"/>
      <c r="U77" s="426"/>
      <c r="V77" s="232"/>
      <c r="W77" s="233"/>
      <c r="X77" s="233"/>
      <c r="Y77" s="233"/>
      <c r="Z77" s="232"/>
      <c r="AA77" s="232"/>
      <c r="AB77" s="232"/>
      <c r="AC77" s="232"/>
      <c r="AD77" s="232"/>
      <c r="AE77" s="232"/>
      <c r="AF77" s="232"/>
      <c r="AG77" s="232"/>
      <c r="AH77" s="232"/>
      <c r="AK77" s="381"/>
      <c r="AL77" s="396"/>
      <c r="AM77" s="381"/>
      <c r="AN77" s="243"/>
      <c r="AO77" s="381"/>
      <c r="AP77" s="243"/>
      <c r="AQ77" s="381"/>
      <c r="AR77" s="243"/>
    </row>
    <row r="78" spans="1:44">
      <c r="B78" s="230"/>
      <c r="C78" s="235" t="s">
        <v>146</v>
      </c>
      <c r="D78" s="230"/>
      <c r="F78" s="231"/>
      <c r="G78" s="231"/>
      <c r="H78" s="237">
        <f t="shared" ref="H78:P78" si="69">SUM(H68:H76)</f>
        <v>4962</v>
      </c>
      <c r="I78" s="237">
        <f t="shared" si="69"/>
        <v>5023</v>
      </c>
      <c r="J78" s="237">
        <f t="shared" si="69"/>
        <v>4281</v>
      </c>
      <c r="K78" s="237">
        <f t="shared" si="69"/>
        <v>5196</v>
      </c>
      <c r="L78" s="237">
        <f t="shared" si="69"/>
        <v>6788.72</v>
      </c>
      <c r="M78" s="237">
        <f t="shared" si="69"/>
        <v>7345.28</v>
      </c>
      <c r="N78" s="237">
        <f t="shared" si="69"/>
        <v>9289.93</v>
      </c>
      <c r="O78" s="237">
        <f t="shared" si="69"/>
        <v>8784.2699999999986</v>
      </c>
      <c r="P78" s="237">
        <f t="shared" si="69"/>
        <v>7889.69</v>
      </c>
      <c r="Q78" s="237">
        <f>SUM(Q68:Q76)</f>
        <v>7420.84</v>
      </c>
      <c r="R78" s="237">
        <f>SUM(R68:R76)</f>
        <v>6847.72</v>
      </c>
      <c r="S78" s="237">
        <f>SUM(S68:S76)</f>
        <v>6925.18</v>
      </c>
      <c r="T78" s="238"/>
      <c r="U78" s="237">
        <f>SUM(U68:U76)</f>
        <v>80753.63</v>
      </c>
      <c r="V78" s="241"/>
      <c r="W78" s="233">
        <f>SUM(W71:W73)</f>
        <v>4</v>
      </c>
      <c r="X78" s="233">
        <f t="shared" ref="X78:AJ78" si="70">SUM(X71:X73)</f>
        <v>4</v>
      </c>
      <c r="Y78" s="233">
        <f t="shared" si="70"/>
        <v>4</v>
      </c>
      <c r="Z78" s="233">
        <f t="shared" si="70"/>
        <v>4.0380047505938244</v>
      </c>
      <c r="AA78" s="233">
        <f t="shared" si="70"/>
        <v>4.6101119782829993</v>
      </c>
      <c r="AB78" s="233">
        <f t="shared" si="70"/>
        <v>5.9032914828639296</v>
      </c>
      <c r="AC78" s="233">
        <f t="shared" si="70"/>
        <v>7.8001357312521211</v>
      </c>
      <c r="AD78" s="233">
        <f t="shared" si="70"/>
        <v>8.5805904309467262</v>
      </c>
      <c r="AE78" s="233">
        <f t="shared" si="70"/>
        <v>9</v>
      </c>
      <c r="AF78" s="233">
        <f t="shared" si="70"/>
        <v>9</v>
      </c>
      <c r="AG78" s="233">
        <f t="shared" si="70"/>
        <v>9</v>
      </c>
      <c r="AH78" s="233">
        <f t="shared" si="70"/>
        <v>9</v>
      </c>
      <c r="AI78" s="233">
        <f t="shared" si="70"/>
        <v>6.5776778644949676</v>
      </c>
      <c r="AJ78" s="233">
        <f t="shared" si="70"/>
        <v>78.932134373939604</v>
      </c>
      <c r="AL78" s="396"/>
      <c r="AN78" s="243"/>
      <c r="AP78" s="243"/>
      <c r="AR78" s="237">
        <f>SUM(AR68:AR76)</f>
        <v>82366.745999999999</v>
      </c>
    </row>
    <row r="79" spans="1:44">
      <c r="B79" s="230"/>
      <c r="C79" s="230"/>
      <c r="D79" s="230"/>
      <c r="F79" s="231"/>
      <c r="G79" s="231"/>
      <c r="H79" s="231"/>
      <c r="I79" s="231"/>
      <c r="J79" s="231"/>
      <c r="K79" s="231"/>
      <c r="L79" s="231"/>
      <c r="M79" s="231"/>
      <c r="N79" s="231"/>
      <c r="O79" s="231"/>
      <c r="P79" s="231"/>
      <c r="Q79" s="231"/>
      <c r="R79" s="231"/>
      <c r="S79" s="231"/>
      <c r="T79" s="252"/>
      <c r="U79" s="435"/>
      <c r="V79" s="252"/>
      <c r="W79" s="233"/>
      <c r="X79" s="233"/>
      <c r="Y79" s="233"/>
      <c r="Z79" s="232"/>
      <c r="AA79" s="232"/>
      <c r="AB79" s="232"/>
      <c r="AC79" s="232"/>
      <c r="AD79" s="232"/>
      <c r="AE79" s="232"/>
      <c r="AF79" s="232"/>
      <c r="AG79" s="232"/>
      <c r="AH79" s="232"/>
      <c r="AK79" s="381"/>
      <c r="AL79" s="396"/>
      <c r="AM79" s="381"/>
      <c r="AN79" s="243"/>
      <c r="AO79" s="381"/>
      <c r="AP79" s="243"/>
      <c r="AQ79" s="381"/>
      <c r="AR79" s="243"/>
    </row>
    <row r="80" spans="1:44">
      <c r="B80" s="239" t="s">
        <v>147</v>
      </c>
      <c r="C80" s="230"/>
      <c r="D80" s="230"/>
      <c r="F80" s="231"/>
      <c r="G80" s="231"/>
      <c r="H80" s="231"/>
      <c r="I80" s="231"/>
      <c r="J80" s="231"/>
      <c r="K80" s="231"/>
      <c r="L80" s="231"/>
      <c r="M80" s="231"/>
      <c r="N80" s="231"/>
      <c r="O80" s="231"/>
      <c r="P80" s="231"/>
      <c r="Q80" s="231"/>
      <c r="R80" s="231"/>
      <c r="S80" s="231"/>
      <c r="T80" s="252"/>
      <c r="U80" s="435"/>
      <c r="V80" s="252"/>
      <c r="W80" s="233"/>
      <c r="X80" s="233"/>
      <c r="Y80" s="233"/>
      <c r="Z80" s="232"/>
      <c r="AA80" s="232"/>
      <c r="AB80" s="232"/>
      <c r="AC80" s="232"/>
      <c r="AD80" s="232"/>
      <c r="AE80" s="232"/>
      <c r="AF80" s="232"/>
      <c r="AG80" s="232"/>
      <c r="AH80" s="232"/>
      <c r="AL80" s="396"/>
      <c r="AN80" s="243"/>
      <c r="AP80" s="243"/>
      <c r="AR80" s="243"/>
    </row>
    <row r="81" spans="1:44">
      <c r="A81" s="218" t="str">
        <f>$A$1&amp;"Rolloff"&amp;B81</f>
        <v>JBLM HOUSINGRolloffDISP-RO</v>
      </c>
      <c r="B81" s="230" t="s">
        <v>585</v>
      </c>
      <c r="C81" s="230" t="s">
        <v>586</v>
      </c>
      <c r="D81" s="230" t="s">
        <v>587</v>
      </c>
      <c r="E81" s="380">
        <v>31005</v>
      </c>
      <c r="F81" s="231">
        <v>164.34</v>
      </c>
      <c r="G81" s="231">
        <v>164.34</v>
      </c>
      <c r="H81" s="231">
        <v>0</v>
      </c>
      <c r="I81" s="231">
        <v>0</v>
      </c>
      <c r="J81" s="231">
        <v>0</v>
      </c>
      <c r="K81" s="231">
        <v>0</v>
      </c>
      <c r="L81" s="231">
        <v>0</v>
      </c>
      <c r="M81" s="231">
        <v>0</v>
      </c>
      <c r="N81" s="231">
        <v>0</v>
      </c>
      <c r="O81" s="231">
        <v>0</v>
      </c>
      <c r="P81" s="231">
        <v>0</v>
      </c>
      <c r="Q81" s="231">
        <v>0</v>
      </c>
      <c r="R81" s="231">
        <v>0</v>
      </c>
      <c r="S81" s="231">
        <v>0</v>
      </c>
      <c r="T81" s="232"/>
      <c r="U81" s="426">
        <f>SUM(H81:S81)</f>
        <v>0</v>
      </c>
      <c r="V81" s="232"/>
      <c r="W81" s="233">
        <f t="shared" ref="W81:Y82" si="71">IFERROR(H81/$F81,0)</f>
        <v>0</v>
      </c>
      <c r="X81" s="233">
        <f t="shared" si="71"/>
        <v>0</v>
      </c>
      <c r="Y81" s="233">
        <f t="shared" si="71"/>
        <v>0</v>
      </c>
      <c r="Z81" s="232">
        <f t="shared" ref="Z81:AH82" si="72">IFERROR(K81/$G81,0)</f>
        <v>0</v>
      </c>
      <c r="AA81" s="232">
        <f t="shared" si="72"/>
        <v>0</v>
      </c>
      <c r="AB81" s="232">
        <f t="shared" si="72"/>
        <v>0</v>
      </c>
      <c r="AC81" s="232">
        <f t="shared" si="72"/>
        <v>0</v>
      </c>
      <c r="AD81" s="232">
        <f t="shared" si="72"/>
        <v>0</v>
      </c>
      <c r="AE81" s="232">
        <f t="shared" si="72"/>
        <v>0</v>
      </c>
      <c r="AF81" s="232">
        <f t="shared" si="72"/>
        <v>0</v>
      </c>
      <c r="AG81" s="232">
        <f t="shared" si="72"/>
        <v>0</v>
      </c>
      <c r="AH81" s="232">
        <f t="shared" si="72"/>
        <v>0</v>
      </c>
      <c r="AI81" s="234">
        <f>AVERAGE(W81:AH81)</f>
        <v>0</v>
      </c>
      <c r="AJ81" s="234">
        <f>+SUM(W81:AH81)</f>
        <v>0</v>
      </c>
      <c r="AL81" s="243">
        <f>G81*$AL$2</f>
        <v>3.2867999999999999</v>
      </c>
      <c r="AN81" s="243">
        <f>AI81*AL81*12</f>
        <v>0</v>
      </c>
      <c r="AP81" s="243">
        <f>G81+AL81</f>
        <v>167.6268</v>
      </c>
      <c r="AR81" s="243">
        <f>U81+AN81</f>
        <v>0</v>
      </c>
    </row>
    <row r="82" spans="1:44">
      <c r="A82" s="218" t="str">
        <f>$A$1&amp;"Rolloff"&amp;B82</f>
        <v>JBLM HOUSINGRolloffDISPFEDMSW-RO</v>
      </c>
      <c r="B82" s="230" t="s">
        <v>588</v>
      </c>
      <c r="C82" s="230" t="s">
        <v>781</v>
      </c>
      <c r="D82" s="230"/>
      <c r="F82" s="231">
        <v>112.64</v>
      </c>
      <c r="G82" s="231">
        <v>112.38</v>
      </c>
      <c r="H82" s="231">
        <v>6464.43</v>
      </c>
      <c r="I82" s="231">
        <v>7346.39</v>
      </c>
      <c r="J82" s="231">
        <v>7499.58</v>
      </c>
      <c r="K82" s="231">
        <v>8985.4</v>
      </c>
      <c r="L82" s="231">
        <v>8112.73</v>
      </c>
      <c r="M82" s="231">
        <v>8425.1299999999992</v>
      </c>
      <c r="N82" s="231">
        <v>10306.370000000001</v>
      </c>
      <c r="O82" s="231">
        <v>12056.16</v>
      </c>
      <c r="P82" s="231">
        <v>9063.4599999999991</v>
      </c>
      <c r="Q82" s="231">
        <v>8274.56</v>
      </c>
      <c r="R82" s="231">
        <v>9814.19</v>
      </c>
      <c r="S82" s="231">
        <v>8362.23</v>
      </c>
      <c r="T82" s="232"/>
      <c r="U82" s="426">
        <f>SUM(H82:S82)</f>
        <v>104710.62999999999</v>
      </c>
      <c r="V82" s="232"/>
      <c r="W82" s="233">
        <f t="shared" si="71"/>
        <v>57.390181107954547</v>
      </c>
      <c r="X82" s="233">
        <f t="shared" si="71"/>
        <v>65.22008167613636</v>
      </c>
      <c r="Y82" s="233">
        <f t="shared" si="71"/>
        <v>66.580078125</v>
      </c>
      <c r="Z82" s="232">
        <f t="shared" si="72"/>
        <v>79.955508097526248</v>
      </c>
      <c r="AA82" s="232">
        <f t="shared" si="72"/>
        <v>72.190158391172801</v>
      </c>
      <c r="AB82" s="232">
        <f t="shared" si="72"/>
        <v>74.970012457732693</v>
      </c>
      <c r="AC82" s="232">
        <f t="shared" si="72"/>
        <v>91.710001779676105</v>
      </c>
      <c r="AD82" s="232">
        <f t="shared" si="72"/>
        <v>107.28029898558462</v>
      </c>
      <c r="AE82" s="232">
        <f t="shared" si="72"/>
        <v>80.65011567894642</v>
      </c>
      <c r="AF82" s="232">
        <f t="shared" si="72"/>
        <v>73.630183306638187</v>
      </c>
      <c r="AG82" s="232">
        <f t="shared" si="72"/>
        <v>87.330396867770077</v>
      </c>
      <c r="AH82" s="232">
        <f t="shared" si="72"/>
        <v>74.410304324612923</v>
      </c>
      <c r="AI82" s="234">
        <f>AVERAGE(W82:AH82)</f>
        <v>77.609776733229253</v>
      </c>
      <c r="AJ82" s="234">
        <f>+SUM(W82:AH82)</f>
        <v>931.3173207987511</v>
      </c>
      <c r="AL82" s="243">
        <f>G82*$AL$2</f>
        <v>2.2475999999999998</v>
      </c>
      <c r="AN82" s="243">
        <f>AI82*AL82*12</f>
        <v>2093.2288102272728</v>
      </c>
      <c r="AP82" s="243">
        <f>G82+AL82</f>
        <v>114.6276</v>
      </c>
      <c r="AR82" s="243">
        <f>U82+AN82</f>
        <v>106803.85881022726</v>
      </c>
    </row>
    <row r="83" spans="1:44">
      <c r="B83" s="230"/>
      <c r="C83" s="235" t="s">
        <v>148</v>
      </c>
      <c r="D83" s="230"/>
      <c r="F83" s="231"/>
      <c r="G83" s="231"/>
      <c r="H83" s="237">
        <f t="shared" ref="H83:P83" si="73">SUM(H81:H82)</f>
        <v>6464.43</v>
      </c>
      <c r="I83" s="237">
        <f t="shared" si="73"/>
        <v>7346.39</v>
      </c>
      <c r="J83" s="237">
        <f t="shared" si="73"/>
        <v>7499.58</v>
      </c>
      <c r="K83" s="237">
        <f t="shared" si="73"/>
        <v>8985.4</v>
      </c>
      <c r="L83" s="237">
        <f t="shared" si="73"/>
        <v>8112.73</v>
      </c>
      <c r="M83" s="237">
        <f t="shared" si="73"/>
        <v>8425.1299999999992</v>
      </c>
      <c r="N83" s="237">
        <f t="shared" si="73"/>
        <v>10306.370000000001</v>
      </c>
      <c r="O83" s="237">
        <f t="shared" si="73"/>
        <v>12056.16</v>
      </c>
      <c r="P83" s="237">
        <f t="shared" si="73"/>
        <v>9063.4599999999991</v>
      </c>
      <c r="Q83" s="237">
        <f>SUM(Q81:Q82)</f>
        <v>8274.56</v>
      </c>
      <c r="R83" s="237">
        <f>SUM(R81:R82)</f>
        <v>9814.19</v>
      </c>
      <c r="S83" s="237">
        <f>SUM(S81:S82)</f>
        <v>8362.23</v>
      </c>
      <c r="T83" s="238"/>
      <c r="U83" s="237">
        <f>SUM(U81:U82)</f>
        <v>104710.62999999999</v>
      </c>
      <c r="V83" s="241"/>
      <c r="W83" s="233"/>
      <c r="X83" s="233"/>
      <c r="Y83" s="233"/>
      <c r="Z83" s="232"/>
      <c r="AA83" s="232"/>
      <c r="AB83" s="232"/>
      <c r="AC83" s="232"/>
      <c r="AD83" s="232"/>
      <c r="AE83" s="232"/>
      <c r="AF83" s="232"/>
      <c r="AG83" s="232"/>
      <c r="AH83" s="232"/>
      <c r="AK83" s="216"/>
      <c r="AL83" s="216"/>
      <c r="AM83" s="216"/>
      <c r="AN83" s="216"/>
      <c r="AO83" s="216"/>
      <c r="AP83" s="216"/>
      <c r="AQ83" s="216"/>
      <c r="AR83" s="237">
        <f>SUM(AR81:AR82)</f>
        <v>106803.85881022726</v>
      </c>
    </row>
    <row r="84" spans="1:44">
      <c r="B84" s="230"/>
      <c r="F84" s="231"/>
      <c r="G84" s="231"/>
      <c r="I84" s="231"/>
      <c r="J84" s="231"/>
      <c r="K84" s="231"/>
      <c r="L84" s="231"/>
      <c r="M84" s="231"/>
      <c r="N84" s="231"/>
      <c r="O84" s="231"/>
      <c r="P84" s="231"/>
      <c r="Q84" s="231"/>
      <c r="R84" s="231"/>
      <c r="S84" s="231"/>
      <c r="T84" s="251"/>
      <c r="U84" s="440"/>
      <c r="V84" s="251"/>
      <c r="W84" s="233"/>
      <c r="X84" s="233"/>
      <c r="Y84" s="233"/>
      <c r="Z84" s="232"/>
      <c r="AA84" s="232"/>
      <c r="AB84" s="232"/>
      <c r="AC84" s="232"/>
      <c r="AD84" s="232"/>
      <c r="AE84" s="232"/>
      <c r="AF84" s="232"/>
      <c r="AG84" s="232"/>
      <c r="AH84" s="232"/>
      <c r="AK84" s="216"/>
      <c r="AL84" s="216"/>
      <c r="AM84" s="216"/>
      <c r="AN84" s="216"/>
      <c r="AO84" s="216"/>
      <c r="AP84" s="216"/>
      <c r="AQ84" s="216"/>
      <c r="AR84" s="216"/>
    </row>
    <row r="85" spans="1:44">
      <c r="F85" s="231"/>
      <c r="G85" s="231"/>
      <c r="I85" s="231"/>
      <c r="J85" s="231"/>
      <c r="K85" s="231"/>
      <c r="L85" s="231"/>
      <c r="M85" s="231"/>
      <c r="N85" s="231"/>
      <c r="O85" s="231"/>
      <c r="P85" s="231"/>
      <c r="Q85" s="231"/>
      <c r="R85" s="231"/>
      <c r="S85" s="231"/>
      <c r="W85" s="233"/>
      <c r="X85" s="233"/>
      <c r="Y85" s="233"/>
      <c r="Z85" s="232"/>
      <c r="AA85" s="232"/>
      <c r="AB85" s="232"/>
      <c r="AC85" s="232"/>
      <c r="AD85" s="232"/>
      <c r="AE85" s="232"/>
      <c r="AF85" s="232"/>
      <c r="AG85" s="232"/>
      <c r="AH85" s="232"/>
      <c r="AK85" s="216"/>
      <c r="AL85" s="216"/>
      <c r="AM85" s="216"/>
      <c r="AN85" s="216"/>
      <c r="AO85" s="216"/>
      <c r="AP85" s="216"/>
      <c r="AQ85" s="216"/>
      <c r="AR85" s="216"/>
    </row>
    <row r="86" spans="1:44" s="242" customFormat="1">
      <c r="B86" s="216" t="s">
        <v>589</v>
      </c>
      <c r="C86" s="216"/>
      <c r="D86" s="216"/>
      <c r="E86" s="223"/>
      <c r="F86" s="231"/>
      <c r="G86" s="231"/>
      <c r="H86" s="244">
        <f t="shared" ref="H86:S86" si="74">+H78+H83</f>
        <v>11426.43</v>
      </c>
      <c r="I86" s="244">
        <f t="shared" si="74"/>
        <v>12369.39</v>
      </c>
      <c r="J86" s="244">
        <f t="shared" si="74"/>
        <v>11780.58</v>
      </c>
      <c r="K86" s="244">
        <f t="shared" si="74"/>
        <v>14181.4</v>
      </c>
      <c r="L86" s="244">
        <f t="shared" si="74"/>
        <v>14901.45</v>
      </c>
      <c r="M86" s="244">
        <f t="shared" si="74"/>
        <v>15770.41</v>
      </c>
      <c r="N86" s="244">
        <f t="shared" si="74"/>
        <v>19596.300000000003</v>
      </c>
      <c r="O86" s="244">
        <f t="shared" si="74"/>
        <v>20840.43</v>
      </c>
      <c r="P86" s="244">
        <f t="shared" si="74"/>
        <v>16953.149999999998</v>
      </c>
      <c r="Q86" s="244">
        <f t="shared" si="74"/>
        <v>15695.4</v>
      </c>
      <c r="R86" s="244">
        <f t="shared" si="74"/>
        <v>16661.91</v>
      </c>
      <c r="S86" s="244">
        <f t="shared" si="74"/>
        <v>15287.41</v>
      </c>
      <c r="T86" s="263"/>
      <c r="U86" s="244">
        <f>+U78+U83</f>
        <v>185464.26</v>
      </c>
      <c r="V86" s="263"/>
      <c r="W86" s="233"/>
      <c r="X86" s="233"/>
      <c r="Y86" s="233"/>
      <c r="Z86" s="232"/>
      <c r="AA86" s="232"/>
      <c r="AB86" s="232"/>
      <c r="AC86" s="232"/>
      <c r="AD86" s="232"/>
      <c r="AE86" s="232"/>
      <c r="AF86" s="232"/>
      <c r="AG86" s="232"/>
      <c r="AH86" s="232"/>
      <c r="AK86" s="218"/>
      <c r="AL86" s="218"/>
      <c r="AM86" s="218"/>
      <c r="AN86" s="218"/>
      <c r="AO86" s="218"/>
      <c r="AP86" s="218"/>
      <c r="AQ86" s="218"/>
      <c r="AR86" s="244">
        <f>+AR78+AR83</f>
        <v>189170.60481022726</v>
      </c>
    </row>
    <row r="87" spans="1:44" s="242" customFormat="1">
      <c r="B87" s="216"/>
      <c r="C87" s="216"/>
      <c r="D87" s="216"/>
      <c r="E87" s="223"/>
      <c r="F87" s="231"/>
      <c r="G87" s="231"/>
      <c r="H87" s="245"/>
      <c r="I87" s="231"/>
      <c r="J87" s="231"/>
      <c r="K87" s="231"/>
      <c r="L87" s="231"/>
      <c r="M87" s="231"/>
      <c r="N87" s="231"/>
      <c r="O87" s="231"/>
      <c r="P87" s="231"/>
      <c r="Q87" s="231"/>
      <c r="R87" s="231"/>
      <c r="S87" s="231"/>
      <c r="T87" s="246"/>
      <c r="U87" s="438"/>
      <c r="V87" s="263"/>
      <c r="W87" s="233"/>
      <c r="X87" s="233"/>
      <c r="Y87" s="233"/>
      <c r="Z87" s="232"/>
      <c r="AA87" s="232"/>
      <c r="AB87" s="232"/>
      <c r="AC87" s="232"/>
      <c r="AD87" s="232"/>
      <c r="AE87" s="232"/>
      <c r="AF87" s="232"/>
      <c r="AG87" s="232"/>
      <c r="AH87" s="232"/>
      <c r="AK87" s="218"/>
      <c r="AL87" s="218"/>
      <c r="AM87" s="218"/>
      <c r="AN87" s="218"/>
      <c r="AO87" s="218"/>
      <c r="AP87" s="218"/>
      <c r="AQ87" s="218"/>
      <c r="AR87" s="218"/>
    </row>
    <row r="88" spans="1:44" s="242" customFormat="1">
      <c r="B88" s="216"/>
      <c r="C88" s="216"/>
      <c r="D88" s="216"/>
      <c r="E88" s="223"/>
      <c r="F88" s="231"/>
      <c r="G88" s="231"/>
      <c r="H88" s="245"/>
      <c r="I88" s="231"/>
      <c r="J88" s="231"/>
      <c r="K88" s="231"/>
      <c r="L88" s="231"/>
      <c r="M88" s="231"/>
      <c r="N88" s="231"/>
      <c r="O88" s="231"/>
      <c r="P88" s="231"/>
      <c r="Q88" s="231"/>
      <c r="R88" s="231"/>
      <c r="S88" s="231"/>
      <c r="T88" s="246"/>
      <c r="U88" s="438"/>
      <c r="V88" s="263"/>
      <c r="W88" s="233"/>
      <c r="X88" s="233"/>
      <c r="Y88" s="233"/>
      <c r="Z88" s="232"/>
      <c r="AA88" s="232"/>
      <c r="AB88" s="232"/>
      <c r="AC88" s="232"/>
      <c r="AD88" s="232"/>
      <c r="AE88" s="232"/>
      <c r="AF88" s="232"/>
      <c r="AG88" s="232"/>
      <c r="AH88" s="232"/>
      <c r="AK88" s="218"/>
      <c r="AL88" s="218"/>
      <c r="AM88" s="218"/>
      <c r="AN88" s="218"/>
      <c r="AO88" s="218"/>
      <c r="AP88" s="218"/>
      <c r="AQ88" s="218"/>
      <c r="AR88" s="218"/>
    </row>
    <row r="89" spans="1:44">
      <c r="F89" s="231"/>
      <c r="G89" s="231"/>
      <c r="I89" s="231"/>
      <c r="J89" s="231"/>
      <c r="K89" s="231"/>
      <c r="L89" s="231"/>
      <c r="M89" s="231"/>
      <c r="N89" s="231"/>
      <c r="O89" s="231"/>
      <c r="P89" s="231"/>
      <c r="Q89" s="231"/>
      <c r="R89" s="231"/>
      <c r="S89" s="231"/>
      <c r="W89" s="233"/>
      <c r="X89" s="233"/>
      <c r="Y89" s="233"/>
      <c r="Z89" s="232"/>
      <c r="AA89" s="232"/>
      <c r="AB89" s="232"/>
      <c r="AC89" s="232"/>
      <c r="AD89" s="232"/>
      <c r="AE89" s="232"/>
      <c r="AF89" s="232"/>
      <c r="AG89" s="232"/>
      <c r="AH89" s="232"/>
      <c r="AL89" s="243"/>
      <c r="AN89" s="243"/>
      <c r="AP89" s="243"/>
      <c r="AR89" s="243"/>
    </row>
    <row r="90" spans="1:44">
      <c r="B90" s="226" t="s">
        <v>590</v>
      </c>
      <c r="F90" s="231"/>
      <c r="G90" s="231"/>
      <c r="H90" s="231"/>
      <c r="I90" s="231"/>
      <c r="J90" s="231"/>
      <c r="K90" s="231"/>
      <c r="L90" s="231"/>
      <c r="M90" s="231"/>
      <c r="N90" s="231"/>
      <c r="O90" s="231"/>
      <c r="P90" s="231"/>
      <c r="Q90" s="231"/>
      <c r="R90" s="231"/>
      <c r="S90" s="231"/>
      <c r="W90" s="233"/>
      <c r="X90" s="233"/>
      <c r="Y90" s="233"/>
      <c r="Z90" s="232"/>
      <c r="AA90" s="232"/>
      <c r="AB90" s="232"/>
      <c r="AC90" s="232"/>
      <c r="AD90" s="232"/>
      <c r="AE90" s="232"/>
      <c r="AF90" s="232"/>
      <c r="AG90" s="232"/>
      <c r="AH90" s="232"/>
      <c r="AL90" s="243"/>
      <c r="AN90" s="243"/>
      <c r="AP90" s="243"/>
      <c r="AR90" s="243"/>
    </row>
    <row r="91" spans="1:44">
      <c r="A91" s="218" t="str">
        <f>$A$1&amp;"accounting adjustments"&amp;B91</f>
        <v>JBLM HOUSINGaccounting adjustmentsADJ-FIN</v>
      </c>
      <c r="B91" s="230" t="s">
        <v>591</v>
      </c>
      <c r="C91" s="230" t="s">
        <v>592</v>
      </c>
      <c r="D91" s="230" t="s">
        <v>590</v>
      </c>
      <c r="E91" s="380">
        <v>38000</v>
      </c>
      <c r="F91" s="231"/>
      <c r="G91" s="231"/>
      <c r="H91" s="231">
        <v>0</v>
      </c>
      <c r="I91" s="231">
        <v>0</v>
      </c>
      <c r="J91" s="231">
        <v>0</v>
      </c>
      <c r="K91" s="231">
        <v>0</v>
      </c>
      <c r="L91" s="231">
        <v>0</v>
      </c>
      <c r="M91" s="231">
        <v>0</v>
      </c>
      <c r="N91" s="231">
        <v>0</v>
      </c>
      <c r="O91" s="231">
        <v>0</v>
      </c>
      <c r="P91" s="231">
        <v>0</v>
      </c>
      <c r="Q91" s="231">
        <v>0</v>
      </c>
      <c r="R91" s="231">
        <v>0</v>
      </c>
      <c r="S91" s="231">
        <v>0</v>
      </c>
      <c r="T91" s="232"/>
      <c r="U91" s="426"/>
      <c r="V91" s="232"/>
      <c r="W91" s="233">
        <f t="shared" ref="W91:Y92" si="75">IFERROR(H91/$F91,0)</f>
        <v>0</v>
      </c>
      <c r="X91" s="233">
        <f t="shared" si="75"/>
        <v>0</v>
      </c>
      <c r="Y91" s="233">
        <f t="shared" si="75"/>
        <v>0</v>
      </c>
      <c r="Z91" s="232">
        <f t="shared" ref="Z91:AH92" si="76">IFERROR(K91/$G91,0)</f>
        <v>0</v>
      </c>
      <c r="AA91" s="232">
        <f t="shared" si="76"/>
        <v>0</v>
      </c>
      <c r="AB91" s="232">
        <f t="shared" si="76"/>
        <v>0</v>
      </c>
      <c r="AC91" s="232">
        <f t="shared" si="76"/>
        <v>0</v>
      </c>
      <c r="AD91" s="232">
        <f t="shared" si="76"/>
        <v>0</v>
      </c>
      <c r="AE91" s="232">
        <f t="shared" si="76"/>
        <v>0</v>
      </c>
      <c r="AF91" s="232">
        <f t="shared" si="76"/>
        <v>0</v>
      </c>
      <c r="AG91" s="232">
        <f t="shared" si="76"/>
        <v>0</v>
      </c>
      <c r="AH91" s="232">
        <f t="shared" si="76"/>
        <v>0</v>
      </c>
      <c r="AL91" s="243"/>
      <c r="AN91" s="243"/>
      <c r="AP91" s="243"/>
      <c r="AR91" s="243"/>
    </row>
    <row r="92" spans="1:44">
      <c r="A92" s="218" t="str">
        <f>$A$1&amp;"accounting adjustments"&amp;B92</f>
        <v>JBLM HOUSINGaccounting adjustmentsRETCKC</v>
      </c>
      <c r="B92" s="230" t="s">
        <v>593</v>
      </c>
      <c r="C92" s="230" t="s">
        <v>594</v>
      </c>
      <c r="D92" s="230" t="s">
        <v>590</v>
      </c>
      <c r="E92" s="380">
        <v>38000</v>
      </c>
      <c r="F92" s="231">
        <v>0</v>
      </c>
      <c r="G92" s="231">
        <f>VLOOKUP(B92,'[25]2017'!$A$1:$E$65536,5,FALSE)</f>
        <v>0</v>
      </c>
      <c r="H92" s="231">
        <v>0</v>
      </c>
      <c r="I92" s="231">
        <v>0</v>
      </c>
      <c r="J92" s="231">
        <v>0</v>
      </c>
      <c r="K92" s="231">
        <v>0</v>
      </c>
      <c r="L92" s="231">
        <v>0</v>
      </c>
      <c r="M92" s="231">
        <v>0</v>
      </c>
      <c r="N92" s="231">
        <v>0</v>
      </c>
      <c r="O92" s="231">
        <v>0</v>
      </c>
      <c r="P92" s="231">
        <v>0</v>
      </c>
      <c r="Q92" s="231">
        <v>0</v>
      </c>
      <c r="R92" s="231">
        <v>0</v>
      </c>
      <c r="S92" s="231">
        <v>0</v>
      </c>
      <c r="T92" s="232"/>
      <c r="U92" s="426"/>
      <c r="V92" s="232"/>
      <c r="W92" s="233">
        <f t="shared" si="75"/>
        <v>0</v>
      </c>
      <c r="X92" s="233">
        <f t="shared" si="75"/>
        <v>0</v>
      </c>
      <c r="Y92" s="233">
        <f t="shared" si="75"/>
        <v>0</v>
      </c>
      <c r="Z92" s="232">
        <f t="shared" si="76"/>
        <v>0</v>
      </c>
      <c r="AA92" s="232">
        <f t="shared" si="76"/>
        <v>0</v>
      </c>
      <c r="AB92" s="232">
        <f t="shared" si="76"/>
        <v>0</v>
      </c>
      <c r="AC92" s="232">
        <f t="shared" si="76"/>
        <v>0</v>
      </c>
      <c r="AD92" s="232">
        <f t="shared" si="76"/>
        <v>0</v>
      </c>
      <c r="AE92" s="232">
        <f t="shared" si="76"/>
        <v>0</v>
      </c>
      <c r="AF92" s="232">
        <f t="shared" si="76"/>
        <v>0</v>
      </c>
      <c r="AG92" s="232">
        <f t="shared" si="76"/>
        <v>0</v>
      </c>
      <c r="AH92" s="232">
        <f t="shared" si="76"/>
        <v>0</v>
      </c>
      <c r="AL92" s="243"/>
      <c r="AN92" s="243"/>
      <c r="AP92" s="243"/>
      <c r="AR92" s="243"/>
    </row>
    <row r="93" spans="1:44">
      <c r="B93" s="230"/>
      <c r="F93" s="231"/>
      <c r="G93" s="231"/>
      <c r="T93" s="233"/>
      <c r="U93" s="426"/>
      <c r="V93" s="233"/>
      <c r="AL93" s="243"/>
      <c r="AN93" s="243"/>
      <c r="AP93" s="243"/>
      <c r="AR93" s="243"/>
    </row>
    <row r="94" spans="1:44" s="242" customFormat="1">
      <c r="B94" s="216" t="s">
        <v>595</v>
      </c>
      <c r="C94" s="216"/>
      <c r="D94" s="216"/>
      <c r="E94" s="223"/>
      <c r="F94" s="231"/>
      <c r="G94" s="231"/>
      <c r="H94" s="255">
        <f>SUM(H91:H92)</f>
        <v>0</v>
      </c>
      <c r="I94" s="255">
        <f>SUM(I91:I92)</f>
        <v>0</v>
      </c>
      <c r="J94" s="255">
        <f t="shared" ref="J94:S94" si="77">SUM(J91:J92)</f>
        <v>0</v>
      </c>
      <c r="K94" s="255">
        <f t="shared" si="77"/>
        <v>0</v>
      </c>
      <c r="L94" s="255">
        <f t="shared" si="77"/>
        <v>0</v>
      </c>
      <c r="M94" s="255">
        <f t="shared" si="77"/>
        <v>0</v>
      </c>
      <c r="N94" s="255">
        <f t="shared" si="77"/>
        <v>0</v>
      </c>
      <c r="O94" s="255">
        <f t="shared" si="77"/>
        <v>0</v>
      </c>
      <c r="P94" s="255">
        <f t="shared" si="77"/>
        <v>0</v>
      </c>
      <c r="Q94" s="255">
        <f t="shared" si="77"/>
        <v>0</v>
      </c>
      <c r="R94" s="255">
        <f t="shared" si="77"/>
        <v>0</v>
      </c>
      <c r="S94" s="255">
        <f t="shared" si="77"/>
        <v>0</v>
      </c>
      <c r="T94" s="263"/>
      <c r="U94" s="438"/>
      <c r="V94" s="263"/>
      <c r="W94" s="216"/>
      <c r="X94" s="216"/>
      <c r="AK94" s="218"/>
      <c r="AL94" s="243"/>
      <c r="AM94" s="218"/>
      <c r="AN94" s="243"/>
      <c r="AO94" s="218"/>
      <c r="AP94" s="243"/>
      <c r="AQ94" s="218"/>
      <c r="AR94" s="243"/>
    </row>
    <row r="95" spans="1:44" s="242" customFormat="1">
      <c r="B95" s="216"/>
      <c r="C95" s="216"/>
      <c r="D95" s="216"/>
      <c r="E95" s="223"/>
      <c r="F95" s="231"/>
      <c r="G95" s="231"/>
      <c r="H95" s="245"/>
      <c r="I95" s="245"/>
      <c r="J95" s="245"/>
      <c r="K95" s="245"/>
      <c r="L95" s="245"/>
      <c r="M95" s="245"/>
      <c r="N95" s="245"/>
      <c r="O95" s="245"/>
      <c r="P95" s="245"/>
      <c r="Q95" s="245"/>
      <c r="R95" s="245"/>
      <c r="S95" s="245"/>
      <c r="T95" s="246"/>
      <c r="U95" s="438"/>
      <c r="V95" s="263"/>
      <c r="W95" s="216"/>
      <c r="X95" s="216"/>
      <c r="AK95" s="218"/>
      <c r="AL95" s="243"/>
      <c r="AM95" s="218"/>
      <c r="AN95" s="243"/>
      <c r="AO95" s="218"/>
      <c r="AP95" s="243"/>
      <c r="AQ95" s="218"/>
      <c r="AR95" s="243"/>
    </row>
    <row r="96" spans="1:44" s="242" customFormat="1">
      <c r="B96" s="216"/>
      <c r="C96" s="216"/>
      <c r="D96" s="216"/>
      <c r="E96" s="223"/>
      <c r="F96" s="231"/>
      <c r="G96" s="231"/>
      <c r="H96" s="245"/>
      <c r="I96" s="245"/>
      <c r="J96" s="245"/>
      <c r="K96" s="245"/>
      <c r="L96" s="245"/>
      <c r="M96" s="245"/>
      <c r="N96" s="245"/>
      <c r="O96" s="245"/>
      <c r="P96" s="245"/>
      <c r="Q96" s="245"/>
      <c r="R96" s="245"/>
      <c r="S96" s="245"/>
      <c r="T96" s="254"/>
      <c r="U96" s="438"/>
      <c r="V96" s="265"/>
      <c r="W96" s="216"/>
      <c r="X96" s="216"/>
      <c r="AK96" s="218"/>
      <c r="AL96" s="243"/>
      <c r="AM96" s="218"/>
      <c r="AN96" s="243"/>
      <c r="AO96" s="218"/>
      <c r="AP96" s="243"/>
      <c r="AQ96" s="218"/>
      <c r="AR96" s="243"/>
    </row>
    <row r="97" spans="2:44">
      <c r="B97" s="230"/>
      <c r="F97" s="231"/>
      <c r="G97" s="231"/>
      <c r="T97" s="233"/>
      <c r="U97" s="426"/>
      <c r="V97" s="233"/>
      <c r="AL97" s="243"/>
      <c r="AN97" s="243"/>
      <c r="AP97" s="243"/>
      <c r="AR97" s="243"/>
    </row>
    <row r="98" spans="2:44">
      <c r="F98" s="231"/>
      <c r="G98" s="231"/>
      <c r="T98" s="232"/>
      <c r="U98" s="426"/>
      <c r="V98" s="232"/>
      <c r="AL98" s="243"/>
      <c r="AN98" s="243"/>
      <c r="AP98" s="243"/>
      <c r="AR98" s="243"/>
    </row>
    <row r="99" spans="2:44" s="242" customFormat="1" ht="13.5" thickBot="1">
      <c r="B99" s="216" t="s">
        <v>596</v>
      </c>
      <c r="C99" s="216"/>
      <c r="D99" s="216"/>
      <c r="E99" s="223"/>
      <c r="F99" s="231"/>
      <c r="G99" s="231"/>
      <c r="H99" s="257">
        <f t="shared" ref="H99:S99" si="78">+H40+H61+H86+H94</f>
        <v>165014.19999999998</v>
      </c>
      <c r="I99" s="257">
        <f t="shared" si="78"/>
        <v>238427.37</v>
      </c>
      <c r="J99" s="257">
        <f t="shared" si="78"/>
        <v>95099.119999999981</v>
      </c>
      <c r="K99" s="257">
        <f t="shared" si="78"/>
        <v>164258.19</v>
      </c>
      <c r="L99" s="257">
        <f t="shared" si="78"/>
        <v>172559.71000000002</v>
      </c>
      <c r="M99" s="257">
        <f t="shared" si="78"/>
        <v>172478.65</v>
      </c>
      <c r="N99" s="257">
        <f t="shared" si="78"/>
        <v>175176.21000000002</v>
      </c>
      <c r="O99" s="257">
        <f t="shared" si="78"/>
        <v>175148.06</v>
      </c>
      <c r="P99" s="257">
        <f t="shared" si="78"/>
        <v>172157.53</v>
      </c>
      <c r="Q99" s="257">
        <f t="shared" si="78"/>
        <v>170410.48</v>
      </c>
      <c r="R99" s="257">
        <f t="shared" si="78"/>
        <v>172256.02000000002</v>
      </c>
      <c r="S99" s="257">
        <f t="shared" si="78"/>
        <v>170238.29</v>
      </c>
      <c r="T99" s="263"/>
      <c r="U99" s="257">
        <f>+U40+U61+U86+U94</f>
        <v>2043223.8299999998</v>
      </c>
      <c r="V99" s="263"/>
      <c r="W99" s="216"/>
      <c r="X99" s="216"/>
      <c r="AK99" s="218"/>
      <c r="AL99" s="243"/>
      <c r="AM99" s="218"/>
      <c r="AN99" s="257">
        <f>SUM(AN11:AN98)</f>
        <v>39795.628598837342</v>
      </c>
      <c r="AR99" s="257">
        <f>+AR40+AR61+AR86+AR94</f>
        <v>2060849.2985988373</v>
      </c>
    </row>
    <row r="100" spans="2:44" s="242" customFormat="1" ht="13.5" thickTop="1">
      <c r="B100" s="216"/>
      <c r="C100" s="216"/>
      <c r="D100" s="216"/>
      <c r="E100" s="223"/>
      <c r="F100" s="231"/>
      <c r="G100" s="231"/>
      <c r="H100" s="259">
        <v>0</v>
      </c>
      <c r="I100" s="245"/>
      <c r="J100" s="245"/>
      <c r="K100" s="245"/>
      <c r="L100" s="245"/>
      <c r="M100" s="245"/>
      <c r="N100" s="245"/>
      <c r="O100" s="245"/>
      <c r="P100" s="245"/>
      <c r="Q100" s="245"/>
      <c r="R100" s="245"/>
      <c r="S100" s="245"/>
      <c r="T100" s="246"/>
      <c r="U100" s="438"/>
      <c r="V100" s="263"/>
      <c r="W100" s="216"/>
      <c r="X100" s="216"/>
      <c r="AK100" s="218"/>
      <c r="AL100" s="243"/>
      <c r="AM100" s="218"/>
      <c r="AN100" s="243"/>
      <c r="AO100" s="218"/>
      <c r="AP100" s="243"/>
      <c r="AQ100" s="218"/>
      <c r="AR100" s="243"/>
    </row>
    <row r="101" spans="2:44" s="242" customFormat="1">
      <c r="B101" s="216"/>
      <c r="C101" s="216"/>
      <c r="D101" s="216"/>
      <c r="E101" s="223"/>
      <c r="F101" s="231"/>
      <c r="G101" s="231"/>
      <c r="H101" s="245"/>
      <c r="I101" s="245"/>
      <c r="J101" s="245"/>
      <c r="K101" s="245"/>
      <c r="L101" s="245"/>
      <c r="M101" s="245"/>
      <c r="N101" s="245"/>
      <c r="O101" s="259"/>
      <c r="P101" s="259"/>
      <c r="Q101" s="259"/>
      <c r="R101" s="259"/>
      <c r="S101" s="259"/>
      <c r="T101" s="254"/>
      <c r="U101" s="438"/>
      <c r="V101" s="265"/>
      <c r="W101" s="216"/>
      <c r="X101" s="216"/>
      <c r="AK101" s="218"/>
      <c r="AL101" s="243"/>
      <c r="AM101" s="218"/>
      <c r="AN101" s="243"/>
      <c r="AO101" s="218"/>
      <c r="AP101" s="243"/>
      <c r="AQ101" s="218"/>
      <c r="AR101" s="243"/>
    </row>
    <row r="102" spans="2:44">
      <c r="I102" s="261"/>
      <c r="O102" s="261"/>
      <c r="T102" s="232"/>
      <c r="U102" s="426"/>
      <c r="V102" s="232"/>
      <c r="AL102" s="243"/>
      <c r="AN102" s="243"/>
      <c r="AP102" s="243"/>
      <c r="AR102" s="243"/>
    </row>
    <row r="103" spans="2:44">
      <c r="I103" s="261"/>
      <c r="T103" s="232"/>
      <c r="U103" s="426"/>
      <c r="V103" s="232"/>
      <c r="AL103" s="243"/>
      <c r="AN103" s="243"/>
      <c r="AP103" s="243"/>
      <c r="AR103" s="243"/>
    </row>
    <row r="104" spans="2:44">
      <c r="T104" s="232"/>
      <c r="U104" s="426"/>
      <c r="V104" s="232"/>
      <c r="AL104" s="243"/>
      <c r="AN104" s="243"/>
      <c r="AP104" s="243"/>
      <c r="AR104" s="243"/>
    </row>
    <row r="105" spans="2:44">
      <c r="T105" s="232"/>
      <c r="U105" s="426"/>
      <c r="V105" s="232"/>
      <c r="AL105" s="243"/>
      <c r="AN105" s="243"/>
      <c r="AP105" s="243"/>
      <c r="AR105" s="243"/>
    </row>
    <row r="106" spans="2:44">
      <c r="T106" s="232"/>
      <c r="U106" s="426"/>
      <c r="V106" s="232"/>
      <c r="AL106" s="243"/>
      <c r="AN106" s="243"/>
      <c r="AP106" s="243"/>
      <c r="AR106" s="243"/>
    </row>
    <row r="107" spans="2:44" s="217" customFormat="1">
      <c r="E107" s="380"/>
      <c r="F107" s="218"/>
      <c r="T107" s="232"/>
      <c r="U107" s="426"/>
      <c r="V107" s="232"/>
      <c r="Y107" s="218"/>
      <c r="Z107" s="218"/>
      <c r="AA107" s="218"/>
      <c r="AB107" s="218"/>
      <c r="AC107" s="218"/>
      <c r="AD107" s="218"/>
      <c r="AE107" s="218"/>
      <c r="AF107" s="218"/>
      <c r="AG107" s="218"/>
      <c r="AH107" s="218"/>
      <c r="AK107" s="218"/>
      <c r="AL107" s="243"/>
      <c r="AM107" s="218"/>
      <c r="AN107" s="243"/>
      <c r="AO107" s="218"/>
      <c r="AP107" s="243"/>
      <c r="AQ107" s="218"/>
      <c r="AR107" s="243"/>
    </row>
    <row r="108" spans="2:44" s="217" customFormat="1">
      <c r="E108" s="380"/>
      <c r="F108" s="218"/>
      <c r="T108" s="232"/>
      <c r="U108" s="426"/>
      <c r="V108" s="232"/>
      <c r="Y108" s="218"/>
      <c r="Z108" s="218"/>
      <c r="AA108" s="218"/>
      <c r="AB108" s="218"/>
      <c r="AC108" s="218"/>
      <c r="AD108" s="218"/>
      <c r="AE108" s="218"/>
      <c r="AF108" s="218"/>
      <c r="AG108" s="218"/>
      <c r="AH108" s="218"/>
      <c r="AK108" s="218"/>
      <c r="AL108" s="243"/>
      <c r="AM108" s="218"/>
      <c r="AN108" s="243"/>
      <c r="AO108" s="218"/>
      <c r="AP108" s="243"/>
      <c r="AQ108" s="218"/>
      <c r="AR108" s="243"/>
    </row>
    <row r="109" spans="2:44" s="217" customFormat="1">
      <c r="E109" s="380"/>
      <c r="F109" s="218"/>
      <c r="T109" s="232"/>
      <c r="U109" s="426"/>
      <c r="V109" s="232"/>
      <c r="Y109" s="218"/>
      <c r="Z109" s="218"/>
      <c r="AA109" s="218"/>
      <c r="AB109" s="218"/>
      <c r="AC109" s="218"/>
      <c r="AD109" s="218"/>
      <c r="AE109" s="218"/>
      <c r="AF109" s="218"/>
      <c r="AG109" s="218"/>
      <c r="AH109" s="218"/>
      <c r="AK109" s="218"/>
      <c r="AL109" s="243"/>
      <c r="AM109" s="218"/>
      <c r="AN109" s="243"/>
      <c r="AO109" s="218"/>
      <c r="AP109" s="243"/>
      <c r="AQ109" s="218"/>
      <c r="AR109" s="243"/>
    </row>
    <row r="110" spans="2:44" s="217" customFormat="1">
      <c r="E110" s="380"/>
      <c r="F110" s="218"/>
      <c r="T110" s="232"/>
      <c r="U110" s="426"/>
      <c r="V110" s="232"/>
      <c r="Y110" s="218"/>
      <c r="Z110" s="218"/>
      <c r="AA110" s="218"/>
      <c r="AB110" s="218"/>
      <c r="AC110" s="218"/>
      <c r="AD110" s="218"/>
      <c r="AE110" s="218"/>
      <c r="AF110" s="218"/>
      <c r="AG110" s="218"/>
      <c r="AH110" s="218"/>
      <c r="AK110" s="218"/>
      <c r="AL110" s="243"/>
      <c r="AM110" s="218"/>
      <c r="AN110" s="243"/>
      <c r="AO110" s="218"/>
      <c r="AP110" s="243"/>
      <c r="AQ110" s="218"/>
      <c r="AR110" s="243"/>
    </row>
    <row r="111" spans="2:44" s="217" customFormat="1">
      <c r="E111" s="380"/>
      <c r="F111" s="218"/>
      <c r="T111" s="232"/>
      <c r="U111" s="426"/>
      <c r="V111" s="232"/>
      <c r="Y111" s="218"/>
      <c r="Z111" s="218"/>
      <c r="AA111" s="218"/>
      <c r="AB111" s="218"/>
      <c r="AC111" s="218"/>
      <c r="AD111" s="218"/>
      <c r="AE111" s="218"/>
      <c r="AF111" s="218"/>
      <c r="AG111" s="218"/>
      <c r="AH111" s="218"/>
      <c r="AK111" s="218"/>
      <c r="AL111" s="243"/>
      <c r="AM111" s="218"/>
      <c r="AN111" s="243"/>
      <c r="AO111" s="218"/>
      <c r="AP111" s="243"/>
      <c r="AQ111" s="218"/>
      <c r="AR111" s="243"/>
    </row>
    <row r="112" spans="2:44" s="217" customFormat="1">
      <c r="E112" s="380"/>
      <c r="F112" s="218"/>
      <c r="T112" s="232"/>
      <c r="U112" s="426"/>
      <c r="V112" s="232"/>
      <c r="Y112" s="218"/>
      <c r="Z112" s="218"/>
      <c r="AA112" s="218"/>
      <c r="AB112" s="218"/>
      <c r="AC112" s="218"/>
      <c r="AD112" s="218"/>
      <c r="AE112" s="218"/>
      <c r="AF112" s="218"/>
      <c r="AG112" s="218"/>
      <c r="AH112" s="218"/>
      <c r="AK112" s="218"/>
      <c r="AL112" s="243"/>
      <c r="AM112" s="218"/>
      <c r="AN112" s="243"/>
      <c r="AO112" s="218"/>
      <c r="AP112" s="243"/>
      <c r="AQ112" s="218"/>
      <c r="AR112" s="243"/>
    </row>
    <row r="113" spans="5:44" s="217" customFormat="1">
      <c r="E113" s="380"/>
      <c r="F113" s="218"/>
      <c r="T113" s="232"/>
      <c r="U113" s="426"/>
      <c r="V113" s="232"/>
      <c r="Y113" s="218"/>
      <c r="Z113" s="218"/>
      <c r="AA113" s="218"/>
      <c r="AB113" s="218"/>
      <c r="AC113" s="218"/>
      <c r="AD113" s="218"/>
      <c r="AE113" s="218"/>
      <c r="AF113" s="218"/>
      <c r="AG113" s="218"/>
      <c r="AH113" s="218"/>
      <c r="AK113" s="218"/>
      <c r="AL113" s="243"/>
      <c r="AM113" s="218"/>
      <c r="AN113" s="243"/>
      <c r="AO113" s="218"/>
      <c r="AP113" s="243"/>
      <c r="AQ113" s="218"/>
      <c r="AR113" s="243"/>
    </row>
    <row r="114" spans="5:44" s="217" customFormat="1">
      <c r="E114" s="380"/>
      <c r="F114" s="218"/>
      <c r="T114" s="232"/>
      <c r="U114" s="426"/>
      <c r="V114" s="232"/>
      <c r="Y114" s="218"/>
      <c r="Z114" s="218"/>
      <c r="AA114" s="218"/>
      <c r="AB114" s="218"/>
      <c r="AC114" s="218"/>
      <c r="AD114" s="218"/>
      <c r="AE114" s="218"/>
      <c r="AF114" s="218"/>
      <c r="AG114" s="218"/>
      <c r="AH114" s="218"/>
      <c r="AK114" s="218"/>
      <c r="AL114" s="243"/>
      <c r="AM114" s="218"/>
      <c r="AN114" s="243"/>
      <c r="AO114" s="218"/>
      <c r="AP114" s="243"/>
      <c r="AQ114" s="218"/>
      <c r="AR114" s="243"/>
    </row>
    <row r="115" spans="5:44" s="217" customFormat="1">
      <c r="E115" s="380"/>
      <c r="F115" s="218"/>
      <c r="T115" s="232"/>
      <c r="U115" s="426"/>
      <c r="V115" s="232"/>
      <c r="Y115" s="218"/>
      <c r="Z115" s="218"/>
      <c r="AA115" s="218"/>
      <c r="AB115" s="218"/>
      <c r="AC115" s="218"/>
      <c r="AD115" s="218"/>
      <c r="AE115" s="218"/>
      <c r="AF115" s="218"/>
      <c r="AG115" s="218"/>
      <c r="AH115" s="218"/>
      <c r="AK115" s="218"/>
      <c r="AL115" s="243"/>
      <c r="AM115" s="218"/>
      <c r="AN115" s="243"/>
      <c r="AO115" s="218"/>
      <c r="AP115" s="243"/>
      <c r="AQ115" s="218"/>
      <c r="AR115" s="243"/>
    </row>
    <row r="116" spans="5:44" s="217" customFormat="1">
      <c r="E116" s="380"/>
      <c r="F116" s="218"/>
      <c r="T116" s="232"/>
      <c r="U116" s="426"/>
      <c r="V116" s="232"/>
      <c r="Y116" s="218"/>
      <c r="Z116" s="218"/>
      <c r="AA116" s="218"/>
      <c r="AB116" s="218"/>
      <c r="AC116" s="218"/>
      <c r="AD116" s="218"/>
      <c r="AE116" s="218"/>
      <c r="AF116" s="218"/>
      <c r="AG116" s="218"/>
      <c r="AH116" s="218"/>
      <c r="AK116" s="218"/>
      <c r="AL116" s="243"/>
      <c r="AM116" s="218"/>
      <c r="AN116" s="243"/>
      <c r="AO116" s="218"/>
      <c r="AP116" s="243"/>
      <c r="AQ116" s="218"/>
      <c r="AR116" s="243"/>
    </row>
    <row r="117" spans="5:44" s="217" customFormat="1">
      <c r="E117" s="380"/>
      <c r="F117" s="218"/>
      <c r="T117" s="232"/>
      <c r="U117" s="426"/>
      <c r="V117" s="232"/>
      <c r="Y117" s="218"/>
      <c r="Z117" s="218"/>
      <c r="AA117" s="218"/>
      <c r="AB117" s="218"/>
      <c r="AC117" s="218"/>
      <c r="AD117" s="218"/>
      <c r="AE117" s="218"/>
      <c r="AF117" s="218"/>
      <c r="AG117" s="218"/>
      <c r="AH117" s="218"/>
      <c r="AK117" s="218"/>
      <c r="AL117" s="243"/>
      <c r="AM117" s="218"/>
      <c r="AN117" s="243"/>
      <c r="AO117" s="218"/>
      <c r="AP117" s="243"/>
      <c r="AQ117" s="218"/>
      <c r="AR117" s="243"/>
    </row>
    <row r="118" spans="5:44" s="217" customFormat="1">
      <c r="E118" s="380"/>
      <c r="F118" s="218"/>
      <c r="T118" s="232"/>
      <c r="U118" s="426"/>
      <c r="V118" s="232"/>
      <c r="Y118" s="218"/>
      <c r="Z118" s="218"/>
      <c r="AA118" s="218"/>
      <c r="AB118" s="218"/>
      <c r="AC118" s="218"/>
      <c r="AD118" s="218"/>
      <c r="AE118" s="218"/>
      <c r="AF118" s="218"/>
      <c r="AG118" s="218"/>
      <c r="AH118" s="218"/>
      <c r="AK118" s="218"/>
      <c r="AL118" s="243"/>
      <c r="AM118" s="218"/>
      <c r="AN118" s="243"/>
      <c r="AO118" s="218"/>
      <c r="AP118" s="243"/>
      <c r="AQ118" s="218"/>
      <c r="AR118" s="243"/>
    </row>
    <row r="119" spans="5:44" s="217" customFormat="1">
      <c r="E119" s="380"/>
      <c r="F119" s="218"/>
      <c r="T119" s="232"/>
      <c r="U119" s="426"/>
      <c r="V119" s="232"/>
      <c r="Y119" s="218"/>
      <c r="Z119" s="218"/>
      <c r="AA119" s="218"/>
      <c r="AB119" s="218"/>
      <c r="AC119" s="218"/>
      <c r="AD119" s="218"/>
      <c r="AE119" s="218"/>
      <c r="AF119" s="218"/>
      <c r="AG119" s="218"/>
      <c r="AH119" s="218"/>
      <c r="AK119" s="218"/>
      <c r="AL119" s="243"/>
      <c r="AM119" s="218"/>
      <c r="AN119" s="243"/>
      <c r="AO119" s="218"/>
      <c r="AP119" s="243"/>
      <c r="AQ119" s="218"/>
      <c r="AR119" s="243"/>
    </row>
    <row r="120" spans="5:44" s="217" customFormat="1">
      <c r="E120" s="380"/>
      <c r="F120" s="218"/>
      <c r="T120" s="232"/>
      <c r="U120" s="426"/>
      <c r="V120" s="232"/>
      <c r="Y120" s="218"/>
      <c r="Z120" s="218"/>
      <c r="AA120" s="218"/>
      <c r="AB120" s="218"/>
      <c r="AC120" s="218"/>
      <c r="AD120" s="218"/>
      <c r="AE120" s="218"/>
      <c r="AF120" s="218"/>
      <c r="AG120" s="218"/>
      <c r="AH120" s="218"/>
      <c r="AK120" s="218"/>
      <c r="AL120" s="243"/>
      <c r="AM120" s="218"/>
      <c r="AN120" s="243"/>
      <c r="AO120" s="218"/>
      <c r="AP120" s="243"/>
      <c r="AQ120" s="218"/>
      <c r="AR120" s="243"/>
    </row>
    <row r="121" spans="5:44" s="217" customFormat="1">
      <c r="E121" s="380"/>
      <c r="F121" s="218"/>
      <c r="T121" s="232"/>
      <c r="U121" s="426"/>
      <c r="V121" s="232"/>
      <c r="Y121" s="218"/>
      <c r="Z121" s="218"/>
      <c r="AA121" s="218"/>
      <c r="AB121" s="218"/>
      <c r="AC121" s="218"/>
      <c r="AD121" s="218"/>
      <c r="AE121" s="218"/>
      <c r="AF121" s="218"/>
      <c r="AG121" s="218"/>
      <c r="AH121" s="218"/>
      <c r="AK121" s="218"/>
      <c r="AL121" s="243"/>
      <c r="AM121" s="218"/>
      <c r="AN121" s="243"/>
      <c r="AO121" s="218"/>
      <c r="AP121" s="243"/>
      <c r="AQ121" s="218"/>
      <c r="AR121" s="243"/>
    </row>
    <row r="122" spans="5:44" s="217" customFormat="1">
      <c r="E122" s="380"/>
      <c r="F122" s="218"/>
      <c r="T122" s="232"/>
      <c r="U122" s="426"/>
      <c r="V122" s="232"/>
      <c r="Y122" s="218"/>
      <c r="Z122" s="218"/>
      <c r="AA122" s="218"/>
      <c r="AB122" s="218"/>
      <c r="AC122" s="218"/>
      <c r="AD122" s="218"/>
      <c r="AE122" s="218"/>
      <c r="AF122" s="218"/>
      <c r="AG122" s="218"/>
      <c r="AH122" s="218"/>
      <c r="AK122" s="218"/>
      <c r="AL122" s="243"/>
      <c r="AM122" s="218"/>
      <c r="AN122" s="243"/>
      <c r="AO122" s="218"/>
      <c r="AP122" s="243"/>
      <c r="AQ122" s="218"/>
      <c r="AR122" s="243"/>
    </row>
    <row r="123" spans="5:44" s="217" customFormat="1">
      <c r="E123" s="380"/>
      <c r="F123" s="218"/>
      <c r="T123" s="232"/>
      <c r="U123" s="426"/>
      <c r="V123" s="232"/>
      <c r="Y123" s="218"/>
      <c r="Z123" s="218"/>
      <c r="AA123" s="218"/>
      <c r="AB123" s="218"/>
      <c r="AC123" s="218"/>
      <c r="AD123" s="218"/>
      <c r="AE123" s="218"/>
      <c r="AF123" s="218"/>
      <c r="AG123" s="218"/>
      <c r="AH123" s="218"/>
      <c r="AK123" s="218"/>
      <c r="AL123" s="243"/>
      <c r="AM123" s="218"/>
      <c r="AN123" s="243"/>
      <c r="AO123" s="218"/>
      <c r="AP123" s="243"/>
      <c r="AQ123" s="218"/>
      <c r="AR123" s="243"/>
    </row>
    <row r="124" spans="5:44" s="217" customFormat="1">
      <c r="E124" s="380"/>
      <c r="F124" s="218"/>
      <c r="T124" s="232"/>
      <c r="U124" s="426"/>
      <c r="V124" s="232"/>
      <c r="Y124" s="218"/>
      <c r="Z124" s="218"/>
      <c r="AA124" s="218"/>
      <c r="AB124" s="218"/>
      <c r="AC124" s="218"/>
      <c r="AD124" s="218"/>
      <c r="AE124" s="218"/>
      <c r="AF124" s="218"/>
      <c r="AG124" s="218"/>
      <c r="AH124" s="218"/>
      <c r="AK124" s="218"/>
      <c r="AL124" s="243"/>
      <c r="AM124" s="218"/>
      <c r="AN124" s="243"/>
      <c r="AO124" s="218"/>
      <c r="AP124" s="243"/>
      <c r="AQ124" s="218"/>
      <c r="AR124" s="243"/>
    </row>
    <row r="125" spans="5:44" s="217" customFormat="1">
      <c r="E125" s="380"/>
      <c r="F125" s="218"/>
      <c r="T125" s="232"/>
      <c r="U125" s="426"/>
      <c r="V125" s="232"/>
      <c r="Y125" s="218"/>
      <c r="Z125" s="218"/>
      <c r="AA125" s="218"/>
      <c r="AB125" s="218"/>
      <c r="AC125" s="218"/>
      <c r="AD125" s="218"/>
      <c r="AE125" s="218"/>
      <c r="AF125" s="218"/>
      <c r="AG125" s="218"/>
      <c r="AH125" s="218"/>
      <c r="AK125" s="218"/>
      <c r="AL125" s="243"/>
      <c r="AM125" s="218"/>
      <c r="AN125" s="243"/>
      <c r="AO125" s="218"/>
      <c r="AP125" s="243"/>
      <c r="AQ125" s="218"/>
      <c r="AR125" s="243"/>
    </row>
    <row r="126" spans="5:44" s="217" customFormat="1">
      <c r="E126" s="380"/>
      <c r="F126" s="218"/>
      <c r="T126" s="232"/>
      <c r="U126" s="426"/>
      <c r="V126" s="232"/>
      <c r="Y126" s="218"/>
      <c r="Z126" s="218"/>
      <c r="AA126" s="218"/>
      <c r="AB126" s="218"/>
      <c r="AC126" s="218"/>
      <c r="AD126" s="218"/>
      <c r="AE126" s="218"/>
      <c r="AF126" s="218"/>
      <c r="AG126" s="218"/>
      <c r="AH126" s="218"/>
      <c r="AK126" s="218"/>
      <c r="AL126" s="243"/>
      <c r="AM126" s="218"/>
      <c r="AN126" s="243"/>
      <c r="AO126" s="218"/>
      <c r="AP126" s="243"/>
      <c r="AQ126" s="218"/>
      <c r="AR126" s="243"/>
    </row>
    <row r="127" spans="5:44" s="217" customFormat="1">
      <c r="E127" s="380"/>
      <c r="F127" s="218"/>
      <c r="T127" s="232"/>
      <c r="U127" s="426"/>
      <c r="V127" s="232"/>
      <c r="Y127" s="218"/>
      <c r="Z127" s="218"/>
      <c r="AA127" s="218"/>
      <c r="AB127" s="218"/>
      <c r="AC127" s="218"/>
      <c r="AD127" s="218"/>
      <c r="AE127" s="218"/>
      <c r="AF127" s="218"/>
      <c r="AG127" s="218"/>
      <c r="AH127" s="218"/>
      <c r="AK127" s="218"/>
      <c r="AL127" s="243"/>
      <c r="AM127" s="218"/>
      <c r="AN127" s="243"/>
      <c r="AO127" s="218"/>
      <c r="AP127" s="243"/>
      <c r="AQ127" s="218"/>
      <c r="AR127" s="243"/>
    </row>
    <row r="128" spans="5:44" s="217" customFormat="1">
      <c r="E128" s="380"/>
      <c r="F128" s="218"/>
      <c r="T128" s="232"/>
      <c r="U128" s="426"/>
      <c r="V128" s="232"/>
      <c r="Y128" s="218"/>
      <c r="Z128" s="218"/>
      <c r="AA128" s="218"/>
      <c r="AB128" s="218"/>
      <c r="AC128" s="218"/>
      <c r="AD128" s="218"/>
      <c r="AE128" s="218"/>
      <c r="AF128" s="218"/>
      <c r="AG128" s="218"/>
      <c r="AH128" s="218"/>
      <c r="AK128" s="218"/>
      <c r="AL128" s="243"/>
      <c r="AM128" s="218"/>
      <c r="AN128" s="243"/>
      <c r="AO128" s="218"/>
      <c r="AP128" s="243"/>
      <c r="AQ128" s="218"/>
      <c r="AR128" s="243"/>
    </row>
    <row r="129" spans="5:44" s="217" customFormat="1">
      <c r="E129" s="380"/>
      <c r="F129" s="218"/>
      <c r="T129" s="232"/>
      <c r="U129" s="426"/>
      <c r="V129" s="232"/>
      <c r="Y129" s="218"/>
      <c r="Z129" s="218"/>
      <c r="AA129" s="218"/>
      <c r="AB129" s="218"/>
      <c r="AC129" s="218"/>
      <c r="AD129" s="218"/>
      <c r="AE129" s="218"/>
      <c r="AF129" s="218"/>
      <c r="AG129" s="218"/>
      <c r="AH129" s="218"/>
      <c r="AK129" s="218"/>
      <c r="AL129" s="243"/>
      <c r="AM129" s="218"/>
      <c r="AN129" s="243"/>
      <c r="AO129" s="218"/>
      <c r="AP129" s="243"/>
      <c r="AQ129" s="218"/>
      <c r="AR129" s="243"/>
    </row>
    <row r="130" spans="5:44" s="217" customFormat="1">
      <c r="E130" s="380"/>
      <c r="F130" s="218"/>
      <c r="T130" s="232"/>
      <c r="U130" s="426"/>
      <c r="V130" s="232"/>
      <c r="Y130" s="218"/>
      <c r="Z130" s="218"/>
      <c r="AA130" s="218"/>
      <c r="AB130" s="218"/>
      <c r="AC130" s="218"/>
      <c r="AD130" s="218"/>
      <c r="AE130" s="218"/>
      <c r="AF130" s="218"/>
      <c r="AG130" s="218"/>
      <c r="AH130" s="218"/>
      <c r="AK130" s="218"/>
      <c r="AL130" s="243"/>
      <c r="AM130" s="218"/>
      <c r="AN130" s="243"/>
      <c r="AO130" s="218"/>
      <c r="AP130" s="243"/>
      <c r="AQ130" s="218"/>
      <c r="AR130" s="243"/>
    </row>
    <row r="131" spans="5:44" s="217" customFormat="1">
      <c r="E131" s="380"/>
      <c r="F131" s="218"/>
      <c r="T131" s="232"/>
      <c r="U131" s="426"/>
      <c r="V131" s="232"/>
      <c r="Y131" s="218"/>
      <c r="Z131" s="218"/>
      <c r="AA131" s="218"/>
      <c r="AB131" s="218"/>
      <c r="AC131" s="218"/>
      <c r="AD131" s="218"/>
      <c r="AE131" s="218"/>
      <c r="AF131" s="218"/>
      <c r="AG131" s="218"/>
      <c r="AH131" s="218"/>
      <c r="AK131" s="218"/>
      <c r="AL131" s="243"/>
      <c r="AM131" s="218"/>
      <c r="AN131" s="243"/>
      <c r="AO131" s="218"/>
      <c r="AP131" s="243"/>
      <c r="AQ131" s="218"/>
      <c r="AR131" s="243"/>
    </row>
    <row r="132" spans="5:44" s="217" customFormat="1">
      <c r="E132" s="380"/>
      <c r="F132" s="218"/>
      <c r="T132" s="232"/>
      <c r="U132" s="426"/>
      <c r="V132" s="232"/>
      <c r="Y132" s="218"/>
      <c r="Z132" s="218"/>
      <c r="AA132" s="218"/>
      <c r="AB132" s="218"/>
      <c r="AC132" s="218"/>
      <c r="AD132" s="218"/>
      <c r="AE132" s="218"/>
      <c r="AF132" s="218"/>
      <c r="AG132" s="218"/>
      <c r="AH132" s="218"/>
      <c r="AK132" s="218"/>
      <c r="AL132" s="243"/>
      <c r="AM132" s="218"/>
      <c r="AN132" s="243"/>
      <c r="AO132" s="218"/>
      <c r="AP132" s="243"/>
      <c r="AQ132" s="218"/>
      <c r="AR132" s="243"/>
    </row>
    <row r="133" spans="5:44" s="217" customFormat="1">
      <c r="E133" s="380"/>
      <c r="F133" s="218"/>
      <c r="T133" s="232"/>
      <c r="U133" s="426"/>
      <c r="V133" s="232"/>
      <c r="Y133" s="218"/>
      <c r="Z133" s="218"/>
      <c r="AA133" s="218"/>
      <c r="AB133" s="218"/>
      <c r="AC133" s="218"/>
      <c r="AD133" s="218"/>
      <c r="AE133" s="218"/>
      <c r="AF133" s="218"/>
      <c r="AG133" s="218"/>
      <c r="AH133" s="218"/>
      <c r="AK133" s="218"/>
      <c r="AL133" s="243"/>
      <c r="AM133" s="218"/>
      <c r="AN133" s="243"/>
      <c r="AO133" s="218"/>
      <c r="AP133" s="243"/>
      <c r="AQ133" s="218"/>
      <c r="AR133" s="243"/>
    </row>
    <row r="134" spans="5:44" s="217" customFormat="1">
      <c r="E134" s="380"/>
      <c r="F134" s="218"/>
      <c r="T134" s="232"/>
      <c r="U134" s="426"/>
      <c r="V134" s="232"/>
      <c r="Y134" s="218"/>
      <c r="Z134" s="218"/>
      <c r="AA134" s="218"/>
      <c r="AB134" s="218"/>
      <c r="AC134" s="218"/>
      <c r="AD134" s="218"/>
      <c r="AE134" s="218"/>
      <c r="AF134" s="218"/>
      <c r="AG134" s="218"/>
      <c r="AH134" s="218"/>
      <c r="AK134" s="218"/>
      <c r="AL134" s="243"/>
      <c r="AM134" s="218"/>
      <c r="AN134" s="243"/>
      <c r="AO134" s="218"/>
      <c r="AP134" s="243"/>
      <c r="AQ134" s="218"/>
      <c r="AR134" s="243"/>
    </row>
    <row r="135" spans="5:44">
      <c r="AL135" s="243"/>
      <c r="AN135" s="243"/>
      <c r="AP135" s="243"/>
      <c r="AR135" s="243"/>
    </row>
    <row r="136" spans="5:44">
      <c r="AL136" s="243"/>
      <c r="AN136" s="243"/>
      <c r="AP136" s="243"/>
      <c r="AR136" s="243"/>
    </row>
    <row r="137" spans="5:44">
      <c r="AL137" s="243"/>
      <c r="AN137" s="243"/>
      <c r="AP137" s="243"/>
      <c r="AR137" s="243"/>
    </row>
    <row r="138" spans="5:44">
      <c r="AL138" s="243"/>
      <c r="AN138" s="243"/>
      <c r="AP138" s="243"/>
      <c r="AR138" s="243"/>
    </row>
    <row r="139" spans="5:44">
      <c r="AL139" s="243"/>
      <c r="AN139" s="243"/>
      <c r="AP139" s="243"/>
      <c r="AR139" s="243"/>
    </row>
    <row r="140" spans="5:44">
      <c r="AL140" s="243"/>
      <c r="AN140" s="243"/>
      <c r="AP140" s="243"/>
      <c r="AR140" s="243"/>
    </row>
    <row r="141" spans="5:44">
      <c r="AL141" s="243"/>
      <c r="AN141" s="243"/>
      <c r="AP141" s="243"/>
      <c r="AR141" s="243"/>
    </row>
    <row r="142" spans="5:44">
      <c r="AL142" s="243"/>
      <c r="AN142" s="243"/>
      <c r="AP142" s="243"/>
      <c r="AR142" s="243"/>
    </row>
    <row r="143" spans="5:44">
      <c r="AL143" s="243"/>
      <c r="AN143" s="243"/>
      <c r="AP143" s="243"/>
      <c r="AR143" s="243"/>
    </row>
    <row r="144" spans="5:44">
      <c r="AL144" s="243"/>
      <c r="AN144" s="243"/>
      <c r="AP144" s="243"/>
      <c r="AR144" s="243"/>
    </row>
    <row r="145" spans="37:44">
      <c r="AL145" s="243"/>
      <c r="AN145" s="243"/>
      <c r="AP145" s="243"/>
      <c r="AR145" s="243"/>
    </row>
    <row r="146" spans="37:44">
      <c r="AL146" s="243"/>
      <c r="AN146" s="243"/>
      <c r="AP146" s="243"/>
      <c r="AR146" s="243"/>
    </row>
    <row r="147" spans="37:44">
      <c r="AL147" s="243"/>
      <c r="AN147" s="243"/>
      <c r="AP147" s="243"/>
      <c r="AR147" s="243"/>
    </row>
    <row r="148" spans="37:44">
      <c r="AL148" s="243"/>
      <c r="AN148" s="243"/>
      <c r="AP148" s="243"/>
      <c r="AR148" s="243"/>
    </row>
    <row r="149" spans="37:44">
      <c r="AL149" s="243"/>
      <c r="AN149" s="243"/>
      <c r="AP149" s="243"/>
      <c r="AR149" s="243"/>
    </row>
    <row r="150" spans="37:44">
      <c r="AL150" s="243"/>
      <c r="AN150" s="243"/>
      <c r="AP150" s="243"/>
      <c r="AR150" s="243"/>
    </row>
    <row r="151" spans="37:44">
      <c r="AL151" s="243"/>
      <c r="AN151" s="243"/>
      <c r="AP151" s="243"/>
      <c r="AR151" s="243"/>
    </row>
    <row r="152" spans="37:44">
      <c r="AL152" s="243"/>
      <c r="AN152" s="243"/>
      <c r="AP152" s="243"/>
      <c r="AR152" s="243"/>
    </row>
    <row r="153" spans="37:44">
      <c r="AL153" s="243"/>
      <c r="AN153" s="243"/>
      <c r="AP153" s="243"/>
      <c r="AR153" s="243"/>
    </row>
    <row r="154" spans="37:44">
      <c r="AK154" s="217"/>
      <c r="AL154" s="243"/>
      <c r="AM154" s="217"/>
      <c r="AN154" s="243"/>
      <c r="AO154" s="217"/>
      <c r="AP154" s="243"/>
      <c r="AQ154" s="217"/>
      <c r="AR154" s="243"/>
    </row>
    <row r="155" spans="37:44">
      <c r="AL155" s="243"/>
      <c r="AN155" s="243"/>
      <c r="AP155" s="243"/>
      <c r="AR155" s="243"/>
    </row>
    <row r="156" spans="37:44">
      <c r="AL156" s="243"/>
      <c r="AN156" s="243"/>
      <c r="AP156" s="243"/>
      <c r="AR156" s="243"/>
    </row>
    <row r="157" spans="37:44">
      <c r="AL157" s="243"/>
      <c r="AN157" s="243"/>
      <c r="AP157" s="243"/>
      <c r="AR157" s="243"/>
    </row>
    <row r="158" spans="37:44">
      <c r="AL158" s="243"/>
      <c r="AN158" s="243"/>
      <c r="AP158" s="243"/>
      <c r="AR158" s="243"/>
    </row>
    <row r="159" spans="37:44">
      <c r="AL159" s="243"/>
      <c r="AN159" s="243"/>
      <c r="AP159" s="243"/>
      <c r="AR159" s="243"/>
    </row>
    <row r="160" spans="37:44">
      <c r="AL160" s="243"/>
      <c r="AN160" s="243"/>
      <c r="AP160" s="243"/>
      <c r="AR160" s="243"/>
    </row>
    <row r="161" spans="38:44">
      <c r="AL161" s="243"/>
      <c r="AN161" s="243"/>
      <c r="AP161" s="243"/>
      <c r="AR161" s="243"/>
    </row>
    <row r="162" spans="38:44">
      <c r="AL162" s="243"/>
      <c r="AN162" s="243"/>
      <c r="AP162" s="243"/>
      <c r="AR162" s="243"/>
    </row>
    <row r="163" spans="38:44">
      <c r="AL163" s="243"/>
      <c r="AN163" s="243"/>
      <c r="AP163" s="243"/>
      <c r="AR163" s="243"/>
    </row>
    <row r="164" spans="38:44">
      <c r="AL164" s="243"/>
      <c r="AN164" s="243"/>
      <c r="AP164" s="243"/>
      <c r="AR164" s="243"/>
    </row>
    <row r="165" spans="38:44">
      <c r="AL165" s="243"/>
      <c r="AN165" s="243"/>
      <c r="AP165" s="243"/>
      <c r="AR165" s="243"/>
    </row>
    <row r="166" spans="38:44">
      <c r="AL166" s="243"/>
      <c r="AN166" s="243"/>
      <c r="AP166" s="243"/>
      <c r="AR166" s="243"/>
    </row>
    <row r="167" spans="38:44">
      <c r="AL167" s="243"/>
      <c r="AN167" s="243"/>
      <c r="AP167" s="243"/>
      <c r="AR167" s="243"/>
    </row>
    <row r="168" spans="38:44">
      <c r="AL168" s="243"/>
      <c r="AN168" s="243"/>
      <c r="AP168" s="243"/>
      <c r="AR168" s="243"/>
    </row>
    <row r="169" spans="38:44">
      <c r="AL169" s="243"/>
      <c r="AN169" s="243"/>
      <c r="AP169" s="243"/>
      <c r="AR169" s="243"/>
    </row>
    <row r="170" spans="38:44">
      <c r="AL170" s="243"/>
      <c r="AN170" s="243"/>
      <c r="AP170" s="243"/>
      <c r="AR170" s="243"/>
    </row>
    <row r="171" spans="38:44">
      <c r="AL171" s="243"/>
      <c r="AN171" s="243"/>
      <c r="AP171" s="243"/>
      <c r="AR171" s="243"/>
    </row>
    <row r="172" spans="38:44">
      <c r="AL172" s="243"/>
      <c r="AN172" s="243"/>
      <c r="AP172" s="243"/>
      <c r="AR172" s="243"/>
    </row>
    <row r="173" spans="38:44">
      <c r="AL173" s="243"/>
      <c r="AN173" s="243"/>
      <c r="AP173" s="243"/>
      <c r="AR173" s="243"/>
    </row>
    <row r="174" spans="38:44">
      <c r="AL174" s="243"/>
      <c r="AN174" s="243"/>
      <c r="AP174" s="243"/>
      <c r="AR174" s="243"/>
    </row>
    <row r="175" spans="38:44">
      <c r="AL175" s="243"/>
      <c r="AN175" s="243"/>
      <c r="AP175" s="243"/>
      <c r="AR175" s="243"/>
    </row>
    <row r="176" spans="38:44">
      <c r="AL176" s="243"/>
      <c r="AN176" s="243"/>
      <c r="AP176" s="243"/>
      <c r="AR176" s="243"/>
    </row>
    <row r="177" spans="38:44">
      <c r="AL177" s="243"/>
      <c r="AN177" s="243"/>
      <c r="AP177" s="243"/>
      <c r="AR177" s="243"/>
    </row>
    <row r="178" spans="38:44">
      <c r="AL178" s="243"/>
      <c r="AN178" s="243"/>
      <c r="AP178" s="243"/>
      <c r="AR178" s="243"/>
    </row>
    <row r="179" spans="38:44">
      <c r="AL179" s="243"/>
      <c r="AN179" s="243"/>
      <c r="AP179" s="243"/>
      <c r="AR179" s="243"/>
    </row>
    <row r="180" spans="38:44">
      <c r="AL180" s="243"/>
      <c r="AN180" s="243"/>
      <c r="AP180" s="243"/>
      <c r="AR180" s="243"/>
    </row>
    <row r="181" spans="38:44">
      <c r="AL181" s="243"/>
      <c r="AN181" s="243"/>
      <c r="AP181" s="243"/>
      <c r="AR181" s="243"/>
    </row>
    <row r="182" spans="38:44">
      <c r="AL182" s="243"/>
      <c r="AN182" s="243"/>
      <c r="AP182" s="243"/>
      <c r="AR182" s="243"/>
    </row>
    <row r="183" spans="38:44">
      <c r="AL183" s="243"/>
      <c r="AN183" s="243"/>
      <c r="AP183" s="243"/>
      <c r="AR183" s="243"/>
    </row>
    <row r="184" spans="38:44">
      <c r="AL184" s="243"/>
      <c r="AN184" s="243"/>
      <c r="AP184" s="243"/>
      <c r="AR184" s="243"/>
    </row>
    <row r="185" spans="38:44">
      <c r="AL185" s="243"/>
      <c r="AN185" s="243"/>
      <c r="AP185" s="243"/>
      <c r="AR185" s="243"/>
    </row>
    <row r="186" spans="38:44">
      <c r="AL186" s="243"/>
      <c r="AN186" s="243"/>
      <c r="AP186" s="243"/>
      <c r="AR186" s="243"/>
    </row>
    <row r="187" spans="38:44">
      <c r="AL187" s="243"/>
      <c r="AN187" s="243"/>
      <c r="AP187" s="243"/>
      <c r="AR187" s="243"/>
    </row>
    <row r="188" spans="38:44">
      <c r="AL188" s="243"/>
      <c r="AN188" s="243"/>
      <c r="AP188" s="243"/>
      <c r="AR188" s="243"/>
    </row>
    <row r="189" spans="38:44">
      <c r="AL189" s="243"/>
      <c r="AN189" s="243"/>
      <c r="AP189" s="243"/>
      <c r="AR189" s="243"/>
    </row>
    <row r="190" spans="38:44">
      <c r="AL190" s="243"/>
      <c r="AN190" s="243"/>
      <c r="AP190" s="243"/>
      <c r="AR190" s="243"/>
    </row>
    <row r="191" spans="38:44">
      <c r="AL191" s="243"/>
      <c r="AN191" s="243"/>
      <c r="AP191" s="243"/>
      <c r="AR191" s="243"/>
    </row>
    <row r="192" spans="38:44">
      <c r="AL192" s="243"/>
      <c r="AN192" s="243"/>
      <c r="AP192" s="243"/>
      <c r="AR192" s="243"/>
    </row>
    <row r="193" spans="38:44">
      <c r="AL193" s="243"/>
      <c r="AN193" s="243"/>
      <c r="AP193" s="243"/>
      <c r="AR193" s="243"/>
    </row>
    <row r="194" spans="38:44">
      <c r="AL194" s="243"/>
      <c r="AN194" s="243"/>
      <c r="AP194" s="243"/>
      <c r="AR194" s="243"/>
    </row>
    <row r="195" spans="38:44">
      <c r="AL195" s="243"/>
      <c r="AN195" s="243"/>
      <c r="AP195" s="243"/>
      <c r="AR195" s="243"/>
    </row>
    <row r="196" spans="38:44">
      <c r="AL196" s="243"/>
      <c r="AN196" s="243"/>
      <c r="AP196" s="243"/>
      <c r="AR196" s="243"/>
    </row>
    <row r="197" spans="38:44">
      <c r="AL197" s="243"/>
      <c r="AN197" s="243"/>
      <c r="AP197" s="243"/>
      <c r="AR197" s="243"/>
    </row>
    <row r="198" spans="38:44">
      <c r="AN198" s="243"/>
    </row>
    <row r="199" spans="38:44">
      <c r="AN199" s="243"/>
    </row>
    <row r="200" spans="38:44">
      <c r="AN200" s="243"/>
    </row>
    <row r="201" spans="38:44">
      <c r="AN201" s="243"/>
    </row>
    <row r="202" spans="38:44">
      <c r="AL202" s="243"/>
      <c r="AN202" s="243"/>
      <c r="AP202" s="243"/>
      <c r="AR202" s="243"/>
    </row>
    <row r="203" spans="38:44">
      <c r="AL203" s="243"/>
      <c r="AN203" s="243"/>
      <c r="AP203" s="243"/>
      <c r="AR203" s="243"/>
    </row>
    <row r="204" spans="38:44">
      <c r="AN204" s="243"/>
    </row>
    <row r="205" spans="38:44">
      <c r="AN205" s="243"/>
    </row>
    <row r="206" spans="38:44">
      <c r="AN206" s="243"/>
    </row>
    <row r="207" spans="38:44">
      <c r="AN207" s="243"/>
    </row>
    <row r="208" spans="38:44">
      <c r="AN208" s="243"/>
    </row>
    <row r="209" spans="37:44">
      <c r="AN209" s="243"/>
    </row>
    <row r="210" spans="37:44">
      <c r="AK210" s="242"/>
      <c r="AL210" s="242"/>
      <c r="AM210" s="242"/>
      <c r="AN210" s="243"/>
      <c r="AO210" s="242"/>
      <c r="AP210" s="242"/>
      <c r="AQ210" s="242"/>
      <c r="AR210" s="242"/>
    </row>
    <row r="211" spans="37:44">
      <c r="AK211" s="242"/>
      <c r="AL211" s="242"/>
      <c r="AM211" s="242"/>
      <c r="AN211" s="243"/>
      <c r="AO211" s="242"/>
      <c r="AP211" s="242"/>
      <c r="AQ211" s="242"/>
      <c r="AR211" s="242"/>
    </row>
    <row r="212" spans="37:44">
      <c r="AN212" s="243"/>
    </row>
    <row r="213" spans="37:44">
      <c r="AN213" s="243"/>
    </row>
    <row r="214" spans="37:44">
      <c r="AN214" s="243"/>
    </row>
    <row r="215" spans="37:44">
      <c r="AN215" s="243"/>
    </row>
    <row r="216" spans="37:44">
      <c r="AL216" s="243"/>
      <c r="AN216" s="243"/>
      <c r="AP216" s="243"/>
      <c r="AR216" s="243"/>
    </row>
    <row r="217" spans="37:44">
      <c r="AL217" s="243"/>
      <c r="AN217" s="243"/>
      <c r="AP217" s="243"/>
      <c r="AR217" s="243"/>
    </row>
    <row r="218" spans="37:44">
      <c r="AL218" s="243"/>
      <c r="AN218" s="243"/>
      <c r="AP218" s="243"/>
      <c r="AR218" s="243"/>
    </row>
    <row r="219" spans="37:44">
      <c r="AL219" s="243"/>
      <c r="AN219" s="243"/>
      <c r="AP219" s="243"/>
      <c r="AR219" s="243"/>
    </row>
    <row r="220" spans="37:44">
      <c r="AL220" s="243"/>
      <c r="AN220" s="243"/>
      <c r="AP220" s="243"/>
      <c r="AR220" s="243"/>
    </row>
    <row r="221" spans="37:44">
      <c r="AL221" s="243"/>
      <c r="AN221" s="243"/>
      <c r="AP221" s="243"/>
      <c r="AR221" s="243"/>
    </row>
    <row r="222" spans="37:44">
      <c r="AL222" s="243"/>
      <c r="AN222" s="243"/>
      <c r="AP222" s="243"/>
      <c r="AR222" s="243"/>
    </row>
    <row r="223" spans="37:44">
      <c r="AL223" s="243"/>
      <c r="AN223" s="243"/>
      <c r="AP223" s="243"/>
      <c r="AR223" s="243"/>
    </row>
    <row r="224" spans="37:44">
      <c r="AL224" s="243"/>
      <c r="AN224" s="243"/>
      <c r="AP224" s="243"/>
      <c r="AR224" s="243"/>
    </row>
    <row r="225" spans="37:44">
      <c r="AL225" s="243"/>
      <c r="AN225" s="243"/>
      <c r="AP225" s="243"/>
      <c r="AR225" s="243"/>
    </row>
    <row r="226" spans="37:44">
      <c r="AL226" s="243"/>
      <c r="AN226" s="243"/>
      <c r="AP226" s="243"/>
      <c r="AR226" s="243"/>
    </row>
    <row r="227" spans="37:44">
      <c r="AL227" s="243"/>
      <c r="AN227" s="243"/>
      <c r="AP227" s="243"/>
      <c r="AR227" s="243"/>
    </row>
    <row r="228" spans="37:44">
      <c r="AL228" s="243"/>
      <c r="AN228" s="243"/>
      <c r="AP228" s="243"/>
      <c r="AR228" s="243"/>
    </row>
    <row r="229" spans="37:44">
      <c r="AL229" s="243"/>
      <c r="AN229" s="243"/>
      <c r="AP229" s="243"/>
      <c r="AR229" s="243"/>
    </row>
    <row r="230" spans="37:44">
      <c r="AL230" s="243"/>
      <c r="AN230" s="243"/>
      <c r="AP230" s="243"/>
      <c r="AR230" s="243"/>
    </row>
    <row r="231" spans="37:44">
      <c r="AL231" s="243"/>
      <c r="AN231" s="243"/>
      <c r="AP231" s="243"/>
      <c r="AR231" s="243"/>
    </row>
    <row r="232" spans="37:44">
      <c r="AL232" s="243"/>
      <c r="AN232" s="243"/>
      <c r="AP232" s="243"/>
      <c r="AR232" s="243"/>
    </row>
    <row r="233" spans="37:44">
      <c r="AL233" s="243"/>
      <c r="AN233" s="243"/>
      <c r="AP233" s="243"/>
      <c r="AR233" s="243"/>
    </row>
    <row r="234" spans="37:44">
      <c r="AL234" s="243"/>
      <c r="AN234" s="243"/>
      <c r="AP234" s="243"/>
      <c r="AR234" s="243"/>
    </row>
    <row r="235" spans="37:44">
      <c r="AL235" s="243"/>
      <c r="AN235" s="243"/>
      <c r="AP235" s="243"/>
      <c r="AR235" s="243"/>
    </row>
    <row r="236" spans="37:44">
      <c r="AL236" s="243"/>
      <c r="AN236" s="243"/>
      <c r="AP236" s="243"/>
      <c r="AR236" s="243"/>
    </row>
    <row r="237" spans="37:44">
      <c r="AL237" s="243"/>
      <c r="AN237" s="243"/>
      <c r="AP237" s="243"/>
      <c r="AR237" s="243"/>
    </row>
    <row r="238" spans="37:44">
      <c r="AL238" s="243"/>
      <c r="AN238" s="243"/>
      <c r="AP238" s="243"/>
      <c r="AR238" s="243"/>
    </row>
    <row r="239" spans="37:44">
      <c r="AL239" s="243"/>
      <c r="AN239" s="243"/>
      <c r="AP239" s="243"/>
      <c r="AR239" s="243"/>
    </row>
    <row r="240" spans="37:44">
      <c r="AK240" s="243"/>
      <c r="AL240" s="243"/>
      <c r="AN240" s="243"/>
      <c r="AP240" s="243"/>
      <c r="AR240" s="243"/>
    </row>
    <row r="241" spans="37:44">
      <c r="AK241" s="243"/>
      <c r="AL241" s="243"/>
      <c r="AN241" s="243"/>
      <c r="AP241" s="243"/>
      <c r="AR241" s="243"/>
    </row>
    <row r="242" spans="37:44">
      <c r="AK242" s="243"/>
      <c r="AL242" s="243"/>
      <c r="AN242" s="243"/>
      <c r="AP242" s="243"/>
      <c r="AR242" s="243"/>
    </row>
    <row r="243" spans="37:44">
      <c r="AK243" s="243"/>
      <c r="AL243" s="243"/>
      <c r="AN243" s="243"/>
      <c r="AP243" s="243"/>
      <c r="AR243" s="243"/>
    </row>
    <row r="244" spans="37:44">
      <c r="AL244" s="243"/>
      <c r="AN244" s="243"/>
      <c r="AP244" s="243"/>
      <c r="AR244" s="243"/>
    </row>
    <row r="245" spans="37:44">
      <c r="AL245" s="243"/>
      <c r="AN245" s="243"/>
      <c r="AP245" s="243"/>
      <c r="AR245" s="243"/>
    </row>
    <row r="246" spans="37:44">
      <c r="AL246" s="243"/>
      <c r="AN246" s="243"/>
      <c r="AP246" s="243"/>
      <c r="AR246" s="243"/>
    </row>
    <row r="247" spans="37:44">
      <c r="AL247" s="243"/>
      <c r="AN247" s="243"/>
      <c r="AP247" s="243"/>
      <c r="AR247" s="243"/>
    </row>
    <row r="248" spans="37:44">
      <c r="AL248" s="243"/>
      <c r="AN248" s="243"/>
      <c r="AP248" s="243"/>
      <c r="AR248" s="243"/>
    </row>
    <row r="249" spans="37:44">
      <c r="AL249" s="243"/>
      <c r="AN249" s="243"/>
      <c r="AP249" s="243"/>
      <c r="AR249" s="243"/>
    </row>
    <row r="250" spans="37:44">
      <c r="AL250" s="243"/>
      <c r="AN250" s="243"/>
      <c r="AP250" s="243"/>
      <c r="AR250" s="243"/>
    </row>
    <row r="251" spans="37:44">
      <c r="AL251" s="243"/>
      <c r="AN251" s="243"/>
      <c r="AP251" s="243"/>
      <c r="AR251" s="243"/>
    </row>
    <row r="252" spans="37:44">
      <c r="AL252" s="243"/>
      <c r="AN252" s="243"/>
      <c r="AP252" s="243"/>
      <c r="AR252" s="243"/>
    </row>
    <row r="253" spans="37:44">
      <c r="AL253" s="243"/>
      <c r="AN253" s="243"/>
      <c r="AP253" s="243"/>
      <c r="AR253" s="243"/>
    </row>
    <row r="254" spans="37:44">
      <c r="AL254" s="243"/>
      <c r="AN254" s="243"/>
      <c r="AP254" s="243"/>
      <c r="AR254" s="243"/>
    </row>
    <row r="255" spans="37:44">
      <c r="AL255" s="243"/>
      <c r="AN255" s="243"/>
      <c r="AP255" s="243"/>
      <c r="AR255" s="243"/>
    </row>
    <row r="260" spans="37:44">
      <c r="AL260" s="243"/>
      <c r="AN260" s="243"/>
      <c r="AP260" s="243"/>
      <c r="AR260" s="243"/>
    </row>
    <row r="261" spans="37:44">
      <c r="AL261" s="243"/>
      <c r="AN261" s="243"/>
      <c r="AP261" s="243"/>
      <c r="AR261" s="243"/>
    </row>
    <row r="266" spans="37:44">
      <c r="AK266" s="242"/>
      <c r="AL266" s="242"/>
      <c r="AM266" s="242"/>
      <c r="AN266" s="242"/>
      <c r="AO266" s="242"/>
      <c r="AP266" s="242"/>
      <c r="AQ266" s="242"/>
      <c r="AR266" s="242"/>
    </row>
    <row r="267" spans="37:44">
      <c r="AK267" s="242"/>
      <c r="AL267" s="242"/>
      <c r="AM267" s="242"/>
      <c r="AN267" s="242"/>
      <c r="AO267" s="242"/>
      <c r="AP267" s="242"/>
      <c r="AQ267" s="242"/>
      <c r="AR267" s="242"/>
    </row>
    <row r="271" spans="37:44">
      <c r="AL271" s="243"/>
      <c r="AN271" s="243"/>
      <c r="AP271" s="243"/>
      <c r="AR271" s="243"/>
    </row>
    <row r="273" spans="37:44">
      <c r="AK273" s="242"/>
      <c r="AL273" s="242"/>
      <c r="AM273" s="242"/>
      <c r="AN273" s="242"/>
      <c r="AO273" s="242"/>
      <c r="AP273" s="242"/>
      <c r="AQ273" s="242"/>
      <c r="AR273" s="242"/>
    </row>
    <row r="274" spans="37:44">
      <c r="AK274" s="242"/>
      <c r="AL274" s="242"/>
      <c r="AM274" s="242"/>
      <c r="AN274" s="242"/>
      <c r="AO274" s="242"/>
      <c r="AP274" s="242"/>
      <c r="AQ274" s="242"/>
      <c r="AR274" s="242"/>
    </row>
    <row r="275" spans="37:44">
      <c r="AK275" s="242"/>
      <c r="AL275" s="242"/>
      <c r="AM275" s="242"/>
      <c r="AN275" s="242"/>
      <c r="AO275" s="242"/>
      <c r="AP275" s="242"/>
      <c r="AQ275" s="242"/>
      <c r="AR275" s="242"/>
    </row>
    <row r="278" spans="37:44">
      <c r="AK278" s="242"/>
      <c r="AL278" s="242"/>
      <c r="AM278" s="242"/>
    </row>
  </sheetData>
  <mergeCells count="1">
    <mergeCell ref="X5:AH5"/>
  </mergeCells>
  <conditionalFormatting sqref="A4">
    <cfRule type="duplicateValues" dxfId="0" priority="1"/>
  </conditionalFormatting>
  <pageMargins left="0.7" right="0.7" top="0.75" bottom="0.75" header="0.3" footer="0.3"/>
  <pageSetup scale="57" fitToHeight="3" orientation="portrait" r:id="rId1"/>
  <headerFooter>
    <oddHeader>&amp;R&amp;F
&amp;A</oddHeader>
    <oddFooter>&amp;L&amp;D&amp;C&amp;P&amp;R&amp;T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D0F178DB5B11B42BFD235293D20CACF" ma:contentTypeVersion="20" ma:contentTypeDescription="" ma:contentTypeScope="" ma:versionID="7f101a1a299ecf09edc019ba53b32b6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2022-01-17T08:00:00+00:00</OpenedDate>
    <Date1 xmlns="dc463f71-b30c-4ab2-9473-d307f9d35888">2022-01-17T08:00:00+00:00</Date1>
    <IsDocumentOrder xmlns="dc463f71-b30c-4ab2-9473-d307f9d35888">false</IsDocumentOrder>
    <IsHighlyConfidential xmlns="dc463f71-b30c-4ab2-9473-d307f9d35888">false</IsHighlyConfidential>
    <CaseCompanyNames xmlns="dc463f71-b30c-4ab2-9473-d307f9d35888">HAROLD LEMAY ENTERPRISES, INC.            </CaseCompanyNames>
    <DocketNumber xmlns="dc463f71-b30c-4ab2-9473-d307f9d35888">220050</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707FC9-930C-4AC0-9A56-236C9D480C4C}"/>
</file>

<file path=customXml/itemProps2.xml><?xml version="1.0" encoding="utf-8"?>
<ds:datastoreItem xmlns:ds="http://schemas.openxmlformats.org/officeDocument/2006/customXml" ds:itemID="{86E3D65D-8677-4804-A31A-6547826A5904}"/>
</file>

<file path=customXml/itemProps3.xml><?xml version="1.0" encoding="utf-8"?>
<ds:datastoreItem xmlns:ds="http://schemas.openxmlformats.org/officeDocument/2006/customXml" ds:itemID="{2D311DB4-3EBC-4224-B614-8F3A5117EE75}">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dc463f71-b30c-4ab2-9473-d307f9d35888"/>
    <ds:schemaRef ds:uri="http://www.w3.org/XML/1998/namespace"/>
  </ds:schemaRefs>
</ds:datastoreItem>
</file>

<file path=customXml/itemProps4.xml><?xml version="1.0" encoding="utf-8"?>
<ds:datastoreItem xmlns:ds="http://schemas.openxmlformats.org/officeDocument/2006/customXml" ds:itemID="{198FA305-A519-4B6E-9C27-D6F535D862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References</vt:lpstr>
      <vt:lpstr>DF Calculation</vt:lpstr>
      <vt:lpstr>Mapping</vt:lpstr>
      <vt:lpstr>To Populate Tariff</vt:lpstr>
      <vt:lpstr>Interject_LastPulledValues</vt:lpstr>
      <vt:lpstr>Disposal Schedule</vt:lpstr>
      <vt:lpstr>2180 (Reg.) - Price Out 2020</vt:lpstr>
      <vt:lpstr>2180 (Reg EA.) - Price Out 2020</vt:lpstr>
      <vt:lpstr>2180 (JBLM Housing) -Price 2020</vt:lpstr>
      <vt:lpstr>'Disposal Schedule'!Interject_LastPulledValues_BalanceRange</vt:lpstr>
      <vt:lpstr>'Disposal Schedule'!Interject_LastPulledValues_DescriptionRange</vt:lpstr>
      <vt:lpstr>'Disposal Schedule'!Interject_LastPulledValues_LastChangeGUID</vt:lpstr>
      <vt:lpstr>'Disposal Schedule'!Interject_LastPulledValues_PreviousLastChangeGUID</vt:lpstr>
      <vt:lpstr>'2180 (JBLM Housing) -Price 2020'!Print_Area</vt:lpstr>
      <vt:lpstr>'2180 (Reg EA.) - Price Out 2020'!Print_Area</vt:lpstr>
      <vt:lpstr>'2180 (Reg.) - Price Out 2020'!Print_Area</vt:lpstr>
      <vt:lpstr>'DF Calculation'!Print_Area</vt:lpstr>
      <vt:lpstr>'Disposal Schedule'!Print_Area</vt:lpstr>
      <vt:lpstr>Mapping!Print_Area</vt:lpstr>
      <vt:lpstr>'To Populate Tariff'!Print_Area</vt:lpstr>
      <vt:lpstr>'2180 (JBLM Housing) -Price 2020'!Print_Titles</vt:lpstr>
      <vt:lpstr>'2180 (Reg EA.) - Price Out 2020'!Print_Titles</vt:lpstr>
      <vt:lpstr>'2180 (Reg.) - Price Out 2020'!Print_Titles</vt:lpstr>
      <vt:lpstr>'DF Calculation'!Print_Titles</vt:lpstr>
      <vt:lpstr>'Disposal Schedule'!Print_Titles</vt:lpstr>
      <vt:lpstr>Mapping!Print_Titles</vt:lpstr>
      <vt:lpstr>'To Populate Tariff'!Print_Titles</vt:lpstr>
    </vt:vector>
  </TitlesOfParts>
  <Company>Washington Utilities and Transportation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Young</dc:creator>
  <cp:lastModifiedBy>Heather Garland</cp:lastModifiedBy>
  <cp:lastPrinted>2022-01-17T20:39:37Z</cp:lastPrinted>
  <dcterms:created xsi:type="dcterms:W3CDTF">2013-10-29T22:33:54Z</dcterms:created>
  <dcterms:modified xsi:type="dcterms:W3CDTF">2022-01-17T20:39:52Z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0x0101006E56B4D1795A2E4DB2F0B01679ED314A00DD0F178DB5B11B42BFD235293D20CACF</vt:lpwstr>
  </property>
  <property fmtid="{D5CDD505-2E9C-101B-9397-08002B2CF9AE}" pid="3" name="_docset_NoMedatataSyncRequired">
    <vt:lpwstr>False</vt:lpwstr>
  </property>
  <property fmtid="{D5CDD505-2E9C-101B-9397-08002B2CF9AE}" pid="4" name="IsEFSEC">
    <vt:bool>false</vt:bool>
  </property>
</Properties>
</file>