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D-183-01\share\Division\Accounting\WUTC\2021\4176 Kent-Meridian\Disposal Increase\To File\Revision 11-22-21\"/>
    </mc:Choice>
  </mc:AlternateContent>
  <xr:revisionPtr revIDLastSave="0" documentId="13_ncr:1_{E5A58619-CF0A-420D-8DD4-AF63ACFE4B81}" xr6:coauthVersionLast="46" xr6:coauthVersionMax="46" xr10:uidLastSave="{00000000-0000-0000-0000-000000000000}"/>
  <bookViews>
    <workbookView xWindow="-110" yWindow="-110" windowWidth="19420" windowHeight="10420" tabRatio="730" xr2:uid="{00000000-000D-0000-FFFF-FFFF00000000}"/>
  </bookViews>
  <sheets>
    <sheet name="References" sheetId="4" r:id="rId1"/>
    <sheet name="Staff Calcs " sheetId="7" r:id="rId2"/>
    <sheet name="Tariff Changes" sheetId="8" r:id="rId3"/>
    <sheet name="Disposal" sheetId="9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49" i="7" l="1"/>
  <c r="N49" i="7" s="1"/>
  <c r="N2" i="7"/>
  <c r="N9" i="7"/>
  <c r="E27" i="8"/>
  <c r="D28" i="8"/>
  <c r="D29" i="8"/>
  <c r="D30" i="8"/>
  <c r="D31" i="8"/>
  <c r="D32" i="8"/>
  <c r="D33" i="8"/>
  <c r="D34" i="8"/>
  <c r="D27" i="8"/>
  <c r="C28" i="8"/>
  <c r="C29" i="8"/>
  <c r="C30" i="8"/>
  <c r="C31" i="8"/>
  <c r="C32" i="8"/>
  <c r="C33" i="8"/>
  <c r="C34" i="8"/>
  <c r="C27" i="8"/>
  <c r="D147" i="8"/>
  <c r="D148" i="8"/>
  <c r="D149" i="8"/>
  <c r="D150" i="8"/>
  <c r="E150" i="8" s="1"/>
  <c r="D151" i="8"/>
  <c r="D152" i="8"/>
  <c r="C148" i="8"/>
  <c r="C149" i="8"/>
  <c r="C150" i="8"/>
  <c r="C151" i="8"/>
  <c r="C152" i="8"/>
  <c r="C147" i="8"/>
  <c r="D145" i="8"/>
  <c r="D144" i="8"/>
  <c r="D143" i="8"/>
  <c r="D142" i="8"/>
  <c r="D141" i="8"/>
  <c r="D140" i="8"/>
  <c r="E143" i="8"/>
  <c r="C141" i="8"/>
  <c r="C142" i="8"/>
  <c r="C143" i="8"/>
  <c r="C144" i="8"/>
  <c r="C145" i="8"/>
  <c r="C140" i="8"/>
  <c r="C133" i="8"/>
  <c r="D133" i="8"/>
  <c r="E133" i="8" s="1"/>
  <c r="C134" i="8"/>
  <c r="D134" i="8"/>
  <c r="C135" i="8"/>
  <c r="D135" i="8"/>
  <c r="C136" i="8"/>
  <c r="D136" i="8"/>
  <c r="C137" i="8"/>
  <c r="D137" i="8"/>
  <c r="D132" i="8"/>
  <c r="C132" i="8"/>
  <c r="D130" i="8"/>
  <c r="D129" i="8"/>
  <c r="D128" i="8"/>
  <c r="D127" i="8"/>
  <c r="D126" i="8"/>
  <c r="D125" i="8"/>
  <c r="C126" i="8"/>
  <c r="C127" i="8"/>
  <c r="C128" i="8"/>
  <c r="C129" i="8"/>
  <c r="C130" i="8"/>
  <c r="C125" i="8"/>
  <c r="E125" i="8" s="1"/>
  <c r="D122" i="8"/>
  <c r="D121" i="8"/>
  <c r="D120" i="8"/>
  <c r="C122" i="8"/>
  <c r="C121" i="8"/>
  <c r="C120" i="8"/>
  <c r="D118" i="8"/>
  <c r="D117" i="8"/>
  <c r="C118" i="8"/>
  <c r="C117" i="8"/>
  <c r="D116" i="8"/>
  <c r="C116" i="8"/>
  <c r="D113" i="8"/>
  <c r="D112" i="8"/>
  <c r="D111" i="8"/>
  <c r="D110" i="8"/>
  <c r="D109" i="8"/>
  <c r="D108" i="8"/>
  <c r="D107" i="8"/>
  <c r="C108" i="8"/>
  <c r="C109" i="8"/>
  <c r="C110" i="8"/>
  <c r="C111" i="8"/>
  <c r="C112" i="8"/>
  <c r="C113" i="8"/>
  <c r="C107" i="8"/>
  <c r="D105" i="8"/>
  <c r="D104" i="8"/>
  <c r="D103" i="8"/>
  <c r="D102" i="8"/>
  <c r="D101" i="8"/>
  <c r="C102" i="8"/>
  <c r="E102" i="8" s="1"/>
  <c r="C103" i="8"/>
  <c r="C104" i="8"/>
  <c r="E104" i="8" s="1"/>
  <c r="C105" i="8"/>
  <c r="C101" i="8"/>
  <c r="D100" i="8"/>
  <c r="C100" i="8"/>
  <c r="D99" i="8"/>
  <c r="C99" i="8"/>
  <c r="D98" i="8"/>
  <c r="D97" i="8"/>
  <c r="D96" i="8"/>
  <c r="C97" i="8"/>
  <c r="C98" i="8"/>
  <c r="C96" i="8"/>
  <c r="D94" i="8"/>
  <c r="E94" i="8" s="1"/>
  <c r="D93" i="8"/>
  <c r="D92" i="8"/>
  <c r="D91" i="8"/>
  <c r="D90" i="8"/>
  <c r="D89" i="8"/>
  <c r="D88" i="8"/>
  <c r="D87" i="8"/>
  <c r="C88" i="8"/>
  <c r="C89" i="8"/>
  <c r="C90" i="8"/>
  <c r="C91" i="8"/>
  <c r="C92" i="8"/>
  <c r="C93" i="8"/>
  <c r="C94" i="8"/>
  <c r="C87" i="8"/>
  <c r="D86" i="8"/>
  <c r="C86" i="8"/>
  <c r="D85" i="8"/>
  <c r="C85" i="8"/>
  <c r="D81" i="8"/>
  <c r="D80" i="8"/>
  <c r="C81" i="8"/>
  <c r="C80" i="8"/>
  <c r="D77" i="8"/>
  <c r="D76" i="8"/>
  <c r="D75" i="8"/>
  <c r="D74" i="8"/>
  <c r="D73" i="8"/>
  <c r="D72" i="8"/>
  <c r="C73" i="8"/>
  <c r="C74" i="8"/>
  <c r="C75" i="8"/>
  <c r="C76" i="8"/>
  <c r="C77" i="8"/>
  <c r="C72" i="8"/>
  <c r="D65" i="8"/>
  <c r="D67" i="8"/>
  <c r="D69" i="8"/>
  <c r="D62" i="8"/>
  <c r="D61" i="8"/>
  <c r="D68" i="8" s="1"/>
  <c r="D60" i="8"/>
  <c r="D59" i="8"/>
  <c r="D66" i="8" s="1"/>
  <c r="D58" i="8"/>
  <c r="D57" i="8"/>
  <c r="D64" i="8" s="1"/>
  <c r="C58" i="8"/>
  <c r="C65" i="8" s="1"/>
  <c r="E65" i="8" s="1"/>
  <c r="C59" i="8"/>
  <c r="C66" i="8" s="1"/>
  <c r="C60" i="8"/>
  <c r="C67" i="8" s="1"/>
  <c r="C61" i="8"/>
  <c r="C68" i="8" s="1"/>
  <c r="C62" i="8"/>
  <c r="C69" i="8" s="1"/>
  <c r="E69" i="8" s="1"/>
  <c r="C57" i="8"/>
  <c r="E57" i="8" s="1"/>
  <c r="E58" i="8"/>
  <c r="D54" i="8"/>
  <c r="D53" i="8"/>
  <c r="D52" i="8"/>
  <c r="D51" i="8"/>
  <c r="D50" i="8"/>
  <c r="D49" i="8"/>
  <c r="D48" i="8"/>
  <c r="C49" i="8"/>
  <c r="C50" i="8"/>
  <c r="C51" i="8"/>
  <c r="C52" i="8"/>
  <c r="C53" i="8"/>
  <c r="C54" i="8"/>
  <c r="C48" i="8"/>
  <c r="D46" i="8"/>
  <c r="D45" i="8"/>
  <c r="D44" i="8"/>
  <c r="D43" i="8"/>
  <c r="D42" i="8"/>
  <c r="D41" i="8"/>
  <c r="D40" i="8"/>
  <c r="D39" i="8"/>
  <c r="D38" i="8"/>
  <c r="D37" i="8"/>
  <c r="D36" i="8"/>
  <c r="C37" i="8"/>
  <c r="C38" i="8"/>
  <c r="C39" i="8"/>
  <c r="C40" i="8"/>
  <c r="C41" i="8"/>
  <c r="C42" i="8"/>
  <c r="C43" i="8"/>
  <c r="C44" i="8"/>
  <c r="C45" i="8"/>
  <c r="C46" i="8"/>
  <c r="C36" i="8"/>
  <c r="E32" i="8"/>
  <c r="D26" i="8"/>
  <c r="C26" i="8"/>
  <c r="D25" i="8"/>
  <c r="D24" i="8"/>
  <c r="C25" i="8"/>
  <c r="C24" i="8"/>
  <c r="D23" i="8"/>
  <c r="C23" i="8"/>
  <c r="D20" i="8"/>
  <c r="C20" i="8"/>
  <c r="D13" i="8"/>
  <c r="C13" i="8"/>
  <c r="C15" i="8"/>
  <c r="D15" i="8"/>
  <c r="E15" i="8" s="1"/>
  <c r="C16" i="8"/>
  <c r="D16" i="8"/>
  <c r="C17" i="8"/>
  <c r="D17" i="8"/>
  <c r="D14" i="8"/>
  <c r="C14" i="8"/>
  <c r="C12" i="8"/>
  <c r="D12" i="8"/>
  <c r="E12" i="8"/>
  <c r="D120" i="7"/>
  <c r="E152" i="8"/>
  <c r="E141" i="8"/>
  <c r="E33" i="8"/>
  <c r="C11" i="8"/>
  <c r="C10" i="8"/>
  <c r="C9" i="8"/>
  <c r="C8" i="8"/>
  <c r="E131" i="8"/>
  <c r="E128" i="8"/>
  <c r="E119" i="8"/>
  <c r="E47" i="8"/>
  <c r="E132" i="8" l="1"/>
  <c r="E126" i="8"/>
  <c r="E130" i="8"/>
  <c r="E135" i="8"/>
  <c r="E137" i="8"/>
  <c r="E145" i="8"/>
  <c r="E148" i="8"/>
  <c r="C64" i="8"/>
  <c r="E64" i="8" s="1"/>
  <c r="E67" i="8"/>
  <c r="E147" i="8"/>
  <c r="E100" i="8"/>
  <c r="E99" i="8"/>
  <c r="E93" i="8"/>
  <c r="E136" i="8"/>
  <c r="E142" i="8"/>
  <c r="E151" i="8"/>
  <c r="E16" i="8"/>
  <c r="E66" i="8"/>
  <c r="E68" i="8"/>
  <c r="E101" i="8"/>
  <c r="E103" i="8"/>
  <c r="E17" i="8"/>
  <c r="E34" i="8"/>
  <c r="E92" i="8"/>
  <c r="E129" i="8"/>
  <c r="E134" i="8"/>
  <c r="E140" i="8"/>
  <c r="E144" i="8"/>
  <c r="E149" i="8"/>
  <c r="G113" i="7"/>
  <c r="G112" i="7"/>
  <c r="F112" i="7" l="1"/>
  <c r="H112" i="7" s="1"/>
  <c r="F113" i="7"/>
  <c r="H113" i="7" s="1"/>
  <c r="B3" i="4"/>
  <c r="G50" i="4" l="1"/>
  <c r="G52" i="4"/>
  <c r="D121" i="7"/>
  <c r="B53" i="4"/>
  <c r="G106" i="7"/>
  <c r="G107" i="7"/>
  <c r="H107" i="7" s="1"/>
  <c r="G108" i="7"/>
  <c r="H108" i="7" s="1"/>
  <c r="G109" i="7"/>
  <c r="H109" i="7" s="1"/>
  <c r="G110" i="7"/>
  <c r="G111" i="7"/>
  <c r="G105" i="7"/>
  <c r="H105" i="7" s="1"/>
  <c r="H106" i="7"/>
  <c r="H110" i="7"/>
  <c r="H111" i="7"/>
  <c r="F111" i="7"/>
  <c r="F110" i="7"/>
  <c r="F109" i="7"/>
  <c r="F108" i="7"/>
  <c r="F107" i="7"/>
  <c r="F106" i="7"/>
  <c r="F105" i="7"/>
  <c r="F104" i="7"/>
  <c r="F103" i="7"/>
  <c r="F102" i="7"/>
  <c r="F101" i="7"/>
  <c r="F100" i="7"/>
  <c r="F99" i="7"/>
  <c r="F98" i="7"/>
  <c r="B48" i="4" l="1"/>
  <c r="F15" i="7" l="1"/>
  <c r="F35" i="7"/>
  <c r="F36" i="7"/>
  <c r="F37" i="7"/>
  <c r="F38" i="7"/>
  <c r="F39" i="7"/>
  <c r="F40" i="7"/>
  <c r="F41" i="7"/>
  <c r="F42" i="7"/>
  <c r="F43" i="7"/>
  <c r="F34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16" i="7"/>
  <c r="O16" i="7" l="1"/>
  <c r="G47" i="4" l="1"/>
  <c r="G94" i="7" l="1"/>
  <c r="G95" i="7"/>
  <c r="G96" i="7"/>
  <c r="G97" i="7"/>
  <c r="G93" i="7"/>
  <c r="G92" i="7"/>
  <c r="G88" i="7"/>
  <c r="G89" i="7"/>
  <c r="G90" i="7"/>
  <c r="G91" i="7"/>
  <c r="G86" i="7"/>
  <c r="G87" i="7"/>
  <c r="G85" i="7"/>
  <c r="G84" i="7"/>
  <c r="G83" i="7"/>
  <c r="G82" i="7"/>
  <c r="G81" i="7"/>
  <c r="G80" i="7"/>
  <c r="G79" i="7"/>
  <c r="G78" i="7"/>
  <c r="G77" i="7"/>
  <c r="G16" i="7"/>
  <c r="G76" i="7"/>
  <c r="G72" i="7"/>
  <c r="G73" i="7"/>
  <c r="G74" i="7"/>
  <c r="G75" i="7"/>
  <c r="G71" i="7"/>
  <c r="G70" i="7"/>
  <c r="G69" i="7"/>
  <c r="G67" i="7"/>
  <c r="G68" i="7"/>
  <c r="G66" i="7"/>
  <c r="G65" i="7"/>
  <c r="G64" i="7"/>
  <c r="G58" i="7"/>
  <c r="G99" i="7" s="1"/>
  <c r="H99" i="7" s="1"/>
  <c r="G59" i="7"/>
  <c r="G100" i="7" s="1"/>
  <c r="H100" i="7" s="1"/>
  <c r="G60" i="7"/>
  <c r="G101" i="7" s="1"/>
  <c r="H101" i="7" s="1"/>
  <c r="G61" i="7"/>
  <c r="G102" i="7" s="1"/>
  <c r="H102" i="7" s="1"/>
  <c r="G62" i="7"/>
  <c r="G103" i="7" s="1"/>
  <c r="H103" i="7" s="1"/>
  <c r="G63" i="7"/>
  <c r="G104" i="7" s="1"/>
  <c r="H104" i="7" s="1"/>
  <c r="G57" i="7"/>
  <c r="G98" i="7" s="1"/>
  <c r="H98" i="7" s="1"/>
  <c r="G56" i="7"/>
  <c r="G55" i="7"/>
  <c r="G54" i="7"/>
  <c r="G53" i="7"/>
  <c r="G52" i="7"/>
  <c r="G51" i="7"/>
  <c r="G50" i="7"/>
  <c r="G49" i="7"/>
  <c r="F97" i="7"/>
  <c r="F96" i="7"/>
  <c r="F95" i="7"/>
  <c r="F94" i="7"/>
  <c r="F93" i="7"/>
  <c r="H93" i="7" s="1"/>
  <c r="F92" i="7"/>
  <c r="F91" i="7"/>
  <c r="F90" i="7"/>
  <c r="F89" i="7"/>
  <c r="F88" i="7"/>
  <c r="F87" i="7"/>
  <c r="F86" i="7"/>
  <c r="F85" i="7"/>
  <c r="H85" i="7" s="1"/>
  <c r="F84" i="7"/>
  <c r="F83" i="7"/>
  <c r="F82" i="7"/>
  <c r="F81" i="7"/>
  <c r="H81" i="7" s="1"/>
  <c r="F80" i="7"/>
  <c r="F79" i="7"/>
  <c r="F78" i="7"/>
  <c r="F77" i="7"/>
  <c r="H77" i="7" s="1"/>
  <c r="F76" i="7"/>
  <c r="F75" i="7"/>
  <c r="F74" i="7"/>
  <c r="F73" i="7"/>
  <c r="F72" i="7"/>
  <c r="F71" i="7"/>
  <c r="F70" i="7"/>
  <c r="F69" i="7"/>
  <c r="H69" i="7" s="1"/>
  <c r="F68" i="7"/>
  <c r="F67" i="7"/>
  <c r="F66" i="7"/>
  <c r="F65" i="7"/>
  <c r="F64" i="7"/>
  <c r="F63" i="7"/>
  <c r="F62" i="7"/>
  <c r="F61" i="7"/>
  <c r="F60" i="7"/>
  <c r="F59" i="7"/>
  <c r="F58" i="7"/>
  <c r="F57" i="7"/>
  <c r="F56" i="7"/>
  <c r="F55" i="7"/>
  <c r="F54" i="7"/>
  <c r="F53" i="7"/>
  <c r="H53" i="7" s="1"/>
  <c r="F52" i="7"/>
  <c r="F51" i="7"/>
  <c r="F50" i="7"/>
  <c r="H82" i="7" l="1"/>
  <c r="H52" i="7"/>
  <c r="H56" i="7"/>
  <c r="H64" i="7"/>
  <c r="H90" i="7"/>
  <c r="H94" i="7"/>
  <c r="H88" i="7"/>
  <c r="H67" i="7"/>
  <c r="H75" i="7"/>
  <c r="H73" i="7"/>
  <c r="H86" i="7"/>
  <c r="H58" i="7"/>
  <c r="H62" i="7"/>
  <c r="H50" i="7"/>
  <c r="H66" i="7"/>
  <c r="H79" i="7"/>
  <c r="H55" i="7"/>
  <c r="H68" i="7"/>
  <c r="H72" i="7"/>
  <c r="H92" i="7"/>
  <c r="H96" i="7"/>
  <c r="H54" i="7"/>
  <c r="H70" i="7"/>
  <c r="H76" i="7"/>
  <c r="H83" i="7"/>
  <c r="H59" i="7"/>
  <c r="H63" i="7"/>
  <c r="H71" i="7"/>
  <c r="H16" i="7"/>
  <c r="H80" i="7"/>
  <c r="H84" i="7"/>
  <c r="H91" i="7"/>
  <c r="H95" i="7"/>
  <c r="H60" i="7"/>
  <c r="H74" i="7"/>
  <c r="H87" i="7"/>
  <c r="H57" i="7"/>
  <c r="H65" i="7"/>
  <c r="H78" i="7"/>
  <c r="H89" i="7"/>
  <c r="H97" i="7"/>
  <c r="H61" i="7"/>
  <c r="H51" i="7"/>
  <c r="G38" i="7" l="1"/>
  <c r="G39" i="7"/>
  <c r="G40" i="7"/>
  <c r="G41" i="7"/>
  <c r="G42" i="7"/>
  <c r="G43" i="7"/>
  <c r="G37" i="7"/>
  <c r="G36" i="7"/>
  <c r="G35" i="7"/>
  <c r="G34" i="7"/>
  <c r="G30" i="7"/>
  <c r="G26" i="7"/>
  <c r="G27" i="7"/>
  <c r="G28" i="7"/>
  <c r="G29" i="7"/>
  <c r="G25" i="7"/>
  <c r="G24" i="7"/>
  <c r="G19" i="7"/>
  <c r="G20" i="7"/>
  <c r="G21" i="7"/>
  <c r="G22" i="7"/>
  <c r="G23" i="7"/>
  <c r="G18" i="7"/>
  <c r="G17" i="7"/>
  <c r="G15" i="7"/>
  <c r="O10" i="7"/>
  <c r="G10" i="7"/>
  <c r="F45" i="7" l="1"/>
  <c r="O43" i="7" l="1"/>
  <c r="H43" i="7"/>
  <c r="O42" i="7"/>
  <c r="H42" i="7"/>
  <c r="O41" i="7"/>
  <c r="H41" i="7"/>
  <c r="O30" i="7"/>
  <c r="H30" i="7"/>
  <c r="O29" i="7"/>
  <c r="H29" i="7"/>
  <c r="O28" i="7"/>
  <c r="H28" i="7"/>
  <c r="O23" i="7" l="1"/>
  <c r="H23" i="7"/>
  <c r="G9" i="7" l="1"/>
  <c r="G8" i="7"/>
  <c r="G6" i="7"/>
  <c r="G5" i="7"/>
  <c r="G4" i="7"/>
  <c r="O9" i="7"/>
  <c r="O8" i="7"/>
  <c r="O7" i="7"/>
  <c r="G7" i="7"/>
  <c r="O6" i="7"/>
  <c r="O5" i="7"/>
  <c r="O4" i="7"/>
  <c r="O3" i="7"/>
  <c r="G3" i="7"/>
  <c r="O2" i="7"/>
  <c r="G2" i="7"/>
  <c r="O24" i="7" l="1"/>
  <c r="O25" i="7"/>
  <c r="O26" i="7"/>
  <c r="O27" i="7"/>
  <c r="O17" i="7"/>
  <c r="O15" i="7"/>
  <c r="D33" i="7"/>
  <c r="F33" i="7"/>
  <c r="H27" i="7"/>
  <c r="H26" i="7"/>
  <c r="H25" i="7"/>
  <c r="H24" i="7"/>
  <c r="H18" i="7" l="1"/>
  <c r="H19" i="7"/>
  <c r="H22" i="7"/>
  <c r="H21" i="7"/>
  <c r="H20" i="7"/>
  <c r="H17" i="7"/>
  <c r="O22" i="7"/>
  <c r="O21" i="7"/>
  <c r="O20" i="7"/>
  <c r="O19" i="7"/>
  <c r="O18" i="7"/>
  <c r="H15" i="7"/>
  <c r="O33" i="7" l="1"/>
  <c r="H33" i="7"/>
  <c r="B54" i="4" l="1"/>
  <c r="B55" i="4" s="1"/>
  <c r="D45" i="7" l="1"/>
  <c r="D12" i="7" l="1"/>
  <c r="D46" i="7" s="1"/>
  <c r="B51" i="4" l="1"/>
  <c r="O12" i="7" l="1"/>
  <c r="B4" i="4" l="1"/>
  <c r="B5" i="4"/>
  <c r="B6" i="4"/>
  <c r="D5" i="4" l="1"/>
  <c r="C4" i="4"/>
  <c r="E4" i="4"/>
  <c r="G4" i="4"/>
  <c r="F5" i="4"/>
  <c r="C5" i="4"/>
  <c r="D4" i="4"/>
  <c r="F4" i="4"/>
  <c r="H4" i="4"/>
  <c r="C6" i="4"/>
  <c r="H6" i="4"/>
  <c r="E5" i="4"/>
  <c r="G5" i="4"/>
  <c r="H5" i="4"/>
  <c r="C3" i="4"/>
  <c r="D3" i="4"/>
  <c r="E3" i="4"/>
  <c r="F3" i="4"/>
  <c r="G3" i="4"/>
  <c r="H3" i="4"/>
  <c r="G6" i="4" l="1"/>
  <c r="F6" i="4"/>
  <c r="E6" i="4"/>
  <c r="D6" i="4"/>
  <c r="B49" i="4" l="1"/>
  <c r="B52" i="4" s="1"/>
  <c r="C48" i="4"/>
  <c r="C47" i="4"/>
  <c r="B9" i="4"/>
  <c r="E10" i="7" s="1"/>
  <c r="F10" i="7" s="1"/>
  <c r="B8" i="4"/>
  <c r="B7" i="4"/>
  <c r="E49" i="7" l="1"/>
  <c r="F49" i="7" s="1"/>
  <c r="H49" i="7" s="1"/>
  <c r="H10" i="7"/>
  <c r="E6" i="7"/>
  <c r="F6" i="7" s="1"/>
  <c r="H6" i="7" s="1"/>
  <c r="E2" i="7"/>
  <c r="F2" i="7" s="1"/>
  <c r="H2" i="7" s="1"/>
  <c r="E9" i="7"/>
  <c r="F9" i="7" s="1"/>
  <c r="H9" i="7" s="1"/>
  <c r="E7" i="7"/>
  <c r="F7" i="7" s="1"/>
  <c r="H7" i="7" s="1"/>
  <c r="E4" i="7"/>
  <c r="F4" i="7" s="1"/>
  <c r="H4" i="7" s="1"/>
  <c r="E3" i="7"/>
  <c r="F3" i="7" s="1"/>
  <c r="H3" i="7" s="1"/>
  <c r="E8" i="7"/>
  <c r="F8" i="7" s="1"/>
  <c r="H8" i="7" s="1"/>
  <c r="E5" i="7"/>
  <c r="F5" i="7" s="1"/>
  <c r="H5" i="7" s="1"/>
  <c r="H8" i="4"/>
  <c r="G8" i="4"/>
  <c r="F8" i="4"/>
  <c r="E8" i="4"/>
  <c r="D8" i="4"/>
  <c r="C8" i="4"/>
  <c r="H7" i="4"/>
  <c r="C7" i="4"/>
  <c r="G7" i="4"/>
  <c r="F7" i="4"/>
  <c r="E7" i="4"/>
  <c r="D7" i="4"/>
  <c r="H9" i="4"/>
  <c r="G9" i="4"/>
  <c r="F9" i="4"/>
  <c r="E9" i="4"/>
  <c r="D9" i="4"/>
  <c r="C9" i="4"/>
  <c r="C49" i="4"/>
  <c r="O35" i="7" l="1"/>
  <c r="H35" i="7"/>
  <c r="H38" i="7"/>
  <c r="O38" i="7"/>
  <c r="H39" i="7"/>
  <c r="O39" i="7"/>
  <c r="H36" i="7"/>
  <c r="O36" i="7"/>
  <c r="O40" i="7"/>
  <c r="H40" i="7"/>
  <c r="T115" i="7"/>
  <c r="H12" i="7" l="1"/>
  <c r="F12" i="7"/>
  <c r="F46" i="7" s="1"/>
  <c r="D122" i="7" s="1"/>
  <c r="H34" i="7"/>
  <c r="O34" i="7"/>
  <c r="H37" i="7"/>
  <c r="O37" i="7"/>
  <c r="O45" i="7" l="1"/>
  <c r="H45" i="7"/>
  <c r="O46" i="7" l="1"/>
  <c r="H46" i="7"/>
  <c r="D123" i="7" s="1"/>
  <c r="I113" i="7" l="1"/>
  <c r="J113" i="7" s="1"/>
  <c r="K113" i="7" s="1"/>
  <c r="L113" i="7" s="1"/>
  <c r="I112" i="7"/>
  <c r="J112" i="7" s="1"/>
  <c r="K112" i="7" s="1"/>
  <c r="L112" i="7" s="1"/>
  <c r="I107" i="7"/>
  <c r="J107" i="7" s="1"/>
  <c r="K107" i="7" s="1"/>
  <c r="L107" i="7" s="1"/>
  <c r="I111" i="7"/>
  <c r="J111" i="7" s="1"/>
  <c r="K111" i="7" s="1"/>
  <c r="L111" i="7" s="1"/>
  <c r="I106" i="7"/>
  <c r="J106" i="7" s="1"/>
  <c r="K106" i="7" s="1"/>
  <c r="L106" i="7" s="1"/>
  <c r="I105" i="7"/>
  <c r="J105" i="7" s="1"/>
  <c r="K105" i="7" s="1"/>
  <c r="L105" i="7" s="1"/>
  <c r="I109" i="7"/>
  <c r="J109" i="7" s="1"/>
  <c r="K109" i="7" s="1"/>
  <c r="L109" i="7" s="1"/>
  <c r="I110" i="7"/>
  <c r="J110" i="7" s="1"/>
  <c r="K110" i="7" s="1"/>
  <c r="L110" i="7" s="1"/>
  <c r="I108" i="7"/>
  <c r="J108" i="7" s="1"/>
  <c r="K108" i="7" s="1"/>
  <c r="L108" i="7" s="1"/>
  <c r="I99" i="7"/>
  <c r="J99" i="7" s="1"/>
  <c r="K99" i="7" s="1"/>
  <c r="L99" i="7" s="1"/>
  <c r="I104" i="7"/>
  <c r="J104" i="7" s="1"/>
  <c r="K104" i="7" s="1"/>
  <c r="L104" i="7" s="1"/>
  <c r="I100" i="7"/>
  <c r="J100" i="7" s="1"/>
  <c r="K100" i="7" s="1"/>
  <c r="L100" i="7" s="1"/>
  <c r="I103" i="7"/>
  <c r="J103" i="7" s="1"/>
  <c r="K103" i="7" s="1"/>
  <c r="L103" i="7" s="1"/>
  <c r="I102" i="7"/>
  <c r="J102" i="7" s="1"/>
  <c r="K102" i="7" s="1"/>
  <c r="L102" i="7" s="1"/>
  <c r="I101" i="7"/>
  <c r="J101" i="7" s="1"/>
  <c r="K101" i="7" s="1"/>
  <c r="L101" i="7" s="1"/>
  <c r="I98" i="7"/>
  <c r="J98" i="7" s="1"/>
  <c r="K98" i="7" s="1"/>
  <c r="L98" i="7" s="1"/>
  <c r="I10" i="7"/>
  <c r="J10" i="7" s="1"/>
  <c r="K10" i="7" s="1"/>
  <c r="L10" i="7" s="1"/>
  <c r="N10" i="7" s="1"/>
  <c r="R10" i="7" s="1"/>
  <c r="S10" i="7" s="1"/>
  <c r="T10" i="7" s="1"/>
  <c r="I50" i="7"/>
  <c r="J50" i="7" s="1"/>
  <c r="K50" i="7" s="1"/>
  <c r="L50" i="7" s="1"/>
  <c r="N50" i="7" s="1"/>
  <c r="I54" i="7"/>
  <c r="J54" i="7" s="1"/>
  <c r="K54" i="7" s="1"/>
  <c r="L54" i="7" s="1"/>
  <c r="I58" i="7"/>
  <c r="J58" i="7" s="1"/>
  <c r="K58" i="7" s="1"/>
  <c r="L58" i="7" s="1"/>
  <c r="N58" i="7" s="1"/>
  <c r="I62" i="7"/>
  <c r="J62" i="7" s="1"/>
  <c r="K62" i="7" s="1"/>
  <c r="L62" i="7" s="1"/>
  <c r="I66" i="7"/>
  <c r="J66" i="7" s="1"/>
  <c r="K66" i="7" s="1"/>
  <c r="L66" i="7" s="1"/>
  <c r="I70" i="7"/>
  <c r="J70" i="7" s="1"/>
  <c r="K70" i="7" s="1"/>
  <c r="L70" i="7" s="1"/>
  <c r="I74" i="7"/>
  <c r="J74" i="7" s="1"/>
  <c r="K74" i="7" s="1"/>
  <c r="L74" i="7" s="1"/>
  <c r="I76" i="7"/>
  <c r="J76" i="7" s="1"/>
  <c r="K76" i="7" s="1"/>
  <c r="L76" i="7" s="1"/>
  <c r="I79" i="7"/>
  <c r="J79" i="7" s="1"/>
  <c r="K79" i="7" s="1"/>
  <c r="L79" i="7" s="1"/>
  <c r="I83" i="7"/>
  <c r="J83" i="7" s="1"/>
  <c r="K83" i="7" s="1"/>
  <c r="L83" i="7" s="1"/>
  <c r="I87" i="7"/>
  <c r="J87" i="7" s="1"/>
  <c r="K87" i="7" s="1"/>
  <c r="L87" i="7" s="1"/>
  <c r="I91" i="7"/>
  <c r="J91" i="7" s="1"/>
  <c r="K91" i="7" s="1"/>
  <c r="L91" i="7" s="1"/>
  <c r="I95" i="7"/>
  <c r="J95" i="7" s="1"/>
  <c r="K95" i="7" s="1"/>
  <c r="L95" i="7" s="1"/>
  <c r="I53" i="7"/>
  <c r="J53" i="7" s="1"/>
  <c r="K53" i="7" s="1"/>
  <c r="L53" i="7" s="1"/>
  <c r="N53" i="7" s="1"/>
  <c r="I61" i="7"/>
  <c r="J61" i="7" s="1"/>
  <c r="K61" i="7" s="1"/>
  <c r="L61" i="7" s="1"/>
  <c r="N61" i="7" s="1"/>
  <c r="I73" i="7"/>
  <c r="J73" i="7" s="1"/>
  <c r="K73" i="7" s="1"/>
  <c r="L73" i="7" s="1"/>
  <c r="I86" i="7"/>
  <c r="J86" i="7" s="1"/>
  <c r="K86" i="7" s="1"/>
  <c r="L86" i="7" s="1"/>
  <c r="I51" i="7"/>
  <c r="J51" i="7" s="1"/>
  <c r="K51" i="7" s="1"/>
  <c r="L51" i="7" s="1"/>
  <c r="N51" i="7" s="1"/>
  <c r="I55" i="7"/>
  <c r="J55" i="7" s="1"/>
  <c r="K55" i="7" s="1"/>
  <c r="L55" i="7" s="1"/>
  <c r="I59" i="7"/>
  <c r="J59" i="7" s="1"/>
  <c r="K59" i="7" s="1"/>
  <c r="L59" i="7" s="1"/>
  <c r="I63" i="7"/>
  <c r="J63" i="7" s="1"/>
  <c r="K63" i="7" s="1"/>
  <c r="L63" i="7" s="1"/>
  <c r="I67" i="7"/>
  <c r="J67" i="7" s="1"/>
  <c r="K67" i="7" s="1"/>
  <c r="L67" i="7" s="1"/>
  <c r="I71" i="7"/>
  <c r="J71" i="7" s="1"/>
  <c r="K71" i="7" s="1"/>
  <c r="L71" i="7" s="1"/>
  <c r="I75" i="7"/>
  <c r="J75" i="7" s="1"/>
  <c r="K75" i="7" s="1"/>
  <c r="L75" i="7" s="1"/>
  <c r="I16" i="7"/>
  <c r="J16" i="7" s="1"/>
  <c r="K16" i="7" s="1"/>
  <c r="L16" i="7" s="1"/>
  <c r="N16" i="7" s="1"/>
  <c r="I80" i="7"/>
  <c r="J80" i="7" s="1"/>
  <c r="K80" i="7" s="1"/>
  <c r="L80" i="7" s="1"/>
  <c r="I84" i="7"/>
  <c r="J84" i="7" s="1"/>
  <c r="K84" i="7" s="1"/>
  <c r="L84" i="7" s="1"/>
  <c r="I88" i="7"/>
  <c r="J88" i="7" s="1"/>
  <c r="K88" i="7" s="1"/>
  <c r="L88" i="7" s="1"/>
  <c r="I92" i="7"/>
  <c r="J92" i="7" s="1"/>
  <c r="K92" i="7" s="1"/>
  <c r="L92" i="7" s="1"/>
  <c r="I96" i="7"/>
  <c r="J96" i="7" s="1"/>
  <c r="K96" i="7" s="1"/>
  <c r="L96" i="7" s="1"/>
  <c r="I57" i="7"/>
  <c r="J57" i="7" s="1"/>
  <c r="K57" i="7" s="1"/>
  <c r="L57" i="7" s="1"/>
  <c r="N57" i="7" s="1"/>
  <c r="I65" i="7"/>
  <c r="J65" i="7" s="1"/>
  <c r="K65" i="7" s="1"/>
  <c r="L65" i="7" s="1"/>
  <c r="I82" i="7"/>
  <c r="J82" i="7" s="1"/>
  <c r="K82" i="7" s="1"/>
  <c r="L82" i="7" s="1"/>
  <c r="I90" i="7"/>
  <c r="J90" i="7" s="1"/>
  <c r="K90" i="7" s="1"/>
  <c r="L90" i="7" s="1"/>
  <c r="I52" i="7"/>
  <c r="J52" i="7" s="1"/>
  <c r="K52" i="7" s="1"/>
  <c r="L52" i="7" s="1"/>
  <c r="N52" i="7" s="1"/>
  <c r="I56" i="7"/>
  <c r="J56" i="7" s="1"/>
  <c r="K56" i="7" s="1"/>
  <c r="L56" i="7" s="1"/>
  <c r="I60" i="7"/>
  <c r="J60" i="7" s="1"/>
  <c r="K60" i="7" s="1"/>
  <c r="L60" i="7" s="1"/>
  <c r="I64" i="7"/>
  <c r="J64" i="7" s="1"/>
  <c r="K64" i="7" s="1"/>
  <c r="L64" i="7" s="1"/>
  <c r="I68" i="7"/>
  <c r="J68" i="7" s="1"/>
  <c r="K68" i="7" s="1"/>
  <c r="L68" i="7" s="1"/>
  <c r="I72" i="7"/>
  <c r="J72" i="7" s="1"/>
  <c r="K72" i="7" s="1"/>
  <c r="L72" i="7" s="1"/>
  <c r="I77" i="7"/>
  <c r="J77" i="7" s="1"/>
  <c r="K77" i="7" s="1"/>
  <c r="L77" i="7" s="1"/>
  <c r="I81" i="7"/>
  <c r="J81" i="7" s="1"/>
  <c r="K81" i="7" s="1"/>
  <c r="L81" i="7" s="1"/>
  <c r="I85" i="7"/>
  <c r="J85" i="7" s="1"/>
  <c r="K85" i="7" s="1"/>
  <c r="L85" i="7" s="1"/>
  <c r="I89" i="7"/>
  <c r="J89" i="7" s="1"/>
  <c r="K89" i="7" s="1"/>
  <c r="L89" i="7" s="1"/>
  <c r="I93" i="7"/>
  <c r="J93" i="7" s="1"/>
  <c r="K93" i="7" s="1"/>
  <c r="L93" i="7" s="1"/>
  <c r="I97" i="7"/>
  <c r="J97" i="7" s="1"/>
  <c r="K97" i="7" s="1"/>
  <c r="L97" i="7" s="1"/>
  <c r="I49" i="7"/>
  <c r="J49" i="7" s="1"/>
  <c r="K49" i="7" s="1"/>
  <c r="I69" i="7"/>
  <c r="J69" i="7" s="1"/>
  <c r="K69" i="7" s="1"/>
  <c r="L69" i="7" s="1"/>
  <c r="I78" i="7"/>
  <c r="J78" i="7" s="1"/>
  <c r="K78" i="7" s="1"/>
  <c r="L78" i="7" s="1"/>
  <c r="I94" i="7"/>
  <c r="J94" i="7" s="1"/>
  <c r="K94" i="7" s="1"/>
  <c r="L94" i="7" s="1"/>
  <c r="I43" i="7"/>
  <c r="J43" i="7" s="1"/>
  <c r="K43" i="7" s="1"/>
  <c r="L43" i="7" s="1"/>
  <c r="N43" i="7" s="1"/>
  <c r="I41" i="7"/>
  <c r="J41" i="7" s="1"/>
  <c r="K41" i="7" s="1"/>
  <c r="L41" i="7" s="1"/>
  <c r="I42" i="7"/>
  <c r="J42" i="7" s="1"/>
  <c r="K42" i="7" s="1"/>
  <c r="L42" i="7" s="1"/>
  <c r="I30" i="7"/>
  <c r="J30" i="7" s="1"/>
  <c r="K30" i="7" s="1"/>
  <c r="L30" i="7" s="1"/>
  <c r="I29" i="7"/>
  <c r="J29" i="7" s="1"/>
  <c r="K29" i="7" s="1"/>
  <c r="L29" i="7" s="1"/>
  <c r="I28" i="7"/>
  <c r="J28" i="7" s="1"/>
  <c r="K28" i="7" s="1"/>
  <c r="L28" i="7" s="1"/>
  <c r="I23" i="7"/>
  <c r="J23" i="7" s="1"/>
  <c r="K23" i="7" s="1"/>
  <c r="L23" i="7" s="1"/>
  <c r="N23" i="7" s="1"/>
  <c r="I7" i="7"/>
  <c r="J7" i="7" s="1"/>
  <c r="K7" i="7" s="1"/>
  <c r="L7" i="7" s="1"/>
  <c r="I3" i="7"/>
  <c r="J3" i="7" s="1"/>
  <c r="K3" i="7" s="1"/>
  <c r="L3" i="7" s="1"/>
  <c r="I6" i="7"/>
  <c r="J6" i="7" s="1"/>
  <c r="K6" i="7" s="1"/>
  <c r="L6" i="7" s="1"/>
  <c r="I8" i="7"/>
  <c r="J8" i="7" s="1"/>
  <c r="K8" i="7" s="1"/>
  <c r="L8" i="7" s="1"/>
  <c r="I4" i="7"/>
  <c r="J4" i="7" s="1"/>
  <c r="K4" i="7" s="1"/>
  <c r="L4" i="7" s="1"/>
  <c r="I9" i="7"/>
  <c r="J9" i="7" s="1"/>
  <c r="K9" i="7" s="1"/>
  <c r="L9" i="7" s="1"/>
  <c r="I5" i="7"/>
  <c r="J5" i="7" s="1"/>
  <c r="K5" i="7" s="1"/>
  <c r="L5" i="7" s="1"/>
  <c r="I2" i="7"/>
  <c r="I27" i="7"/>
  <c r="J27" i="7" s="1"/>
  <c r="K27" i="7" s="1"/>
  <c r="L27" i="7" s="1"/>
  <c r="I24" i="7"/>
  <c r="J24" i="7" s="1"/>
  <c r="K24" i="7" s="1"/>
  <c r="L24" i="7" s="1"/>
  <c r="I25" i="7"/>
  <c r="J25" i="7" s="1"/>
  <c r="K25" i="7" s="1"/>
  <c r="L25" i="7" s="1"/>
  <c r="N25" i="7" s="1"/>
  <c r="I26" i="7"/>
  <c r="J26" i="7" s="1"/>
  <c r="K26" i="7" s="1"/>
  <c r="L26" i="7" s="1"/>
  <c r="N26" i="7" s="1"/>
  <c r="I22" i="7"/>
  <c r="J22" i="7" s="1"/>
  <c r="K22" i="7" s="1"/>
  <c r="L22" i="7" s="1"/>
  <c r="N22" i="7" s="1"/>
  <c r="I18" i="7"/>
  <c r="J18" i="7" s="1"/>
  <c r="K18" i="7" s="1"/>
  <c r="L18" i="7" s="1"/>
  <c r="N18" i="7" s="1"/>
  <c r="I15" i="7"/>
  <c r="I19" i="7"/>
  <c r="J19" i="7" s="1"/>
  <c r="K19" i="7" s="1"/>
  <c r="L19" i="7" s="1"/>
  <c r="N19" i="7" s="1"/>
  <c r="I17" i="7"/>
  <c r="J17" i="7" s="1"/>
  <c r="K17" i="7" s="1"/>
  <c r="L17" i="7" s="1"/>
  <c r="N17" i="7" s="1"/>
  <c r="I20" i="7"/>
  <c r="J20" i="7" s="1"/>
  <c r="K20" i="7" s="1"/>
  <c r="L20" i="7" s="1"/>
  <c r="N20" i="7" s="1"/>
  <c r="I21" i="7"/>
  <c r="J21" i="7" s="1"/>
  <c r="K21" i="7" s="1"/>
  <c r="L21" i="7" s="1"/>
  <c r="N21" i="7" s="1"/>
  <c r="I37" i="7"/>
  <c r="J37" i="7" s="1"/>
  <c r="K37" i="7" s="1"/>
  <c r="L37" i="7" s="1"/>
  <c r="N37" i="7" s="1"/>
  <c r="P37" i="7" s="1"/>
  <c r="Q37" i="7" s="1"/>
  <c r="I34" i="7"/>
  <c r="J34" i="7" s="1"/>
  <c r="K34" i="7" s="1"/>
  <c r="L34" i="7" s="1"/>
  <c r="E105" i="8" s="1"/>
  <c r="I39" i="7"/>
  <c r="J39" i="7" s="1"/>
  <c r="K39" i="7" s="1"/>
  <c r="L39" i="7" s="1"/>
  <c r="N39" i="7" s="1"/>
  <c r="I38" i="7"/>
  <c r="J38" i="7" s="1"/>
  <c r="I35" i="7"/>
  <c r="J35" i="7" s="1"/>
  <c r="K35" i="7" s="1"/>
  <c r="L35" i="7" s="1"/>
  <c r="E110" i="8" s="1"/>
  <c r="I36" i="7"/>
  <c r="J36" i="7" s="1"/>
  <c r="K36" i="7" s="1"/>
  <c r="L36" i="7" s="1"/>
  <c r="I40" i="7"/>
  <c r="J40" i="7" s="1"/>
  <c r="K40" i="7" s="1"/>
  <c r="L40" i="7" s="1"/>
  <c r="N40" i="7" l="1"/>
  <c r="R40" i="7" s="1"/>
  <c r="S40" i="7" s="1"/>
  <c r="T40" i="7" s="1"/>
  <c r="E24" i="8"/>
  <c r="N24" i="7"/>
  <c r="R24" i="7" s="1"/>
  <c r="S24" i="7" s="1"/>
  <c r="T24" i="7" s="1"/>
  <c r="E85" i="8"/>
  <c r="N3" i="7"/>
  <c r="D9" i="8"/>
  <c r="E9" i="8" s="1"/>
  <c r="N85" i="7"/>
  <c r="E59" i="8"/>
  <c r="N68" i="7"/>
  <c r="E37" i="8"/>
  <c r="N55" i="7"/>
  <c r="E13" i="8"/>
  <c r="N87" i="7"/>
  <c r="E61" i="8"/>
  <c r="N74" i="7"/>
  <c r="E43" i="8"/>
  <c r="N98" i="7"/>
  <c r="E87" i="8"/>
  <c r="N110" i="7"/>
  <c r="E120" i="8"/>
  <c r="N4" i="7"/>
  <c r="D10" i="8"/>
  <c r="E10" i="8" s="1"/>
  <c r="N30" i="7"/>
  <c r="R30" i="7" s="1"/>
  <c r="S30" i="7" s="1"/>
  <c r="T30" i="7" s="1"/>
  <c r="E91" i="8"/>
  <c r="N97" i="7"/>
  <c r="E86" i="8"/>
  <c r="N64" i="7"/>
  <c r="E29" i="8"/>
  <c r="N96" i="7"/>
  <c r="E81" i="8"/>
  <c r="N67" i="7"/>
  <c r="E36" i="8"/>
  <c r="N70" i="7"/>
  <c r="E39" i="8"/>
  <c r="N101" i="7"/>
  <c r="E98" i="8"/>
  <c r="N109" i="7"/>
  <c r="E118" i="8"/>
  <c r="N107" i="7"/>
  <c r="E116" i="8"/>
  <c r="N8" i="7"/>
  <c r="N42" i="7"/>
  <c r="R42" i="7" s="1"/>
  <c r="S42" i="7" s="1"/>
  <c r="T42" i="7" s="1"/>
  <c r="N78" i="7"/>
  <c r="E48" i="8"/>
  <c r="N93" i="7"/>
  <c r="E76" i="8"/>
  <c r="N77" i="7"/>
  <c r="E46" i="8"/>
  <c r="N60" i="7"/>
  <c r="E23" i="8"/>
  <c r="N82" i="7"/>
  <c r="E52" i="8"/>
  <c r="N92" i="7"/>
  <c r="E75" i="8"/>
  <c r="N63" i="7"/>
  <c r="E28" i="8"/>
  <c r="N86" i="7"/>
  <c r="E60" i="8"/>
  <c r="N95" i="7"/>
  <c r="E80" i="8"/>
  <c r="N79" i="7"/>
  <c r="E49" i="8"/>
  <c r="N66" i="7"/>
  <c r="E31" i="8"/>
  <c r="N102" i="7"/>
  <c r="E107" i="8"/>
  <c r="N99" i="7"/>
  <c r="E96" i="8"/>
  <c r="N105" i="7"/>
  <c r="E111" i="8"/>
  <c r="N112" i="7"/>
  <c r="E122" i="8"/>
  <c r="R9" i="7"/>
  <c r="S9" i="7" s="1"/>
  <c r="T9" i="7" s="1"/>
  <c r="N29" i="7"/>
  <c r="E90" i="8"/>
  <c r="N84" i="7"/>
  <c r="E54" i="8"/>
  <c r="N71" i="7"/>
  <c r="E40" i="8"/>
  <c r="N100" i="7"/>
  <c r="E97" i="8"/>
  <c r="N111" i="7"/>
  <c r="E121" i="8"/>
  <c r="N36" i="7"/>
  <c r="R36" i="7" s="1"/>
  <c r="S36" i="7" s="1"/>
  <c r="T36" i="7" s="1"/>
  <c r="E113" i="8"/>
  <c r="N27" i="7"/>
  <c r="E88" i="8"/>
  <c r="N7" i="7"/>
  <c r="R7" i="7" s="1"/>
  <c r="S7" i="7" s="1"/>
  <c r="T7" i="7" s="1"/>
  <c r="N94" i="7"/>
  <c r="E77" i="8"/>
  <c r="N81" i="7"/>
  <c r="E51" i="8"/>
  <c r="N90" i="7"/>
  <c r="E73" i="8"/>
  <c r="N80" i="7"/>
  <c r="E50" i="8"/>
  <c r="N83" i="7"/>
  <c r="E53" i="8"/>
  <c r="N54" i="7"/>
  <c r="N104" i="7"/>
  <c r="E109" i="8"/>
  <c r="N5" i="7"/>
  <c r="R5" i="7" s="1"/>
  <c r="S5" i="7" s="1"/>
  <c r="T5" i="7" s="1"/>
  <c r="D11" i="8"/>
  <c r="E11" i="8" s="1"/>
  <c r="N6" i="7"/>
  <c r="E14" i="8"/>
  <c r="N28" i="7"/>
  <c r="R28" i="7" s="1"/>
  <c r="S28" i="7" s="1"/>
  <c r="T28" i="7" s="1"/>
  <c r="E89" i="8"/>
  <c r="N41" i="7"/>
  <c r="E25" i="8"/>
  <c r="N69" i="7"/>
  <c r="E38" i="8"/>
  <c r="N89" i="7"/>
  <c r="E72" i="8"/>
  <c r="N72" i="7"/>
  <c r="E41" i="8"/>
  <c r="N56" i="7"/>
  <c r="E20" i="8"/>
  <c r="N65" i="7"/>
  <c r="E30" i="8"/>
  <c r="N88" i="7"/>
  <c r="E62" i="8"/>
  <c r="N75" i="7"/>
  <c r="E44" i="8"/>
  <c r="N59" i="7"/>
  <c r="N73" i="7"/>
  <c r="E42" i="8"/>
  <c r="N91" i="7"/>
  <c r="E74" i="8"/>
  <c r="N76" i="7"/>
  <c r="E45" i="8"/>
  <c r="N62" i="7"/>
  <c r="E26" i="8"/>
  <c r="N103" i="7"/>
  <c r="E108" i="8"/>
  <c r="N108" i="7"/>
  <c r="E117" i="8"/>
  <c r="N106" i="7"/>
  <c r="E112" i="8"/>
  <c r="N113" i="7"/>
  <c r="E127" i="8"/>
  <c r="J2" i="7"/>
  <c r="K2" i="7" s="1"/>
  <c r="L2" i="7" s="1"/>
  <c r="P16" i="7"/>
  <c r="Q16" i="7" s="1"/>
  <c r="R16" i="7"/>
  <c r="S16" i="7" s="1"/>
  <c r="T16" i="7" s="1"/>
  <c r="P10" i="7"/>
  <c r="Q10" i="7" s="1"/>
  <c r="K38" i="7"/>
  <c r="L38" i="7" s="1"/>
  <c r="N38" i="7" s="1"/>
  <c r="P42" i="7"/>
  <c r="Q42" i="7" s="1"/>
  <c r="R41" i="7"/>
  <c r="S41" i="7" s="1"/>
  <c r="T41" i="7" s="1"/>
  <c r="P41" i="7"/>
  <c r="Q41" i="7" s="1"/>
  <c r="R43" i="7"/>
  <c r="S43" i="7" s="1"/>
  <c r="T43" i="7" s="1"/>
  <c r="P43" i="7"/>
  <c r="Q43" i="7" s="1"/>
  <c r="P28" i="7"/>
  <c r="Q28" i="7" s="1"/>
  <c r="R29" i="7"/>
  <c r="S29" i="7" s="1"/>
  <c r="T29" i="7" s="1"/>
  <c r="P29" i="7"/>
  <c r="Q29" i="7" s="1"/>
  <c r="P30" i="7"/>
  <c r="Q30" i="7" s="1"/>
  <c r="P23" i="7"/>
  <c r="Q23" i="7" s="1"/>
  <c r="R23" i="7"/>
  <c r="S23" i="7" s="1"/>
  <c r="T23" i="7" s="1"/>
  <c r="R8" i="7"/>
  <c r="S8" i="7" s="1"/>
  <c r="T8" i="7" s="1"/>
  <c r="P8" i="7"/>
  <c r="Q8" i="7" s="1"/>
  <c r="P5" i="7"/>
  <c r="Q5" i="7" s="1"/>
  <c r="P6" i="7"/>
  <c r="Q6" i="7" s="1"/>
  <c r="R6" i="7"/>
  <c r="S6" i="7" s="1"/>
  <c r="T6" i="7" s="1"/>
  <c r="P9" i="7"/>
  <c r="Q9" i="7" s="1"/>
  <c r="R3" i="7"/>
  <c r="S3" i="7" s="1"/>
  <c r="T3" i="7" s="1"/>
  <c r="P3" i="7"/>
  <c r="Q3" i="7" s="1"/>
  <c r="R4" i="7"/>
  <c r="S4" i="7" s="1"/>
  <c r="T4" i="7" s="1"/>
  <c r="P4" i="7"/>
  <c r="Q4" i="7" s="1"/>
  <c r="P7" i="7"/>
  <c r="Q7" i="7" s="1"/>
  <c r="P26" i="7"/>
  <c r="Q26" i="7" s="1"/>
  <c r="R26" i="7"/>
  <c r="S26" i="7" s="1"/>
  <c r="T26" i="7" s="1"/>
  <c r="P25" i="7"/>
  <c r="Q25" i="7" s="1"/>
  <c r="R25" i="7"/>
  <c r="S25" i="7" s="1"/>
  <c r="T25" i="7" s="1"/>
  <c r="P24" i="7"/>
  <c r="Q24" i="7" s="1"/>
  <c r="R27" i="7"/>
  <c r="S27" i="7" s="1"/>
  <c r="T27" i="7" s="1"/>
  <c r="P27" i="7"/>
  <c r="Q27" i="7" s="1"/>
  <c r="J15" i="7"/>
  <c r="K15" i="7" s="1"/>
  <c r="L15" i="7" s="1"/>
  <c r="N15" i="7" s="1"/>
  <c r="I33" i="7"/>
  <c r="R17" i="7"/>
  <c r="S17" i="7" s="1"/>
  <c r="T17" i="7" s="1"/>
  <c r="P17" i="7"/>
  <c r="Q17" i="7" s="1"/>
  <c r="R37" i="7"/>
  <c r="S37" i="7" s="1"/>
  <c r="T37" i="7" s="1"/>
  <c r="R20" i="7"/>
  <c r="S20" i="7" s="1"/>
  <c r="T20" i="7" s="1"/>
  <c r="P20" i="7"/>
  <c r="Q20" i="7" s="1"/>
  <c r="P18" i="7"/>
  <c r="Q18" i="7" s="1"/>
  <c r="R18" i="7"/>
  <c r="S18" i="7" s="1"/>
  <c r="T18" i="7" s="1"/>
  <c r="P19" i="7"/>
  <c r="Q19" i="7" s="1"/>
  <c r="R19" i="7"/>
  <c r="S19" i="7" s="1"/>
  <c r="T19" i="7" s="1"/>
  <c r="R21" i="7"/>
  <c r="S21" i="7" s="1"/>
  <c r="T21" i="7" s="1"/>
  <c r="P21" i="7"/>
  <c r="Q21" i="7" s="1"/>
  <c r="P22" i="7"/>
  <c r="Q22" i="7" s="1"/>
  <c r="R22" i="7"/>
  <c r="S22" i="7" s="1"/>
  <c r="T22" i="7" s="1"/>
  <c r="P40" i="7"/>
  <c r="Q40" i="7" s="1"/>
  <c r="P36" i="7"/>
  <c r="Q36" i="7" s="1"/>
  <c r="I12" i="7"/>
  <c r="I45" i="7"/>
  <c r="N34" i="7"/>
  <c r="R34" i="7" s="1"/>
  <c r="N35" i="7"/>
  <c r="P35" i="7" s="1"/>
  <c r="Q35" i="7" s="1"/>
  <c r="R39" i="7"/>
  <c r="S39" i="7" s="1"/>
  <c r="T39" i="7" s="1"/>
  <c r="D8" i="8" l="1"/>
  <c r="E8" i="8" s="1"/>
  <c r="P2" i="7"/>
  <c r="Q2" i="7" s="1"/>
  <c r="R2" i="7"/>
  <c r="S2" i="7" s="1"/>
  <c r="T2" i="7" s="1"/>
  <c r="P38" i="7"/>
  <c r="Q38" i="7" s="1"/>
  <c r="R38" i="7"/>
  <c r="S38" i="7" s="1"/>
  <c r="T38" i="7" s="1"/>
  <c r="R15" i="7"/>
  <c r="S15" i="7" s="1"/>
  <c r="P15" i="7"/>
  <c r="Q15" i="7" s="1"/>
  <c r="I46" i="7"/>
  <c r="S34" i="7"/>
  <c r="P34" i="7"/>
  <c r="Q34" i="7" s="1"/>
  <c r="R35" i="7"/>
  <c r="S35" i="7" s="1"/>
  <c r="T35" i="7" s="1"/>
  <c r="P39" i="7"/>
  <c r="Q39" i="7" s="1"/>
  <c r="P33" i="7" l="1"/>
  <c r="S33" i="7"/>
  <c r="T15" i="7"/>
  <c r="T33" i="7" s="1"/>
  <c r="P12" i="7"/>
  <c r="T12" i="7"/>
  <c r="S12" i="7"/>
  <c r="P45" i="7"/>
  <c r="T34" i="7"/>
  <c r="T45" i="7" s="1"/>
  <c r="S45" i="7"/>
  <c r="P46" i="7" l="1"/>
  <c r="T46" i="7"/>
  <c r="T47" i="7" s="1"/>
  <c r="S46" i="7"/>
  <c r="T116" i="7" l="1"/>
  <c r="Q12" i="7" l="1"/>
  <c r="Q45" i="7" l="1"/>
  <c r="Q33" i="7"/>
  <c r="Q46" i="7" l="1"/>
  <c r="B60" i="4" s="1"/>
  <c r="B61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Easley, Maria</author>
  </authors>
  <commentList>
    <comment ref="D120" authorId="0" shapeId="0" xr:uid="{42D8A06A-99C7-49E5-83AE-A6D46CCD4C72}">
      <text>
        <r>
          <rPr>
            <b/>
            <sz val="9"/>
            <color indexed="81"/>
            <rFont val="Tahoma"/>
            <family val="2"/>
          </rPr>
          <t>Easley, Maria:</t>
        </r>
        <r>
          <rPr>
            <sz val="9"/>
            <color indexed="81"/>
            <rFont val="Tahoma"/>
            <family val="2"/>
          </rPr>
          <t xml:space="preserve">
Source:  B&amp;O rate case, which ties to last full rate case
MSW only, from both regulated areas (RES &amp; COM)</t>
        </r>
      </text>
    </comment>
  </commentList>
</comments>
</file>

<file path=xl/sharedStrings.xml><?xml version="1.0" encoding="utf-8"?>
<sst xmlns="http://schemas.openxmlformats.org/spreadsheetml/2006/main" count="780" uniqueCount="307">
  <si>
    <t>Monthly Frequency</t>
  </si>
  <si>
    <t>Annual PU's</t>
  </si>
  <si>
    <t>Gross Up</t>
  </si>
  <si>
    <t>Totals</t>
  </si>
  <si>
    <t>Increase per ton</t>
  </si>
  <si>
    <t>Total Pick Ups</t>
  </si>
  <si>
    <t>Per Ton</t>
  </si>
  <si>
    <t>Per Pound</t>
  </si>
  <si>
    <t xml:space="preserve">Current Rate </t>
  </si>
  <si>
    <t>New Rate per ton</t>
  </si>
  <si>
    <t>Increase</t>
  </si>
  <si>
    <t>Meeks Weights</t>
  </si>
  <si>
    <t>Adjustment factor</t>
  </si>
  <si>
    <t>Collected Revenue Excess/(Deficiency)</t>
  </si>
  <si>
    <t>Residential</t>
  </si>
  <si>
    <t>Commercial</t>
  </si>
  <si>
    <t>Tariff Page</t>
  </si>
  <si>
    <t>Total</t>
  </si>
  <si>
    <t>Scheduled Service</t>
  </si>
  <si>
    <t>Monthly Factor</t>
  </si>
  <si>
    <t>Lbs. per ton</t>
  </si>
  <si>
    <t>Yds. Per ton</t>
  </si>
  <si>
    <t>Weekly Pickup (WG)</t>
  </si>
  <si>
    <t>Monthly (MG)</t>
  </si>
  <si>
    <t>Every Other Week (EOWG)</t>
  </si>
  <si>
    <t>Tons Collected</t>
  </si>
  <si>
    <t>Grossed Up Increase per ton</t>
  </si>
  <si>
    <t>Gross Up Factors</t>
  </si>
  <si>
    <t>B&amp;O tax</t>
  </si>
  <si>
    <t>WUTC fees</t>
  </si>
  <si>
    <t>Factor</t>
  </si>
  <si>
    <t>Disposal Fee Revenue Increase</t>
  </si>
  <si>
    <t>Extras</t>
  </si>
  <si>
    <t>Total Tonnage</t>
  </si>
  <si>
    <t>Total Pounds</t>
  </si>
  <si>
    <t>Calculated Annual Pounds</t>
  </si>
  <si>
    <t>Adjusted Annual Pounds</t>
  </si>
  <si>
    <t>Company Proposed Tariff</t>
  </si>
  <si>
    <t>Company Current Tariff</t>
  </si>
  <si>
    <t>Company Current Revenue</t>
  </si>
  <si>
    <t>Monthly Customers</t>
  </si>
  <si>
    <t xml:space="preserve"> Company Over/(Under) collecting</t>
  </si>
  <si>
    <t>Tariff Rate Increase</t>
  </si>
  <si>
    <t>Revised Tariff Rate</t>
  </si>
  <si>
    <t>Revised Revenue Increase</t>
  </si>
  <si>
    <t>Revised Revenue</t>
  </si>
  <si>
    <t>1 unit</t>
  </si>
  <si>
    <t>2 units</t>
  </si>
  <si>
    <t>3 units</t>
  </si>
  <si>
    <t>n/a</t>
  </si>
  <si>
    <t>4 units</t>
  </si>
  <si>
    <t>5 units</t>
  </si>
  <si>
    <t>6 units</t>
  </si>
  <si>
    <t>Bad Debts</t>
  </si>
  <si>
    <t>Res'l</t>
  </si>
  <si>
    <t>7 unit</t>
  </si>
  <si>
    <t>5 Times per Week</t>
  </si>
  <si>
    <t>3 Times per Week</t>
  </si>
  <si>
    <t>2 Times per Week</t>
  </si>
  <si>
    <t>Pickups:</t>
  </si>
  <si>
    <t>1 can</t>
  </si>
  <si>
    <t>2 cans</t>
  </si>
  <si>
    <t>3 cans</t>
  </si>
  <si>
    <t>4 cans</t>
  </si>
  <si>
    <t>5 cans</t>
  </si>
  <si>
    <t>6 cans</t>
  </si>
  <si>
    <t>Supercan 60</t>
  </si>
  <si>
    <t>Supercan 90</t>
  </si>
  <si>
    <t>Once a month</t>
  </si>
  <si>
    <t>Com'l</t>
  </si>
  <si>
    <t>Cans</t>
  </si>
  <si>
    <t>1 yd container</t>
  </si>
  <si>
    <t>1.5 yd container</t>
  </si>
  <si>
    <t>2 yd container</t>
  </si>
  <si>
    <t>3 yd container</t>
  </si>
  <si>
    <t>4 yd container</t>
  </si>
  <si>
    <t>6 yd container</t>
  </si>
  <si>
    <t>8 yd container</t>
  </si>
  <si>
    <t>3 yd packer/compactor</t>
  </si>
  <si>
    <t>2 yd packer/compactor</t>
  </si>
  <si>
    <t>4 yd packer/compactor</t>
  </si>
  <si>
    <t>5 yd packer/compactor</t>
  </si>
  <si>
    <t>6 yd packer/compactor</t>
  </si>
  <si>
    <t>Yards</t>
  </si>
  <si>
    <t>Pounds per Pickup</t>
  </si>
  <si>
    <t>20 gal minican</t>
  </si>
  <si>
    <t>*</t>
  </si>
  <si>
    <t>Res'l &amp; Com'l</t>
  </si>
  <si>
    <t>Revenue Inc from Co Proposed Rates</t>
  </si>
  <si>
    <t>Company Proposed Rates</t>
  </si>
  <si>
    <t>Adjustment Factor Calculation</t>
  </si>
  <si>
    <t>4 Times per Week</t>
  </si>
  <si>
    <t>1 yd packer/compactor</t>
  </si>
  <si>
    <t>1.5 yd packer/compactor</t>
  </si>
  <si>
    <t>8 yd packer/compactor</t>
  </si>
  <si>
    <t>35 gallon Can</t>
  </si>
  <si>
    <t>1 Can Monthly</t>
  </si>
  <si>
    <t>* not on meeks - calculated by staff in previous cases</t>
  </si>
  <si>
    <t>Multi-Family</t>
  </si>
  <si>
    <t>King County</t>
  </si>
  <si>
    <t>20 Gallon Can</t>
  </si>
  <si>
    <t>1 Can</t>
  </si>
  <si>
    <t>2 Can</t>
  </si>
  <si>
    <t>3 Can</t>
  </si>
  <si>
    <t>32 Gal Toter</t>
  </si>
  <si>
    <t>64 Gal Toter</t>
  </si>
  <si>
    <t>96 Gal Toter</t>
  </si>
  <si>
    <t>4 Can</t>
  </si>
  <si>
    <t>32 Gallon First Pickup</t>
  </si>
  <si>
    <t>96 Gallon First Pickup</t>
  </si>
  <si>
    <t>1 Yard First Pickup</t>
  </si>
  <si>
    <t>1.5 Yard First Pickup</t>
  </si>
  <si>
    <t>2 Yard First Pickup</t>
  </si>
  <si>
    <t>3 Yard First Pickup</t>
  </si>
  <si>
    <t>4 Yard First Pickup</t>
  </si>
  <si>
    <t>6 Yard First Pickup</t>
  </si>
  <si>
    <t>8 Yard First Pickup</t>
  </si>
  <si>
    <t>5 Can wk</t>
  </si>
  <si>
    <t>1 Yard Special Pickup</t>
  </si>
  <si>
    <t>2 Yard Special Pickup</t>
  </si>
  <si>
    <t>3 Yard Special Pickup</t>
  </si>
  <si>
    <t>4 Yard Special Pickup</t>
  </si>
  <si>
    <t>6 Yard Special Pickup</t>
  </si>
  <si>
    <t>8 Yard Special Pickup</t>
  </si>
  <si>
    <t>Alternative to 32 Gal. - Blue Bag</t>
  </si>
  <si>
    <t>32 Gallon or Bag, Extra</t>
  </si>
  <si>
    <t>20 Gallon</t>
  </si>
  <si>
    <t>64 Gallon</t>
  </si>
  <si>
    <t>20 Gallon Special</t>
  </si>
  <si>
    <t>64 Gallon Special</t>
  </si>
  <si>
    <t>32 Gallon Special Pickup</t>
  </si>
  <si>
    <t>96 Gallon Special Pickup</t>
  </si>
  <si>
    <t>1.5 Yard Special Pickup</t>
  </si>
  <si>
    <t>1 Yard</t>
  </si>
  <si>
    <t>2 Yard</t>
  </si>
  <si>
    <t>3 Yard</t>
  </si>
  <si>
    <t>4 Yard</t>
  </si>
  <si>
    <t>5 Yard</t>
  </si>
  <si>
    <t>6 Yard</t>
  </si>
  <si>
    <t>32 Gallon Special</t>
  </si>
  <si>
    <t>96 Gallon Special</t>
  </si>
  <si>
    <t>No Customers</t>
  </si>
  <si>
    <t>Item 106, pg 28 Compacted</t>
  </si>
  <si>
    <t>Item 106, pg 29 Compacted</t>
  </si>
  <si>
    <t>Item 240, pg 39</t>
  </si>
  <si>
    <t>Item 245, pg 40</t>
  </si>
  <si>
    <t>Item 255, pg 42 Compacted</t>
  </si>
  <si>
    <t>Item 255, pg 41 Compacted</t>
  </si>
  <si>
    <t>Item 100, pg 21 Appendix A</t>
  </si>
  <si>
    <t>Item 100, pg 22</t>
  </si>
  <si>
    <t>Item 105, pg 25</t>
  </si>
  <si>
    <t>Monthly Pickups</t>
  </si>
  <si>
    <t>Company Calculated Revenue</t>
  </si>
  <si>
    <t>Annual Frequency</t>
  </si>
  <si>
    <t>1 Yard Temp Pickup</t>
  </si>
  <si>
    <t>1.5 Yard Temp Pickup</t>
  </si>
  <si>
    <t>2 Yard Temp Pickup</t>
  </si>
  <si>
    <t>3 Yard Temp Pickup</t>
  </si>
  <si>
    <t>4 Yard Temp Pickup</t>
  </si>
  <si>
    <t>6 Yard Temp Pickup</t>
  </si>
  <si>
    <t>8 Yard Temp Pickup</t>
  </si>
  <si>
    <t>1 Yard temp Pickup</t>
  </si>
  <si>
    <t>1.5 Yard temp Pickup</t>
  </si>
  <si>
    <t>2 Yard temp Pickup</t>
  </si>
  <si>
    <t>3 Yard temp Pickup</t>
  </si>
  <si>
    <t>4 Yard temp Pickup</t>
  </si>
  <si>
    <t>6 Yard temp Pickup</t>
  </si>
  <si>
    <t>8 Yard temp Pickup</t>
  </si>
  <si>
    <t>Item 150, pg 32</t>
  </si>
  <si>
    <t>Bulky</t>
  </si>
  <si>
    <t>Loose</t>
  </si>
  <si>
    <t>Fiorito dba Kent Maridian Disposal</t>
  </si>
  <si>
    <t>DF Effective 1/1/2022</t>
  </si>
  <si>
    <t>no customers</t>
  </si>
  <si>
    <t>Company</t>
  </si>
  <si>
    <t>Current</t>
  </si>
  <si>
    <t>Proposed Increase</t>
  </si>
  <si>
    <t>Proposed</t>
  </si>
  <si>
    <t>Tariff</t>
  </si>
  <si>
    <t>1 Can wk</t>
  </si>
  <si>
    <t>2  Can wk</t>
  </si>
  <si>
    <t>3 Can wk</t>
  </si>
  <si>
    <t>4 Can wk</t>
  </si>
  <si>
    <t>32 Gal Tote wk</t>
  </si>
  <si>
    <t>64 Gal Tote wk</t>
  </si>
  <si>
    <t>96 Gal Tote wk</t>
  </si>
  <si>
    <t>Each</t>
  </si>
  <si>
    <t>1 Yard Temp</t>
  </si>
  <si>
    <t>1.5 Yard Temp</t>
  </si>
  <si>
    <t>2 Yard Temp</t>
  </si>
  <si>
    <t>3 Yard Temp</t>
  </si>
  <si>
    <t>4 Yard Temp</t>
  </si>
  <si>
    <t>6 Yard Temp</t>
  </si>
  <si>
    <t>8 Yard Temp</t>
  </si>
  <si>
    <t>3 Yard Special</t>
  </si>
  <si>
    <t>4 Yard Special</t>
  </si>
  <si>
    <t>5 Yard Special</t>
  </si>
  <si>
    <t>6 Yard Special</t>
  </si>
  <si>
    <t>Loose Material</t>
  </si>
  <si>
    <t>1 Yard Special</t>
  </si>
  <si>
    <t>2 Yard Special</t>
  </si>
  <si>
    <t>Disposal Summary Report</t>
  </si>
  <si>
    <t>LOB</t>
  </si>
  <si>
    <t>Matrl</t>
  </si>
  <si>
    <t>Rev Dist</t>
  </si>
  <si>
    <t>TOTAL</t>
  </si>
  <si>
    <t>TONNAGE</t>
  </si>
  <si>
    <t>Per GL</t>
  </si>
  <si>
    <t>Roll-off / Industrial garbage</t>
  </si>
  <si>
    <t>Roll-off / Industrial RCY</t>
  </si>
  <si>
    <t>IC Recycle Tons</t>
  </si>
  <si>
    <t>Commercial Garbage</t>
  </si>
  <si>
    <t>Commercial RCY</t>
  </si>
  <si>
    <t>Residential MSW</t>
  </si>
  <si>
    <t>Residential RCY</t>
  </si>
  <si>
    <t>Roll-off / Industrial</t>
  </si>
  <si>
    <t>I</t>
  </si>
  <si>
    <t>MSW</t>
  </si>
  <si>
    <t>R</t>
  </si>
  <si>
    <t>Regulated Garbage</t>
  </si>
  <si>
    <t>U</t>
  </si>
  <si>
    <t>Unregulated Garbage</t>
  </si>
  <si>
    <t>Total Roll-off / Industrial MSW</t>
  </si>
  <si>
    <t>RCY</t>
  </si>
  <si>
    <t>Regulated RCY (MF)</t>
  </si>
  <si>
    <t>Unregulated RCY / COGS</t>
  </si>
  <si>
    <t>YW</t>
  </si>
  <si>
    <t>Total Roll-off / Industrial RCY</t>
  </si>
  <si>
    <t>Total Roll-off / Industrial</t>
  </si>
  <si>
    <t>Variance to GL</t>
  </si>
  <si>
    <t>Regulated Pass Thru Disposal Tons</t>
  </si>
  <si>
    <t>Unregulated Pass Thru Disposal Tons</t>
  </si>
  <si>
    <t>Total Roll-off / Industrial Pass Thru Disp.</t>
  </si>
  <si>
    <t>C</t>
  </si>
  <si>
    <t>Total Commercial MSW</t>
  </si>
  <si>
    <t>Total Commercial RCY</t>
  </si>
  <si>
    <t>Total Commercial per Disposal Report</t>
  </si>
  <si>
    <t>Total Commercial</t>
  </si>
  <si>
    <t>Total Residential MSW</t>
  </si>
  <si>
    <t>Regulated Yardwaste</t>
  </si>
  <si>
    <t>Unregulated Yardwaste</t>
  </si>
  <si>
    <t>Total Residential YW</t>
  </si>
  <si>
    <t>Regulated RCY</t>
  </si>
  <si>
    <t>Unregulated RCY</t>
  </si>
  <si>
    <t xml:space="preserve">Total Residential </t>
  </si>
  <si>
    <t>Total Residential per Disposal Report</t>
  </si>
  <si>
    <t>Total Residential</t>
  </si>
  <si>
    <t>Total Garbage</t>
  </si>
  <si>
    <t>Total Recycling</t>
  </si>
  <si>
    <t>Total Yardwaste</t>
  </si>
  <si>
    <t xml:space="preserve">Total Disposal/COGS Tons </t>
  </si>
  <si>
    <t>PRICE</t>
  </si>
  <si>
    <t>Regulated Pass Thru Disposal Rate</t>
  </si>
  <si>
    <t>Unregulated Pass Thru Disposal Rate</t>
  </si>
  <si>
    <t>COST</t>
  </si>
  <si>
    <t>Disposal Expense per GL</t>
  </si>
  <si>
    <t>COGS Expense per GL</t>
  </si>
  <si>
    <t>Calculated:</t>
  </si>
  <si>
    <t>calculated</t>
  </si>
  <si>
    <t>GL</t>
  </si>
  <si>
    <t>Var</t>
  </si>
  <si>
    <t>Regulated Pass Thru Disposal $</t>
  </si>
  <si>
    <t>Unregulated Pass Thru Disposal $</t>
  </si>
  <si>
    <t>TOTAL REGULATED DISP COST</t>
  </si>
  <si>
    <t>TOTAL CALC'D DISP COST</t>
  </si>
  <si>
    <t>Regulated</t>
  </si>
  <si>
    <t>Non-Regulated</t>
  </si>
  <si>
    <t>INTERCOMPANY ANALYSIS</t>
  </si>
  <si>
    <t>I/C Disposal Cost per GL</t>
  </si>
  <si>
    <t>Disp Code 1</t>
  </si>
  <si>
    <t>Disp Code 2</t>
  </si>
  <si>
    <t>Disp Code 3</t>
  </si>
  <si>
    <t>Disp Code 4</t>
  </si>
  <si>
    <t>Total Tons</t>
  </si>
  <si>
    <t>Rabanco MRF - Mixed Comm</t>
  </si>
  <si>
    <t>RRMX</t>
  </si>
  <si>
    <t>RRFC</t>
  </si>
  <si>
    <t>RRPS</t>
  </si>
  <si>
    <t>RRZ1</t>
  </si>
  <si>
    <t>Rabanco MRF - Commercial</t>
  </si>
  <si>
    <t>Com</t>
  </si>
  <si>
    <t>RRRC</t>
  </si>
  <si>
    <t>Rabanco MRF - Resi / MF</t>
  </si>
  <si>
    <t>Recycle</t>
  </si>
  <si>
    <t>RRGA</t>
  </si>
  <si>
    <t>BRMX</t>
  </si>
  <si>
    <t>BRZ1</t>
  </si>
  <si>
    <t>Black River</t>
  </si>
  <si>
    <t>RRAN</t>
  </si>
  <si>
    <t>RRCS</t>
  </si>
  <si>
    <t>RRIT</t>
  </si>
  <si>
    <t>RRCB</t>
  </si>
  <si>
    <t>3rd &amp; Lander - Cardboard</t>
  </si>
  <si>
    <t>RRBC</t>
  </si>
  <si>
    <t>RRSS</t>
  </si>
  <si>
    <t>RRVC</t>
  </si>
  <si>
    <t>City Contract Street Sweeping</t>
  </si>
  <si>
    <t>ANRE</t>
  </si>
  <si>
    <t>Other</t>
  </si>
  <si>
    <t>Rate</t>
  </si>
  <si>
    <t>Calculated Revenue</t>
  </si>
  <si>
    <t>$ Variance</t>
  </si>
  <si>
    <t>% Variance</t>
  </si>
  <si>
    <t>Regulated Tons</t>
  </si>
  <si>
    <t>Non-Regulated Tons</t>
  </si>
  <si>
    <t>NON Regulated</t>
  </si>
  <si>
    <t>1 Mini Can (20 Gallon)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</si>
</sst>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&quot;$&quot;* #,##0.000_);_(&quot;$&quot;* \(#,##0.000\);_(&quot;$&quot;* &quot;-&quot;??_);_(@_)"/>
    <numFmt numFmtId="166" formatCode="_(* #,##0_);_(* \(#,##0\);_(* &quot;-&quot;??_);_(@_)"/>
    <numFmt numFmtId="167" formatCode="_(* #,##0.000000_);_(* \(#,##0.000000\);_(* &quot;-&quot;??_);_(@_)"/>
    <numFmt numFmtId="168" formatCode="0.0000%"/>
    <numFmt numFmtId="169" formatCode="_(&quot;$&quot;* #,##0.000000_);_(&quot;$&quot;* \(#,##0.000000\);_(&quot;$&quot;* &quot;-&quot;??_);_(@_)"/>
    <numFmt numFmtId="170" formatCode="0.000000"/>
    <numFmt numFmtId="171" formatCode="0.0%"/>
    <numFmt numFmtId="172" formatCode="[$-409]mmmm\-yy;@"/>
  </numFmts>
  <fonts count="7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2"/>
      <name val="Arial"/>
      <family val="2"/>
    </font>
    <font>
      <sz val="8"/>
      <color indexed="56"/>
      <name val="Arial"/>
      <family val="2"/>
    </font>
    <font>
      <sz val="10"/>
      <name val="MS Sans Serif"/>
      <family val="2"/>
    </font>
    <font>
      <b/>
      <sz val="10"/>
      <name val="MS Sans Serif"/>
      <family val="2"/>
    </font>
    <font>
      <sz val="11"/>
      <color indexed="8"/>
      <name val="Calibri"/>
      <family val="2"/>
    </font>
    <font>
      <sz val="11"/>
      <color rgb="FFFF0000"/>
      <name val="Calibri"/>
      <family val="2"/>
      <scheme val="minor"/>
    </font>
    <font>
      <sz val="10"/>
      <color indexed="12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sz val="10"/>
      <color indexed="8"/>
      <name val="Arial"/>
      <family val="2"/>
    </font>
    <font>
      <sz val="10"/>
      <name val="Times New Roman"/>
      <family val="1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sz val="12"/>
      <name val="Helv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b/>
      <sz val="11"/>
      <color indexed="51"/>
      <name val="Calibri"/>
      <family val="2"/>
    </font>
    <font>
      <sz val="12"/>
      <name val="Courier"/>
      <family val="3"/>
    </font>
    <font>
      <sz val="9"/>
      <color indexed="8"/>
      <name val="Arial"/>
      <family val="2"/>
    </font>
    <font>
      <b/>
      <sz val="10"/>
      <color indexed="12"/>
      <name val="Arial"/>
      <family val="2"/>
    </font>
    <font>
      <b/>
      <sz val="15"/>
      <color indexed="61"/>
      <name val="Calibri"/>
      <family val="2"/>
    </font>
    <font>
      <b/>
      <sz val="13"/>
      <color indexed="61"/>
      <name val="Calibri"/>
      <family val="2"/>
    </font>
    <font>
      <b/>
      <sz val="11"/>
      <color indexed="61"/>
      <name val="Calibri"/>
      <family val="2"/>
    </font>
    <font>
      <u/>
      <sz val="10"/>
      <color indexed="12"/>
      <name val="Arial"/>
      <family val="2"/>
    </font>
    <font>
      <u/>
      <sz val="11"/>
      <color indexed="12"/>
      <name val="Calibri"/>
      <family val="2"/>
    </font>
    <font>
      <sz val="11"/>
      <color indexed="61"/>
      <name val="Calibri"/>
      <family val="2"/>
    </font>
    <font>
      <sz val="11"/>
      <color indexed="51"/>
      <name val="Calibri"/>
      <family val="2"/>
    </font>
    <font>
      <sz val="11"/>
      <color indexed="59"/>
      <name val="Calibri"/>
      <family val="2"/>
    </font>
    <font>
      <i/>
      <sz val="10"/>
      <color indexed="10"/>
      <name val="Arial"/>
      <family val="2"/>
    </font>
    <font>
      <b/>
      <sz val="18"/>
      <color indexed="61"/>
      <name val="Cambria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</font>
    <font>
      <b/>
      <sz val="11"/>
      <color indexed="52"/>
      <name val="Calibri"/>
      <family val="2"/>
    </font>
    <font>
      <sz val="8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2"/>
      <name val="Arial MT"/>
    </font>
    <font>
      <b/>
      <u/>
      <sz val="11"/>
      <name val="Arial"/>
      <family val="2"/>
    </font>
    <font>
      <sz val="11"/>
      <color theme="3" tint="0.3999755851924192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0"/>
      <name val="Calibri"/>
      <family val="2"/>
      <scheme val="minor"/>
    </font>
    <font>
      <b/>
      <sz val="10"/>
      <name val="Arial"/>
      <family val="2"/>
    </font>
    <font>
      <b/>
      <sz val="8"/>
      <name val="Arial"/>
      <family val="2"/>
    </font>
    <font>
      <sz val="11"/>
      <color theme="0" tint="-0.249977111117893"/>
      <name val="Calibri"/>
      <family val="2"/>
      <scheme val="minor"/>
    </font>
    <font>
      <b/>
      <sz val="11"/>
      <color theme="0" tint="-0.249977111117893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sz val="10"/>
      <color rgb="FFFF0000"/>
      <name val="Arial"/>
      <family val="2"/>
    </font>
  </fonts>
  <fills count="4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mediumGray">
        <fgColor indexed="22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4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48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63"/>
      </patternFill>
    </fill>
    <fill>
      <patternFill patternType="solid">
        <fgColor indexed="45"/>
        <bgColor indexed="64"/>
      </patternFill>
    </fill>
    <fill>
      <patternFill patternType="solid">
        <fgColor indexed="65"/>
        <bgColor indexed="10"/>
      </patternFill>
    </fill>
    <fill>
      <patternFill patternType="gray125">
        <fgColor indexed="10"/>
      </patternFill>
    </fill>
    <fill>
      <patternFill patternType="solid">
        <fgColor indexed="42"/>
      </patternFill>
    </fill>
    <fill>
      <patternFill patternType="solid">
        <fgColor indexed="22"/>
        <bgColor indexed="64"/>
      </patternFill>
    </fill>
    <fill>
      <patternFill patternType="solid">
        <fgColor indexed="31"/>
      </patternFill>
    </fill>
    <fill>
      <patternFill patternType="solid">
        <fgColor indexed="30"/>
      </patternFill>
    </fill>
    <fill>
      <patternFill patternType="solid">
        <fgColor indexed="11"/>
      </patternFill>
    </fill>
    <fill>
      <patternFill patternType="solid">
        <fgColor indexed="36"/>
      </patternFill>
    </fill>
    <fill>
      <patternFill patternType="solid">
        <fgColor indexed="62"/>
      </patternFill>
    </fill>
    <fill>
      <patternFill patternType="solid">
        <fgColor indexed="57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CC"/>
      </patternFill>
    </fill>
  </fills>
  <borders count="4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62"/>
      </left>
      <right style="double">
        <color indexed="62"/>
      </right>
      <top style="double">
        <color indexed="62"/>
      </top>
      <bottom style="double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dashed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12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2" fillId="0" borderId="0" applyFont="0" applyFill="0" applyBorder="0" applyAlignment="0" applyProtection="0"/>
    <xf numFmtId="38" fontId="5" fillId="0" borderId="0" applyNumberFormat="0" applyFont="0" applyFill="0" applyBorder="0">
      <alignment horizontal="left" indent="4"/>
      <protection locked="0"/>
    </xf>
    <xf numFmtId="0" fontId="6" fillId="0" borderId="0" applyNumberFormat="0" applyFont="0" applyFill="0" applyBorder="0" applyAlignment="0" applyProtection="0">
      <alignment horizontal="left"/>
    </xf>
    <xf numFmtId="15" fontId="6" fillId="0" borderId="0" applyFont="0" applyFill="0" applyBorder="0" applyAlignment="0" applyProtection="0"/>
    <xf numFmtId="4" fontId="6" fillId="0" borderId="0" applyFont="0" applyFill="0" applyBorder="0" applyAlignment="0" applyProtection="0"/>
    <xf numFmtId="0" fontId="7" fillId="0" borderId="2">
      <alignment horizontal="center"/>
    </xf>
    <xf numFmtId="3" fontId="6" fillId="0" borderId="0" applyFont="0" applyFill="0" applyBorder="0" applyAlignment="0" applyProtection="0"/>
    <xf numFmtId="0" fontId="6" fillId="3" borderId="0" applyNumberFormat="0" applyFont="0" applyBorder="0" applyAlignment="0" applyProtection="0"/>
    <xf numFmtId="166" fontId="4" fillId="4" borderId="0" applyFont="0" applyFill="0" applyBorder="0" applyAlignment="0" applyProtection="0">
      <alignment wrapText="1"/>
    </xf>
    <xf numFmtId="0" fontId="13" fillId="0" borderId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2" borderId="0" applyNumberFormat="0" applyBorder="0" applyAlignment="0" applyProtection="0"/>
    <xf numFmtId="0" fontId="8" fillId="11" borderId="0" applyNumberFormat="0" applyBorder="0" applyAlignment="0" applyProtection="0"/>
    <xf numFmtId="0" fontId="8" fillId="7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14" fillId="11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9" borderId="0" applyNumberFormat="0" applyBorder="0" applyAlignment="0" applyProtection="0"/>
    <xf numFmtId="0" fontId="14" fillId="17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2" borderId="0" applyNumberFormat="0" applyBorder="0" applyAlignment="0" applyProtection="0"/>
    <xf numFmtId="0" fontId="14" fillId="11" borderId="0" applyNumberFormat="0" applyBorder="0" applyAlignment="0" applyProtection="0"/>
    <xf numFmtId="0" fontId="14" fillId="15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18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9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20" borderId="0" applyNumberFormat="0" applyBorder="0" applyAlignment="0" applyProtection="0"/>
    <xf numFmtId="0" fontId="14" fillId="16" borderId="0" applyNumberFormat="0" applyBorder="0" applyAlignment="0" applyProtection="0"/>
    <xf numFmtId="0" fontId="14" fillId="21" borderId="0" applyNumberFormat="0" applyBorder="0" applyAlignment="0" applyProtection="0"/>
    <xf numFmtId="0" fontId="14" fillId="15" borderId="0" applyNumberFormat="0" applyBorder="0" applyAlignment="0" applyProtection="0"/>
    <xf numFmtId="0" fontId="14" fillId="19" borderId="0" applyNumberFormat="0" applyBorder="0" applyAlignment="0" applyProtection="0"/>
    <xf numFmtId="0" fontId="14" fillId="22" borderId="0" applyNumberFormat="0" applyBorder="0" applyAlignment="0" applyProtection="0"/>
    <xf numFmtId="41" fontId="2" fillId="0" borderId="0"/>
    <xf numFmtId="41" fontId="2" fillId="0" borderId="0"/>
    <xf numFmtId="41" fontId="2" fillId="0" borderId="0"/>
    <xf numFmtId="41" fontId="2" fillId="0" borderId="0"/>
    <xf numFmtId="0" fontId="15" fillId="23" borderId="0" applyNumberFormat="0" applyBorder="0" applyAlignment="0" applyProtection="0"/>
    <xf numFmtId="0" fontId="15" fillId="14" borderId="0" applyNumberFormat="0" applyBorder="0" applyAlignment="0" applyProtection="0"/>
    <xf numFmtId="3" fontId="2" fillId="0" borderId="0"/>
    <xf numFmtId="3" fontId="2" fillId="0" borderId="0"/>
    <xf numFmtId="3" fontId="2" fillId="0" borderId="0"/>
    <xf numFmtId="3" fontId="2" fillId="0" borderId="0"/>
    <xf numFmtId="0" fontId="16" fillId="24" borderId="4" applyNumberFormat="0" applyAlignment="0" applyProtection="0"/>
    <xf numFmtId="0" fontId="32" fillId="24" borderId="4" applyNumberFormat="0" applyAlignment="0" applyProtection="0"/>
    <xf numFmtId="0" fontId="17" fillId="25" borderId="5" applyNumberFormat="0" applyAlignment="0" applyProtection="0"/>
    <xf numFmtId="0" fontId="17" fillId="26" borderId="6" applyNumberFormat="0" applyAlignment="0" applyProtection="0"/>
    <xf numFmtId="0" fontId="2" fillId="27" borderId="0">
      <alignment horizontal="center"/>
    </xf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" fontId="18" fillId="0" borderId="0"/>
    <xf numFmtId="0" fontId="33" fillId="0" borderId="0"/>
    <xf numFmtId="0" fontId="33" fillId="0" borderId="0"/>
    <xf numFmtId="0" fontId="34" fillId="28" borderId="1" applyAlignment="0">
      <alignment horizontal="right"/>
      <protection locked="0"/>
    </xf>
    <xf numFmtId="44" fontId="13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35" fillId="29" borderId="0">
      <alignment horizontal="right"/>
      <protection locked="0"/>
    </xf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2" fontId="35" fillId="29" borderId="0">
      <alignment horizontal="right"/>
      <protection locked="0"/>
    </xf>
    <xf numFmtId="0" fontId="21" fillId="11" borderId="0" applyNumberFormat="0" applyBorder="0" applyAlignment="0" applyProtection="0"/>
    <xf numFmtId="0" fontId="21" fillId="30" borderId="0" applyNumberFormat="0" applyBorder="0" applyAlignment="0" applyProtection="0"/>
    <xf numFmtId="0" fontId="22" fillId="0" borderId="7" applyNumberFormat="0" applyFill="0" applyAlignment="0" applyProtection="0"/>
    <xf numFmtId="0" fontId="36" fillId="0" borderId="8" applyNumberFormat="0" applyFill="0" applyAlignment="0" applyProtection="0"/>
    <xf numFmtId="0" fontId="23" fillId="0" borderId="9" applyNumberFormat="0" applyFill="0" applyAlignment="0" applyProtection="0"/>
    <xf numFmtId="0" fontId="37" fillId="0" borderId="10" applyNumberFormat="0" applyFill="0" applyAlignment="0" applyProtection="0"/>
    <xf numFmtId="0" fontId="24" fillId="0" borderId="11" applyNumberFormat="0" applyFill="0" applyAlignment="0" applyProtection="0"/>
    <xf numFmtId="0" fontId="38" fillId="0" borderId="12" applyNumberFormat="0" applyFill="0" applyAlignment="0" applyProtection="0"/>
    <xf numFmtId="0" fontId="24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25" fillId="13" borderId="4" applyNumberFormat="0" applyAlignment="0" applyProtection="0"/>
    <xf numFmtId="0" fontId="41" fillId="13" borderId="4" applyNumberFormat="0" applyAlignment="0" applyProtection="0"/>
    <xf numFmtId="3" fontId="10" fillId="31" borderId="0">
      <protection locked="0"/>
    </xf>
    <xf numFmtId="4" fontId="10" fillId="31" borderId="0">
      <protection locked="0"/>
    </xf>
    <xf numFmtId="0" fontId="26" fillId="0" borderId="13" applyNumberFormat="0" applyFill="0" applyAlignment="0" applyProtection="0"/>
    <xf numFmtId="0" fontId="42" fillId="0" borderId="14" applyNumberFormat="0" applyFill="0" applyAlignment="0" applyProtection="0"/>
    <xf numFmtId="0" fontId="27" fillId="13" borderId="0" applyNumberFormat="0" applyBorder="0" applyAlignment="0" applyProtection="0"/>
    <xf numFmtId="0" fontId="43" fillId="13" borderId="0" applyNumberFormat="0" applyBorder="0" applyAlignment="0" applyProtection="0"/>
    <xf numFmtId="43" fontId="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8" fillId="0" borderId="0"/>
    <xf numFmtId="0" fontId="2" fillId="0" borderId="0"/>
    <xf numFmtId="0" fontId="18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2" fillId="0" borderId="0"/>
    <xf numFmtId="0" fontId="28" fillId="10" borderId="15" applyNumberFormat="0" applyFont="0" applyAlignment="0" applyProtection="0"/>
    <xf numFmtId="0" fontId="18" fillId="10" borderId="15" applyNumberFormat="0" applyFont="0" applyAlignment="0" applyProtection="0"/>
    <xf numFmtId="171" fontId="44" fillId="0" borderId="0" applyNumberFormat="0"/>
    <xf numFmtId="0" fontId="29" fillId="24" borderId="16" applyNumberFormat="0" applyAlignment="0" applyProtection="0"/>
    <xf numFmtId="0" fontId="24" fillId="24" borderId="17" applyNumberFormat="0" applyAlignment="0" applyProtection="0"/>
    <xf numFmtId="9" fontId="13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8" fillId="0" borderId="0">
      <alignment vertical="top"/>
    </xf>
    <xf numFmtId="0" fontId="18" fillId="0" borderId="0">
      <alignment vertical="top"/>
    </xf>
    <xf numFmtId="0" fontId="18" fillId="0" borderId="0" applyNumberFormat="0" applyBorder="0" applyAlignment="0"/>
    <xf numFmtId="0" fontId="30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31" fillId="0" borderId="18" applyNumberFormat="0" applyFill="0" applyAlignment="0" applyProtection="0"/>
    <xf numFmtId="0" fontId="31" fillId="0" borderId="19" applyNumberFormat="0" applyFill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47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  <xf numFmtId="0" fontId="2" fillId="0" borderId="0"/>
    <xf numFmtId="0" fontId="8" fillId="12" borderId="0" applyNumberFormat="0" applyBorder="0" applyAlignment="0" applyProtection="0"/>
    <xf numFmtId="0" fontId="8" fillId="32" borderId="0" applyNumberFormat="0" applyBorder="0" applyAlignment="0" applyProtection="0"/>
    <xf numFmtId="0" fontId="8" fillId="12" borderId="0" applyNumberFormat="0" applyBorder="0" applyAlignment="0" applyProtection="0"/>
    <xf numFmtId="0" fontId="8" fillId="23" borderId="0" applyNumberFormat="0" applyBorder="0" applyAlignment="0" applyProtection="0"/>
    <xf numFmtId="0" fontId="8" fillId="7" borderId="0" applyNumberFormat="0" applyBorder="0" applyAlignment="0" applyProtection="0"/>
    <xf numFmtId="0" fontId="8" fillId="23" borderId="0" applyNumberFormat="0" applyBorder="0" applyAlignment="0" applyProtection="0"/>
    <xf numFmtId="0" fontId="8" fillId="17" borderId="0" applyNumberFormat="0" applyBorder="0" applyAlignment="0" applyProtection="0"/>
    <xf numFmtId="0" fontId="14" fillId="21" borderId="0" applyNumberFormat="0" applyBorder="0" applyAlignment="0" applyProtection="0"/>
    <xf numFmtId="0" fontId="14" fillId="33" borderId="0" applyNumberFormat="0" applyBorder="0" applyAlignment="0" applyProtection="0"/>
    <xf numFmtId="0" fontId="14" fillId="34" borderId="0" applyNumberFormat="0" applyBorder="0" applyAlignment="0" applyProtection="0"/>
    <xf numFmtId="0" fontId="14" fillId="35" borderId="0" applyNumberFormat="0" applyBorder="0" applyAlignment="0" applyProtection="0"/>
    <xf numFmtId="0" fontId="14" fillId="21" borderId="0" applyNumberFormat="0" applyBorder="0" applyAlignment="0" applyProtection="0"/>
    <xf numFmtId="0" fontId="14" fillId="21" borderId="0" applyNumberFormat="0" applyBorder="0" applyAlignment="0" applyProtection="0"/>
    <xf numFmtId="0" fontId="14" fillId="36" borderId="0" applyNumberFormat="0" applyBorder="0" applyAlignment="0" applyProtection="0"/>
    <xf numFmtId="0" fontId="14" fillId="37" borderId="0" applyNumberFormat="0" applyBorder="0" applyAlignment="0" applyProtection="0"/>
    <xf numFmtId="0" fontId="14" fillId="16" borderId="0" applyNumberFormat="0" applyBorder="0" applyAlignment="0" applyProtection="0"/>
    <xf numFmtId="0" fontId="48" fillId="24" borderId="4" applyNumberFormat="0" applyAlignment="0" applyProtection="0"/>
    <xf numFmtId="0" fontId="48" fillId="12" borderId="4" applyNumberFormat="0" applyAlignment="0" applyProtection="0"/>
    <xf numFmtId="43" fontId="8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8" fillId="0" borderId="0" applyFont="0" applyFill="0" applyBorder="0" applyAlignment="0" applyProtection="0"/>
    <xf numFmtId="14" fontId="2" fillId="0" borderId="0"/>
    <xf numFmtId="1" fontId="2" fillId="0" borderId="0">
      <alignment horizontal="center"/>
    </xf>
    <xf numFmtId="0" fontId="22" fillId="0" borderId="26" applyNumberFormat="0" applyFill="0" applyAlignment="0" applyProtection="0"/>
    <xf numFmtId="0" fontId="50" fillId="0" borderId="27" applyNumberFormat="0" applyFill="0" applyAlignment="0" applyProtection="0"/>
    <xf numFmtId="0" fontId="23" fillId="0" borderId="10" applyNumberFormat="0" applyFill="0" applyAlignment="0" applyProtection="0"/>
    <xf numFmtId="0" fontId="51" fillId="0" borderId="10" applyNumberFormat="0" applyFill="0" applyAlignment="0" applyProtection="0"/>
    <xf numFmtId="0" fontId="24" fillId="0" borderId="28" applyNumberFormat="0" applyFill="0" applyAlignment="0" applyProtection="0"/>
    <xf numFmtId="0" fontId="52" fillId="0" borderId="29" applyNumberFormat="0" applyFill="0" applyAlignment="0" applyProtection="0"/>
    <xf numFmtId="0" fontId="53" fillId="0" borderId="30" applyNumberFormat="0" applyFill="0" applyAlignment="0" applyProtection="0"/>
    <xf numFmtId="0" fontId="54" fillId="13" borderId="0" applyNumberFormat="0" applyBorder="0" applyAlignment="0" applyProtection="0"/>
    <xf numFmtId="0" fontId="8" fillId="0" borderId="0"/>
    <xf numFmtId="0" fontId="1" fillId="0" borderId="0"/>
    <xf numFmtId="0" fontId="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" fillId="0" borderId="0"/>
    <xf numFmtId="0" fontId="8" fillId="0" borderId="0"/>
    <xf numFmtId="0" fontId="8" fillId="10" borderId="15" applyNumberFormat="0" applyFont="0" applyAlignment="0" applyProtection="0"/>
    <xf numFmtId="0" fontId="49" fillId="10" borderId="15" applyNumberFormat="0" applyFont="0" applyAlignment="0" applyProtection="0"/>
    <xf numFmtId="9" fontId="49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37" fontId="56" fillId="0" borderId="0"/>
    <xf numFmtId="0" fontId="31" fillId="0" borderId="31" applyNumberFormat="0" applyFill="0" applyAlignment="0" applyProtection="0"/>
    <xf numFmtId="0" fontId="31" fillId="0" borderId="32" applyNumberFormat="0" applyFill="0" applyAlignment="0" applyProtection="0"/>
    <xf numFmtId="0" fontId="58" fillId="0" borderId="0"/>
    <xf numFmtId="43" fontId="58" fillId="0" borderId="0" applyFont="0" applyFill="0" applyBorder="0" applyAlignment="0" applyProtection="0"/>
    <xf numFmtId="44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0" fontId="5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59" fillId="0" borderId="0"/>
    <xf numFmtId="0" fontId="8" fillId="14" borderId="0" applyNumberFormat="0" applyBorder="0" applyAlignment="0" applyProtection="0"/>
    <xf numFmtId="0" fontId="8" fillId="30" borderId="0" applyNumberFormat="0" applyBorder="0" applyAlignment="0" applyProtection="0"/>
    <xf numFmtId="0" fontId="8" fillId="8" borderId="0" applyNumberFormat="0" applyBorder="0" applyAlignment="0" applyProtection="0"/>
    <xf numFmtId="0" fontId="8" fillId="34" borderId="0" applyNumberFormat="0" applyBorder="0" applyAlignment="0" applyProtection="0"/>
    <xf numFmtId="0" fontId="14" fillId="22" borderId="0" applyNumberFormat="0" applyBorder="0" applyAlignment="0" applyProtection="0"/>
    <xf numFmtId="0" fontId="14" fillId="35" borderId="0" applyNumberFormat="0" applyBorder="0" applyAlignment="0" applyProtection="0"/>
    <xf numFmtId="43" fontId="59" fillId="0" borderId="0" applyFont="0" applyFill="0" applyBorder="0" applyAlignment="0" applyProtection="0"/>
    <xf numFmtId="44" fontId="59" fillId="0" borderId="0" applyFont="0" applyFill="0" applyBorder="0" applyAlignment="0" applyProtection="0"/>
    <xf numFmtId="0" fontId="52" fillId="0" borderId="0" applyNumberFormat="0" applyFill="0" applyBorder="0" applyAlignment="0" applyProtection="0"/>
    <xf numFmtId="0" fontId="25" fillId="8" borderId="4" applyNumberFormat="0" applyAlignment="0" applyProtection="0"/>
    <xf numFmtId="0" fontId="59" fillId="10" borderId="15" applyNumberFormat="0" applyFont="0" applyAlignment="0" applyProtection="0"/>
    <xf numFmtId="0" fontId="29" fillId="12" borderId="16" applyNumberFormat="0" applyAlignment="0" applyProtection="0"/>
    <xf numFmtId="9" fontId="59" fillId="0" borderId="0" applyFont="0" applyFill="0" applyBorder="0" applyAlignment="0" applyProtection="0"/>
    <xf numFmtId="37" fontId="60" fillId="0" borderId="0"/>
    <xf numFmtId="0" fontId="2" fillId="0" borderId="0"/>
    <xf numFmtId="0" fontId="2" fillId="0" borderId="0"/>
    <xf numFmtId="0" fontId="1" fillId="39" borderId="37" applyNumberFormat="0" applyFont="0" applyAlignment="0" applyProtection="0"/>
  </cellStyleXfs>
  <cellXfs count="265">
    <xf numFmtId="0" fontId="0" fillId="0" borderId="0" xfId="0"/>
    <xf numFmtId="43" fontId="0" fillId="0" borderId="0" xfId="1" applyFont="1"/>
    <xf numFmtId="0" fontId="3" fillId="0" borderId="0" xfId="0" applyFont="1"/>
    <xf numFmtId="0" fontId="0" fillId="0" borderId="0" xfId="0" applyFont="1"/>
    <xf numFmtId="44" fontId="3" fillId="0" borderId="0" xfId="0" applyNumberFormat="1" applyFont="1"/>
    <xf numFmtId="166" fontId="0" fillId="0" borderId="0" xfId="1" applyNumberFormat="1" applyFont="1"/>
    <xf numFmtId="166" fontId="0" fillId="0" borderId="1" xfId="1" applyNumberFormat="1" applyFont="1" applyBorder="1"/>
    <xf numFmtId="0" fontId="9" fillId="0" borderId="0" xfId="0" applyFont="1" applyFill="1"/>
    <xf numFmtId="0" fontId="9" fillId="0" borderId="0" xfId="0" applyFont="1" applyFill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43" fontId="0" fillId="0" borderId="0" xfId="0" applyNumberFormat="1" applyFont="1" applyBorder="1" applyAlignment="1">
      <alignment horizontal="center"/>
    </xf>
    <xf numFmtId="43" fontId="0" fillId="0" borderId="0" xfId="0" applyNumberFormat="1" applyFont="1"/>
    <xf numFmtId="0" fontId="0" fillId="0" borderId="0" xfId="0" applyFont="1" applyAlignment="1">
      <alignment horizontal="left" indent="1"/>
    </xf>
    <xf numFmtId="0" fontId="0" fillId="5" borderId="0" xfId="0" applyFont="1" applyFill="1" applyAlignment="1">
      <alignment horizontal="center"/>
    </xf>
    <xf numFmtId="0" fontId="0" fillId="0" borderId="0" xfId="0" applyFont="1" applyAlignment="1">
      <alignment horizontal="left"/>
    </xf>
    <xf numFmtId="168" fontId="0" fillId="0" borderId="0" xfId="0" applyNumberFormat="1" applyFont="1"/>
    <xf numFmtId="44" fontId="0" fillId="0" borderId="0" xfId="0" applyNumberFormat="1" applyFont="1"/>
    <xf numFmtId="170" fontId="0" fillId="0" borderId="0" xfId="0" applyNumberFormat="1" applyFont="1"/>
    <xf numFmtId="0" fontId="0" fillId="6" borderId="1" xfId="0" applyFont="1" applyFill="1" applyBorder="1" applyAlignment="1">
      <alignment horizontal="center"/>
    </xf>
    <xf numFmtId="0" fontId="0" fillId="6" borderId="1" xfId="0" applyFont="1" applyFill="1" applyBorder="1"/>
    <xf numFmtId="0" fontId="3" fillId="6" borderId="1" xfId="0" applyFont="1" applyFill="1" applyBorder="1"/>
    <xf numFmtId="0" fontId="0" fillId="0" borderId="0" xfId="0" applyFont="1"/>
    <xf numFmtId="43" fontId="0" fillId="0" borderId="0" xfId="0" applyNumberFormat="1" applyFont="1"/>
    <xf numFmtId="0" fontId="3" fillId="0" borderId="0" xfId="0" applyFont="1"/>
    <xf numFmtId="166" fontId="0" fillId="0" borderId="0" xfId="1" applyNumberFormat="1" applyFont="1"/>
    <xf numFmtId="43" fontId="0" fillId="0" borderId="0" xfId="0" applyNumberFormat="1" applyFont="1"/>
    <xf numFmtId="0" fontId="0" fillId="0" borderId="0" xfId="0" applyFont="1" applyAlignment="1">
      <alignment horizontal="left" indent="1"/>
    </xf>
    <xf numFmtId="43" fontId="0" fillId="0" borderId="0" xfId="1" applyFont="1" applyAlignment="1">
      <alignment horizontal="center"/>
    </xf>
    <xf numFmtId="164" fontId="0" fillId="0" borderId="0" xfId="2" applyNumberFormat="1" applyFont="1" applyBorder="1"/>
    <xf numFmtId="10" fontId="0" fillId="0" borderId="0" xfId="3" applyNumberFormat="1" applyFont="1" applyBorder="1"/>
    <xf numFmtId="43" fontId="0" fillId="0" borderId="0" xfId="1" applyFont="1" applyFill="1" applyBorder="1"/>
    <xf numFmtId="43" fontId="0" fillId="0" borderId="0" xfId="1" applyFont="1" applyBorder="1"/>
    <xf numFmtId="165" fontId="0" fillId="0" borderId="0" xfId="2" applyNumberFormat="1" applyFont="1" applyBorder="1"/>
    <xf numFmtId="44" fontId="0" fillId="0" borderId="0" xfId="2" applyFont="1" applyBorder="1" applyAlignment="1">
      <alignment horizontal="right"/>
    </xf>
    <xf numFmtId="10" fontId="0" fillId="0" borderId="0" xfId="3" applyNumberFormat="1" applyFont="1" applyBorder="1" applyAlignment="1">
      <alignment horizontal="right"/>
    </xf>
    <xf numFmtId="166" fontId="0" fillId="0" borderId="0" xfId="1" applyNumberFormat="1" applyFont="1" applyBorder="1" applyAlignment="1">
      <alignment horizontal="right"/>
    </xf>
    <xf numFmtId="166" fontId="0" fillId="0" borderId="0" xfId="1" applyNumberFormat="1" applyFont="1"/>
    <xf numFmtId="0" fontId="3" fillId="0" borderId="0" xfId="0" applyFont="1" applyBorder="1" applyAlignment="1">
      <alignment horizontal="center"/>
    </xf>
    <xf numFmtId="43" fontId="0" fillId="0" borderId="0" xfId="1" applyFont="1" applyBorder="1" applyAlignment="1">
      <alignment horizontal="right"/>
    </xf>
    <xf numFmtId="0" fontId="0" fillId="0" borderId="0" xfId="0" applyFont="1" applyBorder="1" applyAlignment="1">
      <alignment horizontal="center" wrapText="1"/>
    </xf>
    <xf numFmtId="0" fontId="0" fillId="0" borderId="0" xfId="0" applyFont="1" applyBorder="1" applyAlignment="1">
      <alignment horizontal="right" wrapText="1"/>
    </xf>
    <xf numFmtId="43" fontId="0" fillId="0" borderId="0" xfId="0" applyNumberFormat="1" applyFont="1" applyBorder="1"/>
    <xf numFmtId="0" fontId="0" fillId="0" borderId="0" xfId="0" applyFont="1" applyBorder="1" applyAlignment="1">
      <alignment horizontal="left"/>
    </xf>
    <xf numFmtId="44" fontId="0" fillId="0" borderId="0" xfId="0" applyNumberFormat="1" applyFont="1" applyBorder="1"/>
    <xf numFmtId="43" fontId="0" fillId="0" borderId="0" xfId="0" applyNumberFormat="1" applyFont="1"/>
    <xf numFmtId="0" fontId="0" fillId="0" borderId="0" xfId="0" applyFont="1" applyAlignment="1">
      <alignment horizontal="left" indent="1"/>
    </xf>
    <xf numFmtId="166" fontId="0" fillId="0" borderId="0" xfId="1" applyNumberFormat="1" applyFont="1" applyFill="1" applyBorder="1" applyAlignment="1">
      <alignment horizontal="center" wrapText="1"/>
    </xf>
    <xf numFmtId="0" fontId="0" fillId="0" borderId="0" xfId="0" applyFont="1" applyFill="1" applyBorder="1" applyAlignment="1">
      <alignment horizontal="center" vertical="center"/>
    </xf>
    <xf numFmtId="0" fontId="0" fillId="6" borderId="1" xfId="0" applyFont="1" applyFill="1" applyBorder="1" applyAlignment="1">
      <alignment horizontal="center"/>
    </xf>
    <xf numFmtId="0" fontId="3" fillId="6" borderId="1" xfId="0" applyFont="1" applyFill="1" applyBorder="1"/>
    <xf numFmtId="0" fontId="0" fillId="6" borderId="1" xfId="0" applyFont="1" applyFill="1" applyBorder="1" applyAlignment="1">
      <alignment vertical="center" textRotation="90"/>
    </xf>
    <xf numFmtId="0" fontId="12" fillId="6" borderId="1" xfId="4" applyFont="1" applyFill="1" applyBorder="1" applyAlignment="1">
      <alignment horizontal="left"/>
    </xf>
    <xf numFmtId="3" fontId="3" fillId="6" borderId="1" xfId="0" applyNumberFormat="1" applyFont="1" applyFill="1" applyBorder="1" applyAlignment="1">
      <alignment horizontal="right"/>
    </xf>
    <xf numFmtId="43" fontId="0" fillId="6" borderId="1" xfId="1" applyFont="1" applyFill="1" applyBorder="1"/>
    <xf numFmtId="166" fontId="3" fillId="0" borderId="1" xfId="1" applyNumberFormat="1" applyFont="1" applyBorder="1" applyAlignment="1">
      <alignment horizontal="center"/>
    </xf>
    <xf numFmtId="44" fontId="0" fillId="0" borderId="0" xfId="1" applyNumberFormat="1" applyFont="1" applyFill="1" applyBorder="1"/>
    <xf numFmtId="166" fontId="0" fillId="0" borderId="0" xfId="1" applyNumberFormat="1" applyFont="1" applyBorder="1"/>
    <xf numFmtId="0" fontId="0" fillId="0" borderId="0" xfId="0" applyFont="1" applyBorder="1"/>
    <xf numFmtId="0" fontId="0" fillId="0" borderId="0" xfId="0" applyFont="1" applyBorder="1" applyAlignment="1">
      <alignment horizontal="right"/>
    </xf>
    <xf numFmtId="0" fontId="0" fillId="0" borderId="0" xfId="0" applyFont="1" applyFill="1" applyBorder="1"/>
    <xf numFmtId="164" fontId="0" fillId="0" borderId="0" xfId="0" applyNumberFormat="1" applyFont="1" applyBorder="1"/>
    <xf numFmtId="0" fontId="0" fillId="0" borderId="0" xfId="0" applyFont="1" applyBorder="1" applyAlignment="1">
      <alignment horizontal="center"/>
    </xf>
    <xf numFmtId="0" fontId="0" fillId="0" borderId="0" xfId="0" applyFont="1" applyFill="1" applyBorder="1" applyAlignment="1">
      <alignment vertical="center" textRotation="90"/>
    </xf>
    <xf numFmtId="0" fontId="12" fillId="0" borderId="0" xfId="4" applyFont="1" applyFill="1" applyBorder="1" applyAlignment="1">
      <alignment horizontal="left"/>
    </xf>
    <xf numFmtId="166" fontId="3" fillId="0" borderId="0" xfId="1" applyNumberFormat="1" applyFont="1" applyBorder="1" applyAlignment="1">
      <alignment horizontal="right"/>
    </xf>
    <xf numFmtId="0" fontId="9" fillId="0" borderId="0" xfId="274" applyFont="1" applyBorder="1" applyAlignment="1">
      <alignment horizontal="left"/>
    </xf>
    <xf numFmtId="44" fontId="0" fillId="0" borderId="0" xfId="2" applyFont="1" applyFill="1" applyBorder="1"/>
    <xf numFmtId="166" fontId="0" fillId="0" borderId="0" xfId="1" applyNumberFormat="1" applyFont="1" applyFill="1" applyBorder="1"/>
    <xf numFmtId="43" fontId="0" fillId="0" borderId="0" xfId="1" applyNumberFormat="1" applyFont="1" applyFill="1" applyBorder="1"/>
    <xf numFmtId="44" fontId="0" fillId="2" borderId="0" xfId="2" applyFont="1" applyFill="1" applyBorder="1"/>
    <xf numFmtId="44" fontId="3" fillId="6" borderId="1" xfId="2" applyFont="1" applyFill="1" applyBorder="1"/>
    <xf numFmtId="44" fontId="0" fillId="6" borderId="1" xfId="2" applyFont="1" applyFill="1" applyBorder="1"/>
    <xf numFmtId="44" fontId="3" fillId="0" borderId="0" xfId="2" applyFont="1" applyBorder="1" applyAlignment="1">
      <alignment horizontal="right"/>
    </xf>
    <xf numFmtId="0" fontId="3" fillId="6" borderId="1" xfId="0" applyFont="1" applyFill="1" applyBorder="1" applyAlignment="1">
      <alignment horizontal="center" wrapText="1"/>
    </xf>
    <xf numFmtId="0" fontId="3" fillId="6" borderId="1" xfId="0" applyFont="1" applyFill="1" applyBorder="1" applyAlignment="1">
      <alignment horizontal="center" vertical="center"/>
    </xf>
    <xf numFmtId="0" fontId="0" fillId="6" borderId="1" xfId="0" applyFont="1" applyFill="1" applyBorder="1" applyAlignment="1">
      <alignment horizontal="center" vertical="center"/>
    </xf>
    <xf numFmtId="0" fontId="0" fillId="0" borderId="0" xfId="0" applyFont="1" applyFill="1" applyBorder="1" applyAlignment="1"/>
    <xf numFmtId="0" fontId="11" fillId="0" borderId="0" xfId="274" applyFont="1" applyBorder="1" applyAlignment="1">
      <alignment horizontal="left"/>
    </xf>
    <xf numFmtId="0" fontId="9" fillId="0" borderId="0" xfId="4" applyFont="1" applyFill="1" applyBorder="1" applyAlignment="1">
      <alignment horizontal="left"/>
    </xf>
    <xf numFmtId="44" fontId="0" fillId="0" borderId="0" xfId="2" applyFont="1" applyBorder="1"/>
    <xf numFmtId="0" fontId="3" fillId="0" borderId="20" xfId="0" applyFont="1" applyBorder="1"/>
    <xf numFmtId="0" fontId="0" fillId="6" borderId="25" xfId="0" applyFont="1" applyFill="1" applyBorder="1" applyAlignment="1">
      <alignment horizontal="center"/>
    </xf>
    <xf numFmtId="0" fontId="0" fillId="0" borderId="21" xfId="0" applyFont="1" applyBorder="1"/>
    <xf numFmtId="44" fontId="0" fillId="0" borderId="22" xfId="2" applyFont="1" applyBorder="1"/>
    <xf numFmtId="164" fontId="0" fillId="0" borderId="0" xfId="0" applyNumberFormat="1" applyFont="1" applyFill="1" applyBorder="1"/>
    <xf numFmtId="0" fontId="3" fillId="6" borderId="1" xfId="0" applyFont="1" applyFill="1" applyBorder="1" applyAlignment="1">
      <alignment wrapText="1"/>
    </xf>
    <xf numFmtId="0" fontId="57" fillId="0" borderId="0" xfId="1" applyNumberFormat="1" applyFont="1" applyBorder="1" applyAlignment="1">
      <alignment horizontal="left"/>
    </xf>
    <xf numFmtId="0" fontId="0" fillId="0" borderId="0" xfId="1" applyNumberFormat="1" applyFont="1" applyBorder="1"/>
    <xf numFmtId="0" fontId="3" fillId="6" borderId="0" xfId="0" applyFont="1" applyFill="1" applyBorder="1" applyAlignment="1">
      <alignment horizontal="center" wrapText="1"/>
    </xf>
    <xf numFmtId="166" fontId="3" fillId="6" borderId="0" xfId="1" applyNumberFormat="1" applyFont="1" applyFill="1" applyBorder="1" applyAlignment="1">
      <alignment horizontal="center" wrapText="1"/>
    </xf>
    <xf numFmtId="43" fontId="0" fillId="0" borderId="0" xfId="1" applyNumberFormat="1" applyFont="1" applyBorder="1"/>
    <xf numFmtId="0" fontId="0" fillId="0" borderId="0" xfId="0" applyFont="1" applyFill="1" applyBorder="1" applyAlignment="1">
      <alignment horizontal="right" vertical="center"/>
    </xf>
    <xf numFmtId="0" fontId="0" fillId="0" borderId="0" xfId="0" applyFont="1" applyAlignment="1"/>
    <xf numFmtId="166" fontId="3" fillId="6" borderId="1" xfId="1" applyNumberFormat="1" applyFont="1" applyFill="1" applyBorder="1" applyAlignment="1">
      <alignment horizontal="left" wrapText="1" indent="2"/>
    </xf>
    <xf numFmtId="166" fontId="0" fillId="6" borderId="1" xfId="1" applyNumberFormat="1" applyFont="1" applyFill="1" applyBorder="1" applyAlignment="1">
      <alignment horizontal="left" indent="2"/>
    </xf>
    <xf numFmtId="166" fontId="3" fillId="6" borderId="1" xfId="1" applyNumberFormat="1" applyFont="1" applyFill="1" applyBorder="1" applyAlignment="1">
      <alignment horizontal="left" indent="2"/>
    </xf>
    <xf numFmtId="166" fontId="3" fillId="0" borderId="0" xfId="1" applyNumberFormat="1" applyFont="1" applyBorder="1" applyAlignment="1">
      <alignment horizontal="left" indent="2"/>
    </xf>
    <xf numFmtId="166" fontId="0" fillId="0" borderId="0" xfId="1" applyNumberFormat="1" applyFont="1" applyBorder="1" applyAlignment="1">
      <alignment horizontal="left" indent="2"/>
    </xf>
    <xf numFmtId="166" fontId="0" fillId="0" borderId="0" xfId="1" applyNumberFormat="1" applyFont="1" applyFill="1" applyBorder="1" applyAlignment="1">
      <alignment horizontal="left" indent="2"/>
    </xf>
    <xf numFmtId="166" fontId="11" fillId="0" borderId="0" xfId="1" applyNumberFormat="1" applyFont="1" applyFill="1" applyBorder="1" applyAlignment="1">
      <alignment horizontal="left" indent="2"/>
    </xf>
    <xf numFmtId="0" fontId="0" fillId="0" borderId="0" xfId="0" applyFont="1" applyAlignment="1">
      <alignment horizontal="left" vertical="top" indent="1"/>
    </xf>
    <xf numFmtId="0" fontId="0" fillId="0" borderId="0" xfId="0" applyFont="1" applyFill="1" applyBorder="1" applyAlignment="1">
      <alignment vertical="center"/>
    </xf>
    <xf numFmtId="166" fontId="11" fillId="0" borderId="0" xfId="373" applyNumberFormat="1" applyFont="1"/>
    <xf numFmtId="37" fontId="11" fillId="0" borderId="0" xfId="4" applyNumberFormat="1" applyFont="1" applyAlignment="1" applyProtection="1">
      <alignment horizontal="right"/>
    </xf>
    <xf numFmtId="166" fontId="11" fillId="0" borderId="0" xfId="1" applyNumberFormat="1" applyFont="1" applyAlignment="1">
      <alignment horizontal="left" indent="2"/>
    </xf>
    <xf numFmtId="44" fontId="11" fillId="0" borderId="0" xfId="10" applyFont="1"/>
    <xf numFmtId="0" fontId="11" fillId="0" borderId="0" xfId="4" applyFont="1" applyFill="1" applyBorder="1" applyAlignment="1">
      <alignment horizontal="left"/>
    </xf>
    <xf numFmtId="166" fontId="11" fillId="0" borderId="0" xfId="1" applyNumberFormat="1" applyFont="1"/>
    <xf numFmtId="166" fontId="11" fillId="0" borderId="0" xfId="1" applyNumberFormat="1" applyFont="1" applyFill="1" applyAlignment="1">
      <alignment horizontal="left" indent="2"/>
    </xf>
    <xf numFmtId="44" fontId="0" fillId="0" borderId="0" xfId="0" applyNumberFormat="1" applyFont="1" applyFill="1" applyBorder="1"/>
    <xf numFmtId="44" fontId="3" fillId="6" borderId="1" xfId="2" applyFont="1" applyFill="1" applyBorder="1" applyAlignment="1">
      <alignment horizontal="right"/>
    </xf>
    <xf numFmtId="0" fontId="0" fillId="0" borderId="0" xfId="0" applyFont="1" applyBorder="1" applyAlignment="1">
      <alignment horizontal="left" vertical="top" indent="1"/>
    </xf>
    <xf numFmtId="37" fontId="11" fillId="0" borderId="0" xfId="4" applyNumberFormat="1" applyFont="1" applyBorder="1" applyAlignment="1" applyProtection="1">
      <alignment horizontal="right"/>
    </xf>
    <xf numFmtId="166" fontId="11" fillId="0" borderId="0" xfId="1" applyNumberFormat="1" applyFont="1" applyBorder="1" applyAlignment="1">
      <alignment horizontal="left" indent="2"/>
    </xf>
    <xf numFmtId="0" fontId="11" fillId="0" borderId="0" xfId="0" applyFont="1"/>
    <xf numFmtId="0" fontId="0" fillId="0" borderId="0" xfId="0" applyFont="1" applyFill="1" applyBorder="1" applyAlignment="1">
      <alignment horizontal="center" vertical="center" textRotation="90"/>
    </xf>
    <xf numFmtId="0" fontId="0" fillId="6" borderId="35" xfId="0" applyFont="1" applyFill="1" applyBorder="1"/>
    <xf numFmtId="0" fontId="0" fillId="6" borderId="33" xfId="0" applyFont="1" applyFill="1" applyBorder="1" applyAlignment="1">
      <alignment horizontal="center"/>
    </xf>
    <xf numFmtId="0" fontId="3" fillId="6" borderId="33" xfId="0" applyFont="1" applyFill="1" applyBorder="1"/>
    <xf numFmtId="0" fontId="0" fillId="6" borderId="33" xfId="0" applyFont="1" applyFill="1" applyBorder="1" applyAlignment="1">
      <alignment horizontal="right"/>
    </xf>
    <xf numFmtId="0" fontId="0" fillId="6" borderId="33" xfId="0" applyFont="1" applyFill="1" applyBorder="1"/>
    <xf numFmtId="166" fontId="0" fillId="6" borderId="33" xfId="1" applyNumberFormat="1" applyFont="1" applyFill="1" applyBorder="1" applyAlignment="1">
      <alignment horizontal="left" indent="2"/>
    </xf>
    <xf numFmtId="166" fontId="0" fillId="6" borderId="33" xfId="1" applyNumberFormat="1" applyFont="1" applyFill="1" applyBorder="1"/>
    <xf numFmtId="44" fontId="0" fillId="6" borderId="33" xfId="1" applyNumberFormat="1" applyFont="1" applyFill="1" applyBorder="1"/>
    <xf numFmtId="0" fontId="0" fillId="0" borderId="34" xfId="0" applyFont="1" applyBorder="1"/>
    <xf numFmtId="0" fontId="0" fillId="0" borderId="0" xfId="0" applyFont="1" applyFill="1" applyBorder="1" applyAlignment="1">
      <alignment horizontal="left" vertical="center"/>
    </xf>
    <xf numFmtId="0" fontId="0" fillId="0" borderId="0" xfId="0" applyFont="1" applyBorder="1" applyAlignment="1">
      <alignment horizontal="left" vertical="top"/>
    </xf>
    <xf numFmtId="0" fontId="0" fillId="0" borderId="34" xfId="0" applyFont="1" applyFill="1" applyBorder="1" applyAlignment="1">
      <alignment vertical="center" textRotation="90"/>
    </xf>
    <xf numFmtId="0" fontId="0" fillId="0" borderId="36" xfId="0" applyFont="1" applyBorder="1"/>
    <xf numFmtId="0" fontId="0" fillId="0" borderId="1" xfId="0" applyFont="1" applyBorder="1" applyAlignment="1">
      <alignment horizontal="left"/>
    </xf>
    <xf numFmtId="0" fontId="0" fillId="0" borderId="1" xfId="0" applyFont="1" applyBorder="1"/>
    <xf numFmtId="166" fontId="11" fillId="0" borderId="1" xfId="373" applyNumberFormat="1" applyFont="1" applyBorder="1"/>
    <xf numFmtId="43" fontId="0" fillId="0" borderId="1" xfId="1" applyNumberFormat="1" applyFont="1" applyFill="1" applyBorder="1"/>
    <xf numFmtId="37" fontId="11" fillId="0" borderId="1" xfId="4" applyNumberFormat="1" applyFont="1" applyBorder="1" applyAlignment="1" applyProtection="1">
      <alignment horizontal="right"/>
    </xf>
    <xf numFmtId="166" fontId="11" fillId="0" borderId="1" xfId="1" applyNumberFormat="1" applyFont="1" applyBorder="1" applyAlignment="1">
      <alignment horizontal="left" indent="2"/>
    </xf>
    <xf numFmtId="166" fontId="0" fillId="0" borderId="1" xfId="1" applyNumberFormat="1" applyFont="1" applyFill="1" applyBorder="1"/>
    <xf numFmtId="166" fontId="0" fillId="0" borderId="1" xfId="1" applyNumberFormat="1" applyFont="1" applyFill="1" applyBorder="1" applyAlignment="1">
      <alignment horizontal="center" wrapText="1"/>
    </xf>
    <xf numFmtId="44" fontId="0" fillId="0" borderId="1" xfId="2" applyFont="1" applyFill="1" applyBorder="1"/>
    <xf numFmtId="44" fontId="11" fillId="0" borderId="1" xfId="10" applyFont="1" applyBorder="1"/>
    <xf numFmtId="0" fontId="0" fillId="0" borderId="0" xfId="0" applyFont="1" applyFill="1" applyBorder="1" applyAlignment="1">
      <alignment horizontal="left"/>
    </xf>
    <xf numFmtId="44" fontId="0" fillId="0" borderId="0" xfId="2" applyFont="1" applyFill="1"/>
    <xf numFmtId="165" fontId="0" fillId="0" borderId="0" xfId="2" applyNumberFormat="1" applyFont="1" applyFill="1"/>
    <xf numFmtId="165" fontId="0" fillId="0" borderId="1" xfId="2" applyNumberFormat="1" applyFont="1" applyFill="1" applyBorder="1"/>
    <xf numFmtId="169" fontId="0" fillId="0" borderId="0" xfId="2" applyNumberFormat="1" applyFont="1" applyFill="1"/>
    <xf numFmtId="0" fontId="0" fillId="0" borderId="0" xfId="0" applyFont="1" applyFill="1" applyBorder="1" applyAlignment="1">
      <alignment horizontal="center" vertical="center" textRotation="90"/>
    </xf>
    <xf numFmtId="166" fontId="11" fillId="38" borderId="0" xfId="373" applyNumberFormat="1" applyFont="1" applyFill="1" applyBorder="1"/>
    <xf numFmtId="166" fontId="11" fillId="38" borderId="0" xfId="373" applyNumberFormat="1" applyFont="1" applyFill="1"/>
    <xf numFmtId="44" fontId="11" fillId="38" borderId="0" xfId="10" applyFont="1" applyFill="1" applyBorder="1"/>
    <xf numFmtId="44" fontId="0" fillId="38" borderId="0" xfId="2" applyFont="1" applyFill="1" applyBorder="1"/>
    <xf numFmtId="166" fontId="0" fillId="38" borderId="0" xfId="1" applyNumberFormat="1" applyFont="1" applyFill="1" applyBorder="1" applyAlignment="1">
      <alignment horizontal="right"/>
    </xf>
    <xf numFmtId="167" fontId="0" fillId="38" borderId="0" xfId="1" applyNumberFormat="1" applyFont="1" applyFill="1"/>
    <xf numFmtId="167" fontId="0" fillId="38" borderId="0" xfId="1" applyNumberFormat="1" applyFont="1" applyFill="1" applyBorder="1"/>
    <xf numFmtId="167" fontId="0" fillId="38" borderId="1" xfId="1" applyNumberFormat="1" applyFont="1" applyFill="1" applyBorder="1"/>
    <xf numFmtId="0" fontId="0" fillId="6" borderId="0" xfId="0" applyFont="1" applyFill="1" applyBorder="1" applyAlignment="1">
      <alignment vertical="center" textRotation="90"/>
    </xf>
    <xf numFmtId="0" fontId="0" fillId="6" borderId="0" xfId="0" applyFont="1" applyFill="1" applyBorder="1" applyAlignment="1">
      <alignment horizontal="center" vertical="center"/>
    </xf>
    <xf numFmtId="0" fontId="12" fillId="6" borderId="0" xfId="4" applyFont="1" applyFill="1" applyBorder="1" applyAlignment="1">
      <alignment horizontal="left"/>
    </xf>
    <xf numFmtId="3" fontId="3" fillId="6" borderId="0" xfId="0" applyNumberFormat="1" applyFont="1" applyFill="1" applyBorder="1" applyAlignment="1">
      <alignment horizontal="right"/>
    </xf>
    <xf numFmtId="166" fontId="0" fillId="6" borderId="0" xfId="1" applyNumberFormat="1" applyFont="1" applyFill="1" applyBorder="1" applyAlignment="1">
      <alignment horizontal="left" indent="2"/>
    </xf>
    <xf numFmtId="44" fontId="0" fillId="6" borderId="0" xfId="2" applyFont="1" applyFill="1" applyBorder="1"/>
    <xf numFmtId="44" fontId="3" fillId="6" borderId="0" xfId="2" applyFont="1" applyFill="1" applyBorder="1" applyAlignment="1">
      <alignment horizontal="right"/>
    </xf>
    <xf numFmtId="0" fontId="0" fillId="0" borderId="23" xfId="0" applyFont="1" applyBorder="1"/>
    <xf numFmtId="0" fontId="0" fillId="0" borderId="24" xfId="0" applyFont="1" applyBorder="1"/>
    <xf numFmtId="43" fontId="3" fillId="6" borderId="0" xfId="1" applyFont="1" applyFill="1" applyBorder="1" applyAlignment="1">
      <alignment horizontal="center" wrapText="1"/>
    </xf>
    <xf numFmtId="3" fontId="3" fillId="6" borderId="0" xfId="0" applyNumberFormat="1" applyFont="1" applyFill="1" applyBorder="1" applyAlignment="1">
      <alignment horizontal="center"/>
    </xf>
    <xf numFmtId="0" fontId="64" fillId="0" borderId="0" xfId="409" applyFont="1"/>
    <xf numFmtId="43" fontId="1" fillId="0" borderId="0" xfId="1" applyFont="1" applyFill="1"/>
    <xf numFmtId="43" fontId="1" fillId="0" borderId="0" xfId="1" applyFont="1"/>
    <xf numFmtId="0" fontId="64" fillId="0" borderId="0" xfId="410" applyFont="1"/>
    <xf numFmtId="0" fontId="65" fillId="0" borderId="0" xfId="409" applyFont="1"/>
    <xf numFmtId="43" fontId="49" fillId="0" borderId="0" xfId="1" applyFont="1" applyFill="1" applyBorder="1"/>
    <xf numFmtId="43" fontId="2" fillId="0" borderId="0" xfId="1" applyFont="1"/>
    <xf numFmtId="0" fontId="2" fillId="0" borderId="0" xfId="410"/>
    <xf numFmtId="0" fontId="0" fillId="5" borderId="0" xfId="0" applyFill="1"/>
    <xf numFmtId="43" fontId="64" fillId="0" borderId="0" xfId="1" applyFont="1" applyFill="1" applyAlignment="1">
      <alignment horizontal="center"/>
    </xf>
    <xf numFmtId="43" fontId="64" fillId="0" borderId="0" xfId="1" applyFont="1" applyAlignment="1">
      <alignment horizontal="center"/>
    </xf>
    <xf numFmtId="0" fontId="2" fillId="0" borderId="0" xfId="410" applyAlignment="1">
      <alignment horizontal="center"/>
    </xf>
    <xf numFmtId="14" fontId="3" fillId="0" borderId="0" xfId="1" applyNumberFormat="1" applyFont="1" applyAlignment="1">
      <alignment horizontal="center"/>
    </xf>
    <xf numFmtId="43" fontId="2" fillId="0" borderId="0" xfId="1" applyFont="1" applyFill="1"/>
    <xf numFmtId="0" fontId="0" fillId="0" borderId="0" xfId="0" applyAlignment="1">
      <alignment horizontal="left" vertical="top" indent="1"/>
    </xf>
    <xf numFmtId="0" fontId="0" fillId="5" borderId="0" xfId="0" applyFill="1" applyAlignment="1">
      <alignment horizontal="left" vertical="top" indent="1"/>
    </xf>
    <xf numFmtId="0" fontId="2" fillId="5" borderId="0" xfId="410" applyFill="1"/>
    <xf numFmtId="43" fontId="2" fillId="5" borderId="0" xfId="1" applyFont="1" applyFill="1"/>
    <xf numFmtId="0" fontId="11" fillId="5" borderId="0" xfId="4" applyFont="1" applyFill="1" applyAlignment="1">
      <alignment horizontal="left"/>
    </xf>
    <xf numFmtId="0" fontId="11" fillId="0" borderId="0" xfId="4" applyFont="1" applyAlignment="1">
      <alignment horizontal="left"/>
    </xf>
    <xf numFmtId="0" fontId="3" fillId="0" borderId="0" xfId="0" applyFont="1" applyAlignment="1">
      <alignment horizontal="left"/>
    </xf>
    <xf numFmtId="43" fontId="1" fillId="5" borderId="0" xfId="1" applyFont="1" applyFill="1"/>
    <xf numFmtId="0" fontId="1" fillId="0" borderId="0" xfId="23"/>
    <xf numFmtId="0" fontId="3" fillId="0" borderId="0" xfId="23" applyFont="1"/>
    <xf numFmtId="0" fontId="1" fillId="0" borderId="0" xfId="23" applyAlignment="1">
      <alignment horizontal="center"/>
    </xf>
    <xf numFmtId="0" fontId="3" fillId="0" borderId="0" xfId="23" applyFont="1" applyAlignment="1">
      <alignment horizontal="center"/>
    </xf>
    <xf numFmtId="172" fontId="3" fillId="39" borderId="37" xfId="411" applyNumberFormat="1" applyFont="1"/>
    <xf numFmtId="172" fontId="3" fillId="0" borderId="0" xfId="23" applyNumberFormat="1" applyFont="1"/>
    <xf numFmtId="0" fontId="66" fillId="0" borderId="0" xfId="23" applyFont="1" applyAlignment="1">
      <alignment horizontal="center"/>
    </xf>
    <xf numFmtId="0" fontId="66" fillId="0" borderId="0" xfId="23" applyFont="1"/>
    <xf numFmtId="0" fontId="67" fillId="0" borderId="0" xfId="23" applyFont="1"/>
    <xf numFmtId="0" fontId="3" fillId="0" borderId="2" xfId="23" applyFont="1" applyBorder="1"/>
    <xf numFmtId="0" fontId="1" fillId="0" borderId="2" xfId="23" applyBorder="1"/>
    <xf numFmtId="166" fontId="1" fillId="0" borderId="0" xfId="23" applyNumberFormat="1"/>
    <xf numFmtId="166" fontId="11" fillId="0" borderId="0" xfId="114" applyNumberFormat="1" applyFont="1"/>
    <xf numFmtId="166" fontId="3" fillId="0" borderId="0" xfId="23" applyNumberFormat="1" applyFont="1"/>
    <xf numFmtId="166" fontId="3" fillId="5" borderId="0" xfId="23" applyNumberFormat="1" applyFont="1" applyFill="1"/>
    <xf numFmtId="0" fontId="1" fillId="0" borderId="1" xfId="23" applyBorder="1"/>
    <xf numFmtId="166" fontId="11" fillId="0" borderId="1" xfId="114" applyNumberFormat="1" applyFont="1" applyBorder="1"/>
    <xf numFmtId="166" fontId="3" fillId="5" borderId="1" xfId="23" applyNumberFormat="1" applyFont="1" applyFill="1" applyBorder="1"/>
    <xf numFmtId="0" fontId="63" fillId="0" borderId="0" xfId="23" applyFont="1"/>
    <xf numFmtId="166" fontId="11" fillId="0" borderId="0" xfId="114" applyNumberFormat="1" applyFont="1" applyBorder="1"/>
    <xf numFmtId="0" fontId="11" fillId="39" borderId="37" xfId="411" applyFont="1" applyAlignment="1">
      <alignment horizontal="center"/>
    </xf>
    <xf numFmtId="0" fontId="68" fillId="0" borderId="38" xfId="23" applyFont="1" applyBorder="1" applyAlignment="1">
      <alignment horizontal="center"/>
    </xf>
    <xf numFmtId="0" fontId="68" fillId="0" borderId="38" xfId="23" applyFont="1" applyBorder="1"/>
    <xf numFmtId="166" fontId="68" fillId="2" borderId="38" xfId="114" applyNumberFormat="1" applyFont="1" applyFill="1" applyBorder="1"/>
    <xf numFmtId="166" fontId="69" fillId="2" borderId="38" xfId="23" applyNumberFormat="1" applyFont="1" applyFill="1" applyBorder="1"/>
    <xf numFmtId="166" fontId="68" fillId="0" borderId="0" xfId="114" applyNumberFormat="1" applyFont="1"/>
    <xf numFmtId="171" fontId="11" fillId="0" borderId="0" xfId="3" applyNumberFormat="1" applyFont="1"/>
    <xf numFmtId="0" fontId="70" fillId="0" borderId="38" xfId="23" applyFont="1" applyBorder="1" applyAlignment="1">
      <alignment horizontal="center"/>
    </xf>
    <xf numFmtId="0" fontId="70" fillId="0" borderId="38" xfId="23" applyFont="1" applyBorder="1"/>
    <xf numFmtId="166" fontId="68" fillId="0" borderId="38" xfId="114" applyNumberFormat="1" applyFont="1" applyBorder="1"/>
    <xf numFmtId="0" fontId="1" fillId="0" borderId="3" xfId="23" applyBorder="1" applyAlignment="1">
      <alignment horizontal="center"/>
    </xf>
    <xf numFmtId="0" fontId="1" fillId="0" borderId="3" xfId="23" applyBorder="1"/>
    <xf numFmtId="166" fontId="11" fillId="0" borderId="3" xfId="114" applyNumberFormat="1" applyFont="1" applyBorder="1"/>
    <xf numFmtId="166" fontId="3" fillId="0" borderId="3" xfId="23" applyNumberFormat="1" applyFont="1" applyBorder="1"/>
    <xf numFmtId="0" fontId="68" fillId="0" borderId="0" xfId="253" applyNumberFormat="1" applyFont="1"/>
    <xf numFmtId="171" fontId="68" fillId="0" borderId="0" xfId="253" applyNumberFormat="1" applyFont="1"/>
    <xf numFmtId="166" fontId="3" fillId="0" borderId="0" xfId="114" applyNumberFormat="1" applyFont="1"/>
    <xf numFmtId="10" fontId="11" fillId="0" borderId="0" xfId="3" applyNumberFormat="1" applyFont="1"/>
    <xf numFmtId="166" fontId="69" fillId="0" borderId="38" xfId="23" applyNumberFormat="1" applyFont="1" applyBorder="1"/>
    <xf numFmtId="0" fontId="68" fillId="2" borderId="38" xfId="23" applyFont="1" applyFill="1" applyBorder="1"/>
    <xf numFmtId="0" fontId="11" fillId="39" borderId="39" xfId="411" applyFont="1" applyBorder="1" applyAlignment="1">
      <alignment horizontal="center"/>
    </xf>
    <xf numFmtId="0" fontId="1" fillId="2" borderId="0" xfId="23" applyFill="1"/>
    <xf numFmtId="166" fontId="11" fillId="2" borderId="0" xfId="114" applyNumberFormat="1" applyFont="1" applyFill="1" applyBorder="1"/>
    <xf numFmtId="166" fontId="3" fillId="2" borderId="0" xfId="23" applyNumberFormat="1" applyFont="1" applyFill="1"/>
    <xf numFmtId="166" fontId="11" fillId="5" borderId="0" xfId="114" applyNumberFormat="1" applyFont="1" applyFill="1"/>
    <xf numFmtId="43" fontId="11" fillId="0" borderId="0" xfId="114" applyFont="1"/>
    <xf numFmtId="171" fontId="1" fillId="0" borderId="0" xfId="3" applyNumberFormat="1" applyFont="1"/>
    <xf numFmtId="0" fontId="9" fillId="0" borderId="0" xfId="23" applyFont="1"/>
    <xf numFmtId="0" fontId="70" fillId="0" borderId="0" xfId="253" applyNumberFormat="1" applyFont="1"/>
    <xf numFmtId="10" fontId="11" fillId="0" borderId="0" xfId="114" applyNumberFormat="1" applyFont="1"/>
    <xf numFmtId="0" fontId="9" fillId="0" borderId="3" xfId="23" applyFont="1" applyBorder="1"/>
    <xf numFmtId="44" fontId="11" fillId="39" borderId="37" xfId="411" applyNumberFormat="1" applyFont="1"/>
    <xf numFmtId="44" fontId="11" fillId="0" borderId="0" xfId="294" applyFont="1"/>
    <xf numFmtId="44" fontId="3" fillId="0" borderId="0" xfId="294" applyFont="1"/>
    <xf numFmtId="166" fontId="3" fillId="0" borderId="1" xfId="23" applyNumberFormat="1" applyFont="1" applyBorder="1"/>
    <xf numFmtId="166" fontId="9" fillId="0" borderId="0" xfId="114" applyNumberFormat="1" applyFont="1"/>
    <xf numFmtId="171" fontId="68" fillId="5" borderId="0" xfId="253" applyNumberFormat="1" applyFont="1" applyFill="1"/>
    <xf numFmtId="171" fontId="3" fillId="0" borderId="0" xfId="3" applyNumberFormat="1" applyFont="1"/>
    <xf numFmtId="0" fontId="3" fillId="0" borderId="0" xfId="23" applyFont="1" applyAlignment="1">
      <alignment horizontal="center" wrapText="1"/>
    </xf>
    <xf numFmtId="0" fontId="11" fillId="5" borderId="37" xfId="411" applyFont="1" applyFill="1" applyAlignment="1">
      <alignment horizontal="center"/>
    </xf>
    <xf numFmtId="0" fontId="11" fillId="5" borderId="37" xfId="411" applyFont="1" applyFill="1"/>
    <xf numFmtId="0" fontId="11" fillId="0" borderId="37" xfId="411" applyFont="1" applyFill="1" applyAlignment="1">
      <alignment horizontal="center"/>
    </xf>
    <xf numFmtId="0" fontId="11" fillId="0" borderId="37" xfId="411" applyFont="1" applyFill="1"/>
    <xf numFmtId="166" fontId="3" fillId="0" borderId="3" xfId="114" applyNumberFormat="1" applyFont="1" applyBorder="1"/>
    <xf numFmtId="171" fontId="11" fillId="0" borderId="0" xfId="253" applyNumberFormat="1" applyFont="1"/>
    <xf numFmtId="171" fontId="11" fillId="0" borderId="0" xfId="253" applyNumberFormat="1" applyFont="1" applyFill="1"/>
    <xf numFmtId="10" fontId="3" fillId="0" borderId="0" xfId="3" applyNumberFormat="1" applyFont="1"/>
    <xf numFmtId="166" fontId="3" fillId="5" borderId="40" xfId="23" applyNumberFormat="1" applyFont="1" applyFill="1" applyBorder="1"/>
    <xf numFmtId="0" fontId="3" fillId="0" borderId="0" xfId="0" applyFont="1" applyFill="1" applyBorder="1" applyAlignment="1">
      <alignment vertical="center"/>
    </xf>
    <xf numFmtId="43" fontId="72" fillId="5" borderId="0" xfId="1" applyFont="1" applyFill="1"/>
    <xf numFmtId="0" fontId="0" fillId="6" borderId="0" xfId="0" applyFont="1" applyFill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0" fillId="6" borderId="0" xfId="0" applyFont="1" applyFill="1" applyBorder="1" applyAlignment="1">
      <alignment horizontal="center"/>
    </xf>
    <xf numFmtId="0" fontId="0" fillId="0" borderId="3" xfId="0" applyFont="1" applyFill="1" applyBorder="1" applyAlignment="1">
      <alignment horizontal="center" vertical="center" textRotation="90"/>
    </xf>
    <xf numFmtId="0" fontId="0" fillId="0" borderId="0" xfId="0" applyFont="1" applyFill="1" applyBorder="1" applyAlignment="1">
      <alignment horizontal="center" vertical="center" textRotation="90"/>
    </xf>
    <xf numFmtId="0" fontId="3" fillId="0" borderId="0" xfId="23" applyFont="1" applyAlignment="1">
      <alignment horizontal="left"/>
    </xf>
    <xf numFmtId="0" fontId="3" fillId="0" borderId="0" xfId="23" applyFont="1" applyAlignment="1">
      <alignment horizontal="center"/>
    </xf>
    <xf numFmtId="44" fontId="11" fillId="0" borderId="0" xfId="2" applyFont="1" applyFill="1" applyBorder="1"/>
  </cellXfs>
  <cellStyles count="412">
    <cellStyle name="20% - Accent1 2" xfId="40" xr:uid="{00000000-0005-0000-0000-000000000000}"/>
    <cellStyle name="20% - Accent1 2 2" xfId="299" xr:uid="{00000000-0005-0000-0000-000001000000}"/>
    <cellStyle name="20% - Accent1 3" xfId="39" xr:uid="{00000000-0005-0000-0000-000002000000}"/>
    <cellStyle name="20% - Accent1 3 2" xfId="300" xr:uid="{00000000-0005-0000-0000-000003000000}"/>
    <cellStyle name="20% - Accent2 2" xfId="42" xr:uid="{00000000-0005-0000-0000-000004000000}"/>
    <cellStyle name="20% - Accent2 3" xfId="41" xr:uid="{00000000-0005-0000-0000-000005000000}"/>
    <cellStyle name="20% - Accent2 4" xfId="395" xr:uid="{00000000-0005-0000-0000-000006000000}"/>
    <cellStyle name="20% - Accent3 2" xfId="44" xr:uid="{00000000-0005-0000-0000-000007000000}"/>
    <cellStyle name="20% - Accent3 3" xfId="43" xr:uid="{00000000-0005-0000-0000-000008000000}"/>
    <cellStyle name="20% - Accent3 4" xfId="396" xr:uid="{00000000-0005-0000-0000-000009000000}"/>
    <cellStyle name="20% - Accent4 2" xfId="46" xr:uid="{00000000-0005-0000-0000-00000A000000}"/>
    <cellStyle name="20% - Accent4 2 2" xfId="301" xr:uid="{00000000-0005-0000-0000-00000B000000}"/>
    <cellStyle name="20% - Accent4 3" xfId="45" xr:uid="{00000000-0005-0000-0000-00000C000000}"/>
    <cellStyle name="20% - Accent4 3 2" xfId="302" xr:uid="{00000000-0005-0000-0000-00000D000000}"/>
    <cellStyle name="20% - Accent5 2" xfId="48" xr:uid="{00000000-0005-0000-0000-00000E000000}"/>
    <cellStyle name="20% - Accent5 3" xfId="47" xr:uid="{00000000-0005-0000-0000-00000F000000}"/>
    <cellStyle name="20% - Accent6 2" xfId="50" xr:uid="{00000000-0005-0000-0000-000010000000}"/>
    <cellStyle name="20% - Accent6 3" xfId="49" xr:uid="{00000000-0005-0000-0000-000011000000}"/>
    <cellStyle name="20% - Accent6 4" xfId="397" xr:uid="{00000000-0005-0000-0000-000012000000}"/>
    <cellStyle name="40% - Accent1 2" xfId="52" xr:uid="{00000000-0005-0000-0000-000013000000}"/>
    <cellStyle name="40% - Accent1 3" xfId="51" xr:uid="{00000000-0005-0000-0000-000014000000}"/>
    <cellStyle name="40% - Accent1 3 2" xfId="303" xr:uid="{00000000-0005-0000-0000-000015000000}"/>
    <cellStyle name="40% - Accent2 2" xfId="54" xr:uid="{00000000-0005-0000-0000-000016000000}"/>
    <cellStyle name="40% - Accent2 3" xfId="53" xr:uid="{00000000-0005-0000-0000-000017000000}"/>
    <cellStyle name="40% - Accent3 2" xfId="56" xr:uid="{00000000-0005-0000-0000-000018000000}"/>
    <cellStyle name="40% - Accent3 3" xfId="55" xr:uid="{00000000-0005-0000-0000-000019000000}"/>
    <cellStyle name="40% - Accent3 4" xfId="398" xr:uid="{00000000-0005-0000-0000-00001A000000}"/>
    <cellStyle name="40% - Accent4 2" xfId="58" xr:uid="{00000000-0005-0000-0000-00001B000000}"/>
    <cellStyle name="40% - Accent4 3" xfId="57" xr:uid="{00000000-0005-0000-0000-00001C000000}"/>
    <cellStyle name="40% - Accent4 3 2" xfId="304" xr:uid="{00000000-0005-0000-0000-00001D000000}"/>
    <cellStyle name="40% - Accent5 2" xfId="60" xr:uid="{00000000-0005-0000-0000-00001E000000}"/>
    <cellStyle name="40% - Accent5 3" xfId="59" xr:uid="{00000000-0005-0000-0000-00001F000000}"/>
    <cellStyle name="40% - Accent6 2" xfId="62" xr:uid="{00000000-0005-0000-0000-000020000000}"/>
    <cellStyle name="40% - Accent6 3" xfId="61" xr:uid="{00000000-0005-0000-0000-000021000000}"/>
    <cellStyle name="40% - Accent6 3 2" xfId="305" xr:uid="{00000000-0005-0000-0000-000022000000}"/>
    <cellStyle name="60% - Accent1 2" xfId="64" xr:uid="{00000000-0005-0000-0000-000023000000}"/>
    <cellStyle name="60% - Accent1 2 2" xfId="306" xr:uid="{00000000-0005-0000-0000-000024000000}"/>
    <cellStyle name="60% - Accent1 3" xfId="63" xr:uid="{00000000-0005-0000-0000-000025000000}"/>
    <cellStyle name="60% - Accent1 3 2" xfId="307" xr:uid="{00000000-0005-0000-0000-000026000000}"/>
    <cellStyle name="60% - Accent2 2" xfId="66" xr:uid="{00000000-0005-0000-0000-000027000000}"/>
    <cellStyle name="60% - Accent2 3" xfId="65" xr:uid="{00000000-0005-0000-0000-000028000000}"/>
    <cellStyle name="60% - Accent3 2" xfId="68" xr:uid="{00000000-0005-0000-0000-000029000000}"/>
    <cellStyle name="60% - Accent3 3" xfId="67" xr:uid="{00000000-0005-0000-0000-00002A000000}"/>
    <cellStyle name="60% - Accent3 3 2" xfId="308" xr:uid="{00000000-0005-0000-0000-00002B000000}"/>
    <cellStyle name="60% - Accent4 2" xfId="70" xr:uid="{00000000-0005-0000-0000-00002C000000}"/>
    <cellStyle name="60% - Accent4 3" xfId="69" xr:uid="{00000000-0005-0000-0000-00002D000000}"/>
    <cellStyle name="60% - Accent4 3 2" xfId="309" xr:uid="{00000000-0005-0000-0000-00002E000000}"/>
    <cellStyle name="60% - Accent5 2" xfId="72" xr:uid="{00000000-0005-0000-0000-00002F000000}"/>
    <cellStyle name="60% - Accent5 2 2" xfId="310" xr:uid="{00000000-0005-0000-0000-000030000000}"/>
    <cellStyle name="60% - Accent5 3" xfId="71" xr:uid="{00000000-0005-0000-0000-000031000000}"/>
    <cellStyle name="60% - Accent6 2" xfId="74" xr:uid="{00000000-0005-0000-0000-000032000000}"/>
    <cellStyle name="60% - Accent6 3" xfId="73" xr:uid="{00000000-0005-0000-0000-000033000000}"/>
    <cellStyle name="60% - Accent6 4" xfId="399" xr:uid="{00000000-0005-0000-0000-000034000000}"/>
    <cellStyle name="Accent1 2" xfId="76" xr:uid="{00000000-0005-0000-0000-000035000000}"/>
    <cellStyle name="Accent1 2 2" xfId="311" xr:uid="{00000000-0005-0000-0000-000036000000}"/>
    <cellStyle name="Accent1 3" xfId="75" xr:uid="{00000000-0005-0000-0000-000037000000}"/>
    <cellStyle name="Accent1 3 2" xfId="312" xr:uid="{00000000-0005-0000-0000-000038000000}"/>
    <cellStyle name="Accent2 2" xfId="78" xr:uid="{00000000-0005-0000-0000-000039000000}"/>
    <cellStyle name="Accent2 3" xfId="77" xr:uid="{00000000-0005-0000-0000-00003A000000}"/>
    <cellStyle name="Accent3 2" xfId="80" xr:uid="{00000000-0005-0000-0000-00003B000000}"/>
    <cellStyle name="Accent3 2 2" xfId="313" xr:uid="{00000000-0005-0000-0000-00003C000000}"/>
    <cellStyle name="Accent3 3" xfId="79" xr:uid="{00000000-0005-0000-0000-00003D000000}"/>
    <cellStyle name="Accent4 2" xfId="82" xr:uid="{00000000-0005-0000-0000-00003E000000}"/>
    <cellStyle name="Accent4 3" xfId="81" xr:uid="{00000000-0005-0000-0000-00003F000000}"/>
    <cellStyle name="Accent4 4" xfId="400" xr:uid="{00000000-0005-0000-0000-000040000000}"/>
    <cellStyle name="Accent5 2" xfId="84" xr:uid="{00000000-0005-0000-0000-000041000000}"/>
    <cellStyle name="Accent5 3" xfId="83" xr:uid="{00000000-0005-0000-0000-000042000000}"/>
    <cellStyle name="Accent6 2" xfId="86" xr:uid="{00000000-0005-0000-0000-000043000000}"/>
    <cellStyle name="Accent6 2 2" xfId="314" xr:uid="{00000000-0005-0000-0000-000044000000}"/>
    <cellStyle name="Accent6 3" xfId="85" xr:uid="{00000000-0005-0000-0000-000045000000}"/>
    <cellStyle name="Accounting" xfId="87" xr:uid="{00000000-0005-0000-0000-000046000000}"/>
    <cellStyle name="Accounting 2" xfId="88" xr:uid="{00000000-0005-0000-0000-000047000000}"/>
    <cellStyle name="Accounting 3" xfId="89" xr:uid="{00000000-0005-0000-0000-000048000000}"/>
    <cellStyle name="Accounting_2011-11" xfId="90" xr:uid="{00000000-0005-0000-0000-000049000000}"/>
    <cellStyle name="Bad 2" xfId="92" xr:uid="{00000000-0005-0000-0000-00004A000000}"/>
    <cellStyle name="Bad 3" xfId="91" xr:uid="{00000000-0005-0000-0000-00004B000000}"/>
    <cellStyle name="Budget" xfId="93" xr:uid="{00000000-0005-0000-0000-00004C000000}"/>
    <cellStyle name="Budget 2" xfId="94" xr:uid="{00000000-0005-0000-0000-00004D000000}"/>
    <cellStyle name="Budget 3" xfId="95" xr:uid="{00000000-0005-0000-0000-00004E000000}"/>
    <cellStyle name="Budget_2011-11" xfId="96" xr:uid="{00000000-0005-0000-0000-00004F000000}"/>
    <cellStyle name="Calculation 2" xfId="98" xr:uid="{00000000-0005-0000-0000-000050000000}"/>
    <cellStyle name="Calculation 2 2" xfId="315" xr:uid="{00000000-0005-0000-0000-000051000000}"/>
    <cellStyle name="Calculation 3" xfId="97" xr:uid="{00000000-0005-0000-0000-000052000000}"/>
    <cellStyle name="Calculation 3 2" xfId="316" xr:uid="{00000000-0005-0000-0000-000053000000}"/>
    <cellStyle name="Check Cell 2" xfId="100" xr:uid="{00000000-0005-0000-0000-000054000000}"/>
    <cellStyle name="Check Cell 3" xfId="99" xr:uid="{00000000-0005-0000-0000-000055000000}"/>
    <cellStyle name="combo" xfId="101" xr:uid="{00000000-0005-0000-0000-000056000000}"/>
    <cellStyle name="Comma" xfId="1" builtinId="3"/>
    <cellStyle name="Comma 10" xfId="103" xr:uid="{00000000-0005-0000-0000-000058000000}"/>
    <cellStyle name="Comma 11" xfId="104" xr:uid="{00000000-0005-0000-0000-000059000000}"/>
    <cellStyle name="Comma 12" xfId="102" xr:uid="{00000000-0005-0000-0000-00005A000000}"/>
    <cellStyle name="Comma 12 2" xfId="277" xr:uid="{00000000-0005-0000-0000-00005B000000}"/>
    <cellStyle name="Comma 12 3" xfId="282" xr:uid="{00000000-0005-0000-0000-00005C000000}"/>
    <cellStyle name="Comma 13" xfId="283" xr:uid="{00000000-0005-0000-0000-00005D000000}"/>
    <cellStyle name="Comma 14" xfId="284" xr:uid="{00000000-0005-0000-0000-00005E000000}"/>
    <cellStyle name="Comma 15" xfId="285" xr:uid="{00000000-0005-0000-0000-00005F000000}"/>
    <cellStyle name="Comma 16" xfId="286" xr:uid="{00000000-0005-0000-0000-000060000000}"/>
    <cellStyle name="Comma 17" xfId="317" xr:uid="{00000000-0005-0000-0000-000061000000}"/>
    <cellStyle name="Comma 18" xfId="318" xr:uid="{00000000-0005-0000-0000-000062000000}"/>
    <cellStyle name="Comma 19" xfId="319" xr:uid="{00000000-0005-0000-0000-000063000000}"/>
    <cellStyle name="Comma 2" xfId="5" xr:uid="{00000000-0005-0000-0000-000064000000}"/>
    <cellStyle name="Comma 2 2" xfId="6" xr:uid="{00000000-0005-0000-0000-000065000000}"/>
    <cellStyle name="Comma 2 2 2" xfId="320" xr:uid="{00000000-0005-0000-0000-000066000000}"/>
    <cellStyle name="Comma 2 3" xfId="105" xr:uid="{00000000-0005-0000-0000-000067000000}"/>
    <cellStyle name="Comma 2 4" xfId="321" xr:uid="{00000000-0005-0000-0000-000068000000}"/>
    <cellStyle name="Comma 2 6" xfId="7" xr:uid="{00000000-0005-0000-0000-000069000000}"/>
    <cellStyle name="Comma 2 6 2" xfId="8" xr:uid="{00000000-0005-0000-0000-00006A000000}"/>
    <cellStyle name="Comma 20" xfId="370" xr:uid="{00000000-0005-0000-0000-00006B000000}"/>
    <cellStyle name="Comma 20 2" xfId="390" xr:uid="{00000000-0005-0000-0000-00006C000000}"/>
    <cellStyle name="Comma 21" xfId="401" xr:uid="{00000000-0005-0000-0000-00006D000000}"/>
    <cellStyle name="Comma 3" xfId="9" xr:uid="{00000000-0005-0000-0000-00006E000000}"/>
    <cellStyle name="Comma 3 2" xfId="106" xr:uid="{00000000-0005-0000-0000-00006F000000}"/>
    <cellStyle name="Comma 3 2 2" xfId="107" xr:uid="{00000000-0005-0000-0000-000070000000}"/>
    <cellStyle name="Comma 3 3" xfId="287" xr:uid="{00000000-0005-0000-0000-000071000000}"/>
    <cellStyle name="Comma 3 4" xfId="322" xr:uid="{00000000-0005-0000-0000-000072000000}"/>
    <cellStyle name="Comma 4" xfId="108" xr:uid="{00000000-0005-0000-0000-000073000000}"/>
    <cellStyle name="Comma 4 2" xfId="109" xr:uid="{00000000-0005-0000-0000-000074000000}"/>
    <cellStyle name="Comma 4 2 2" xfId="288" xr:uid="{00000000-0005-0000-0000-000075000000}"/>
    <cellStyle name="Comma 4 3" xfId="110" xr:uid="{00000000-0005-0000-0000-000076000000}"/>
    <cellStyle name="Comma 4 3 2" xfId="289" xr:uid="{00000000-0005-0000-0000-000077000000}"/>
    <cellStyle name="Comma 4 4" xfId="290" xr:uid="{00000000-0005-0000-0000-000078000000}"/>
    <cellStyle name="Comma 4 5" xfId="111" xr:uid="{00000000-0005-0000-0000-000079000000}"/>
    <cellStyle name="Comma 4 6" xfId="280" xr:uid="{00000000-0005-0000-0000-00007A000000}"/>
    <cellStyle name="Comma 5" xfId="112" xr:uid="{00000000-0005-0000-0000-00007B000000}"/>
    <cellStyle name="Comma 6" xfId="113" xr:uid="{00000000-0005-0000-0000-00007C000000}"/>
    <cellStyle name="Comma 6 2" xfId="323" xr:uid="{00000000-0005-0000-0000-00007D000000}"/>
    <cellStyle name="Comma 7" xfId="114" xr:uid="{00000000-0005-0000-0000-00007E000000}"/>
    <cellStyle name="Comma 8" xfId="115" xr:uid="{00000000-0005-0000-0000-00007F000000}"/>
    <cellStyle name="Comma 9" xfId="116" xr:uid="{00000000-0005-0000-0000-000080000000}"/>
    <cellStyle name="Comma(2)" xfId="117" xr:uid="{00000000-0005-0000-0000-000081000000}"/>
    <cellStyle name="Comma0 - Style2" xfId="118" xr:uid="{00000000-0005-0000-0000-000082000000}"/>
    <cellStyle name="Comma1 - Style1" xfId="119" xr:uid="{00000000-0005-0000-0000-000083000000}"/>
    <cellStyle name="Comments" xfId="120" xr:uid="{00000000-0005-0000-0000-000084000000}"/>
    <cellStyle name="Currency" xfId="2" builtinId="4"/>
    <cellStyle name="Currency 10" xfId="324" xr:uid="{00000000-0005-0000-0000-000086000000}"/>
    <cellStyle name="Currency 11" xfId="371" xr:uid="{00000000-0005-0000-0000-000087000000}"/>
    <cellStyle name="Currency 11 2" xfId="391" xr:uid="{00000000-0005-0000-0000-000088000000}"/>
    <cellStyle name="Currency 12" xfId="402" xr:uid="{00000000-0005-0000-0000-000089000000}"/>
    <cellStyle name="Currency 2" xfId="10" xr:uid="{00000000-0005-0000-0000-00008A000000}"/>
    <cellStyle name="Currency 2 2" xfId="11" xr:uid="{00000000-0005-0000-0000-00008B000000}"/>
    <cellStyle name="Currency 2 2 2" xfId="123" xr:uid="{00000000-0005-0000-0000-00008C000000}"/>
    <cellStyle name="Currency 2 3" xfId="122" xr:uid="{00000000-0005-0000-0000-00008D000000}"/>
    <cellStyle name="Currency 2 3 2" xfId="325" xr:uid="{00000000-0005-0000-0000-00008E000000}"/>
    <cellStyle name="Currency 2 6" xfId="12" xr:uid="{00000000-0005-0000-0000-00008F000000}"/>
    <cellStyle name="Currency 2 6 2" xfId="13" xr:uid="{00000000-0005-0000-0000-000090000000}"/>
    <cellStyle name="Currency 3" xfId="14" xr:uid="{00000000-0005-0000-0000-000091000000}"/>
    <cellStyle name="Currency 3 2" xfId="125" xr:uid="{00000000-0005-0000-0000-000092000000}"/>
    <cellStyle name="Currency 3 3" xfId="124" xr:uid="{00000000-0005-0000-0000-000093000000}"/>
    <cellStyle name="Currency 3 4" xfId="291" xr:uid="{00000000-0005-0000-0000-000094000000}"/>
    <cellStyle name="Currency 4" xfId="15" xr:uid="{00000000-0005-0000-0000-000095000000}"/>
    <cellStyle name="Currency 4 2" xfId="16" xr:uid="{00000000-0005-0000-0000-000096000000}"/>
    <cellStyle name="Currency 5" xfId="121" xr:uid="{00000000-0005-0000-0000-000097000000}"/>
    <cellStyle name="Currency 5 2" xfId="276" xr:uid="{00000000-0005-0000-0000-000098000000}"/>
    <cellStyle name="Currency 5 3" xfId="292" xr:uid="{00000000-0005-0000-0000-000099000000}"/>
    <cellStyle name="Currency 6" xfId="293" xr:uid="{00000000-0005-0000-0000-00009A000000}"/>
    <cellStyle name="Currency 7" xfId="294" xr:uid="{00000000-0005-0000-0000-00009B000000}"/>
    <cellStyle name="Currency 8" xfId="326" xr:uid="{00000000-0005-0000-0000-00009C000000}"/>
    <cellStyle name="Currency 9" xfId="327" xr:uid="{00000000-0005-0000-0000-00009D000000}"/>
    <cellStyle name="Data Enter" xfId="126" xr:uid="{00000000-0005-0000-0000-00009E000000}"/>
    <cellStyle name="date" xfId="328" xr:uid="{00000000-0005-0000-0000-00009F000000}"/>
    <cellStyle name="Explanatory Text 2" xfId="128" xr:uid="{00000000-0005-0000-0000-0000A0000000}"/>
    <cellStyle name="Explanatory Text 3" xfId="127" xr:uid="{00000000-0005-0000-0000-0000A1000000}"/>
    <cellStyle name="FactSheet" xfId="129" xr:uid="{00000000-0005-0000-0000-0000A2000000}"/>
    <cellStyle name="fish" xfId="329" xr:uid="{00000000-0005-0000-0000-0000A3000000}"/>
    <cellStyle name="Good 2" xfId="131" xr:uid="{00000000-0005-0000-0000-0000A4000000}"/>
    <cellStyle name="Good 3" xfId="130" xr:uid="{00000000-0005-0000-0000-0000A5000000}"/>
    <cellStyle name="Heading 1 2" xfId="133" xr:uid="{00000000-0005-0000-0000-0000A6000000}"/>
    <cellStyle name="Heading 1 2 2" xfId="330" xr:uid="{00000000-0005-0000-0000-0000A7000000}"/>
    <cellStyle name="Heading 1 3" xfId="132" xr:uid="{00000000-0005-0000-0000-0000A8000000}"/>
    <cellStyle name="Heading 1 3 2" xfId="331" xr:uid="{00000000-0005-0000-0000-0000A9000000}"/>
    <cellStyle name="Heading 2 2" xfId="135" xr:uid="{00000000-0005-0000-0000-0000AA000000}"/>
    <cellStyle name="Heading 2 2 2" xfId="332" xr:uid="{00000000-0005-0000-0000-0000AB000000}"/>
    <cellStyle name="Heading 2 3" xfId="134" xr:uid="{00000000-0005-0000-0000-0000AC000000}"/>
    <cellStyle name="Heading 2 3 2" xfId="333" xr:uid="{00000000-0005-0000-0000-0000AD000000}"/>
    <cellStyle name="Heading 3 2" xfId="137" xr:uid="{00000000-0005-0000-0000-0000AE000000}"/>
    <cellStyle name="Heading 3 2 2" xfId="334" xr:uid="{00000000-0005-0000-0000-0000AF000000}"/>
    <cellStyle name="Heading 3 3" xfId="136" xr:uid="{00000000-0005-0000-0000-0000B0000000}"/>
    <cellStyle name="Heading 3 3 2" xfId="335" xr:uid="{00000000-0005-0000-0000-0000B1000000}"/>
    <cellStyle name="Heading 4 2" xfId="139" xr:uid="{00000000-0005-0000-0000-0000B2000000}"/>
    <cellStyle name="Heading 4 3" xfId="138" xr:uid="{00000000-0005-0000-0000-0000B3000000}"/>
    <cellStyle name="Heading 4 4" xfId="403" xr:uid="{00000000-0005-0000-0000-0000B4000000}"/>
    <cellStyle name="Hyperlink 2" xfId="140" xr:uid="{00000000-0005-0000-0000-0000B5000000}"/>
    <cellStyle name="Hyperlink 3" xfId="141" xr:uid="{00000000-0005-0000-0000-0000B6000000}"/>
    <cellStyle name="Hyperlink 3 2" xfId="295" xr:uid="{00000000-0005-0000-0000-0000B7000000}"/>
    <cellStyle name="Input 2" xfId="143" xr:uid="{00000000-0005-0000-0000-0000B8000000}"/>
    <cellStyle name="Input 3" xfId="142" xr:uid="{00000000-0005-0000-0000-0000B9000000}"/>
    <cellStyle name="Input 4" xfId="404" xr:uid="{00000000-0005-0000-0000-0000BA000000}"/>
    <cellStyle name="input(0)" xfId="144" xr:uid="{00000000-0005-0000-0000-0000BB000000}"/>
    <cellStyle name="Input(2)" xfId="145" xr:uid="{00000000-0005-0000-0000-0000BC000000}"/>
    <cellStyle name="Linked Cell 2" xfId="147" xr:uid="{00000000-0005-0000-0000-0000BD000000}"/>
    <cellStyle name="Linked Cell 2 2" xfId="336" xr:uid="{00000000-0005-0000-0000-0000BE000000}"/>
    <cellStyle name="Linked Cell 3" xfId="146" xr:uid="{00000000-0005-0000-0000-0000BF000000}"/>
    <cellStyle name="Neutral 2" xfId="149" xr:uid="{00000000-0005-0000-0000-0000C0000000}"/>
    <cellStyle name="Neutral 2 2" xfId="337" xr:uid="{00000000-0005-0000-0000-0000C1000000}"/>
    <cellStyle name="Neutral 3" xfId="148" xr:uid="{00000000-0005-0000-0000-0000C2000000}"/>
    <cellStyle name="New_normal" xfId="150" xr:uid="{00000000-0005-0000-0000-0000C3000000}"/>
    <cellStyle name="Normal" xfId="0" builtinId="0"/>
    <cellStyle name="Normal - Style1" xfId="151" xr:uid="{00000000-0005-0000-0000-0000C5000000}"/>
    <cellStyle name="Normal - Style2" xfId="152" xr:uid="{00000000-0005-0000-0000-0000C6000000}"/>
    <cellStyle name="Normal - Style3" xfId="153" xr:uid="{00000000-0005-0000-0000-0000C7000000}"/>
    <cellStyle name="Normal - Style4" xfId="154" xr:uid="{00000000-0005-0000-0000-0000C8000000}"/>
    <cellStyle name="Normal - Style5" xfId="155" xr:uid="{00000000-0005-0000-0000-0000C9000000}"/>
    <cellStyle name="Normal 10" xfId="156" xr:uid="{00000000-0005-0000-0000-0000CA000000}"/>
    <cellStyle name="Normal 10 2" xfId="17" xr:uid="{00000000-0005-0000-0000-0000CB000000}"/>
    <cellStyle name="Normal 10 2 2" xfId="339" xr:uid="{00000000-0005-0000-0000-0000CC000000}"/>
    <cellStyle name="Normal 10 2 3" xfId="338" xr:uid="{00000000-0005-0000-0000-0000CD000000}"/>
    <cellStyle name="Normal 10_2112 DF Schedule" xfId="340" xr:uid="{00000000-0005-0000-0000-0000CE000000}"/>
    <cellStyle name="Normal 100" xfId="380" xr:uid="{00000000-0005-0000-0000-0000CF000000}"/>
    <cellStyle name="Normal 101" xfId="382" xr:uid="{00000000-0005-0000-0000-0000D0000000}"/>
    <cellStyle name="Normal 102" xfId="383" xr:uid="{00000000-0005-0000-0000-0000D1000000}"/>
    <cellStyle name="Normal 103" xfId="384" xr:uid="{00000000-0005-0000-0000-0000D2000000}"/>
    <cellStyle name="Normal 104" xfId="385" xr:uid="{00000000-0005-0000-0000-0000D3000000}"/>
    <cellStyle name="Normal 105" xfId="381" xr:uid="{00000000-0005-0000-0000-0000D4000000}"/>
    <cellStyle name="Normal 106" xfId="386" xr:uid="{00000000-0005-0000-0000-0000D5000000}"/>
    <cellStyle name="Normal 107" xfId="387" xr:uid="{00000000-0005-0000-0000-0000D6000000}"/>
    <cellStyle name="Normal 108" xfId="388" xr:uid="{00000000-0005-0000-0000-0000D7000000}"/>
    <cellStyle name="Normal 109" xfId="394" xr:uid="{00000000-0005-0000-0000-0000D8000000}"/>
    <cellStyle name="Normal 11" xfId="157" xr:uid="{00000000-0005-0000-0000-0000D9000000}"/>
    <cellStyle name="Normal 12" xfId="158" xr:uid="{00000000-0005-0000-0000-0000DA000000}"/>
    <cellStyle name="Normal 12 2" xfId="341" xr:uid="{00000000-0005-0000-0000-0000DB000000}"/>
    <cellStyle name="Normal 13" xfId="159" xr:uid="{00000000-0005-0000-0000-0000DC000000}"/>
    <cellStyle name="Normal 13 2" xfId="342" xr:uid="{00000000-0005-0000-0000-0000DD000000}"/>
    <cellStyle name="Normal 14" xfId="160" xr:uid="{00000000-0005-0000-0000-0000DE000000}"/>
    <cellStyle name="Normal 14 2" xfId="343" xr:uid="{00000000-0005-0000-0000-0000DF000000}"/>
    <cellStyle name="Normal 15" xfId="161" xr:uid="{00000000-0005-0000-0000-0000E0000000}"/>
    <cellStyle name="Normal 15 2" xfId="344" xr:uid="{00000000-0005-0000-0000-0000E1000000}"/>
    <cellStyle name="Normal 16" xfId="162" xr:uid="{00000000-0005-0000-0000-0000E2000000}"/>
    <cellStyle name="Normal 16 2" xfId="345" xr:uid="{00000000-0005-0000-0000-0000E3000000}"/>
    <cellStyle name="Normal 17" xfId="163" xr:uid="{00000000-0005-0000-0000-0000E4000000}"/>
    <cellStyle name="Normal 17 2" xfId="346" xr:uid="{00000000-0005-0000-0000-0000E5000000}"/>
    <cellStyle name="Normal 18" xfId="164" xr:uid="{00000000-0005-0000-0000-0000E6000000}"/>
    <cellStyle name="Normal 18 2" xfId="347" xr:uid="{00000000-0005-0000-0000-0000E7000000}"/>
    <cellStyle name="Normal 19" xfId="165" xr:uid="{00000000-0005-0000-0000-0000E8000000}"/>
    <cellStyle name="Normal 19 2" xfId="348" xr:uid="{00000000-0005-0000-0000-0000E9000000}"/>
    <cellStyle name="Normal 2" xfId="18" xr:uid="{00000000-0005-0000-0000-0000EA000000}"/>
    <cellStyle name="Normal 2 2" xfId="19" xr:uid="{00000000-0005-0000-0000-0000EB000000}"/>
    <cellStyle name="Normal 2 2 2" xfId="167" xr:uid="{00000000-0005-0000-0000-0000EC000000}"/>
    <cellStyle name="Normal 2 2 3" xfId="166" xr:uid="{00000000-0005-0000-0000-0000ED000000}"/>
    <cellStyle name="Normal 2 2_Actual_Fuel" xfId="168" xr:uid="{00000000-0005-0000-0000-0000EE000000}"/>
    <cellStyle name="Normal 2 3" xfId="169" xr:uid="{00000000-0005-0000-0000-0000EF000000}"/>
    <cellStyle name="Normal 2 3 2" xfId="170" xr:uid="{00000000-0005-0000-0000-0000F0000000}"/>
    <cellStyle name="Normal 2 3 3" xfId="296" xr:uid="{00000000-0005-0000-0000-0000F1000000}"/>
    <cellStyle name="Normal 2 4" xfId="297" xr:uid="{00000000-0005-0000-0000-0000F2000000}"/>
    <cellStyle name="Normal 2 5" xfId="298" xr:uid="{00000000-0005-0000-0000-0000F3000000}"/>
    <cellStyle name="Normal 2_2012-10" xfId="171" xr:uid="{00000000-0005-0000-0000-0000F4000000}"/>
    <cellStyle name="Normal 20" xfId="172" xr:uid="{00000000-0005-0000-0000-0000F5000000}"/>
    <cellStyle name="Normal 21" xfId="173" xr:uid="{00000000-0005-0000-0000-0000F6000000}"/>
    <cellStyle name="Normal 22" xfId="174" xr:uid="{00000000-0005-0000-0000-0000F7000000}"/>
    <cellStyle name="Normal 23" xfId="175" xr:uid="{00000000-0005-0000-0000-0000F8000000}"/>
    <cellStyle name="Normal 24" xfId="176" xr:uid="{00000000-0005-0000-0000-0000F9000000}"/>
    <cellStyle name="Normal 25" xfId="177" xr:uid="{00000000-0005-0000-0000-0000FA000000}"/>
    <cellStyle name="Normal 26" xfId="178" xr:uid="{00000000-0005-0000-0000-0000FB000000}"/>
    <cellStyle name="Normal 27" xfId="179" xr:uid="{00000000-0005-0000-0000-0000FC000000}"/>
    <cellStyle name="Normal 28" xfId="180" xr:uid="{00000000-0005-0000-0000-0000FD000000}"/>
    <cellStyle name="Normal 29" xfId="181" xr:uid="{00000000-0005-0000-0000-0000FE000000}"/>
    <cellStyle name="Normal 3" xfId="20" xr:uid="{00000000-0005-0000-0000-0000FF000000}"/>
    <cellStyle name="Normal 3 2" xfId="183" xr:uid="{00000000-0005-0000-0000-000000010000}"/>
    <cellStyle name="Normal 3 3" xfId="182" xr:uid="{00000000-0005-0000-0000-000001010000}"/>
    <cellStyle name="Normal 3 4" xfId="281" xr:uid="{00000000-0005-0000-0000-000002010000}"/>
    <cellStyle name="Normal 3_2012 PR" xfId="184" xr:uid="{00000000-0005-0000-0000-000003010000}"/>
    <cellStyle name="Normal 30" xfId="185" xr:uid="{00000000-0005-0000-0000-000004010000}"/>
    <cellStyle name="Normal 31" xfId="186" xr:uid="{00000000-0005-0000-0000-000005010000}"/>
    <cellStyle name="Normal 32" xfId="187" xr:uid="{00000000-0005-0000-0000-000006010000}"/>
    <cellStyle name="Normal 33" xfId="188" xr:uid="{00000000-0005-0000-0000-000007010000}"/>
    <cellStyle name="Normal 34" xfId="189" xr:uid="{00000000-0005-0000-0000-000008010000}"/>
    <cellStyle name="Normal 35" xfId="190" xr:uid="{00000000-0005-0000-0000-000009010000}"/>
    <cellStyle name="Normal 36" xfId="191" xr:uid="{00000000-0005-0000-0000-00000A010000}"/>
    <cellStyle name="Normal 37" xfId="192" xr:uid="{00000000-0005-0000-0000-00000B010000}"/>
    <cellStyle name="Normal 38" xfId="193" xr:uid="{00000000-0005-0000-0000-00000C010000}"/>
    <cellStyle name="Normal 39" xfId="194" xr:uid="{00000000-0005-0000-0000-00000D010000}"/>
    <cellStyle name="Normal 4" xfId="21" xr:uid="{00000000-0005-0000-0000-00000E010000}"/>
    <cellStyle name="Normal 4 2" xfId="195" xr:uid="{00000000-0005-0000-0000-00000F010000}"/>
    <cellStyle name="Normal 40" xfId="196" xr:uid="{00000000-0005-0000-0000-000010010000}"/>
    <cellStyle name="Normal 41" xfId="197" xr:uid="{00000000-0005-0000-0000-000011010000}"/>
    <cellStyle name="Normal 42" xfId="198" xr:uid="{00000000-0005-0000-0000-000012010000}"/>
    <cellStyle name="Normal 43" xfId="199" xr:uid="{00000000-0005-0000-0000-000013010000}"/>
    <cellStyle name="Normal 44" xfId="200" xr:uid="{00000000-0005-0000-0000-000014010000}"/>
    <cellStyle name="Normal 45" xfId="201" xr:uid="{00000000-0005-0000-0000-000015010000}"/>
    <cellStyle name="Normal 46" xfId="202" xr:uid="{00000000-0005-0000-0000-000016010000}"/>
    <cellStyle name="Normal 47" xfId="203" xr:uid="{00000000-0005-0000-0000-000017010000}"/>
    <cellStyle name="Normal 48" xfId="204" xr:uid="{00000000-0005-0000-0000-000018010000}"/>
    <cellStyle name="Normal 49" xfId="205" xr:uid="{00000000-0005-0000-0000-000019010000}"/>
    <cellStyle name="Normal 5" xfId="22" xr:uid="{00000000-0005-0000-0000-00001A010000}"/>
    <cellStyle name="Normal 5 2" xfId="206" xr:uid="{00000000-0005-0000-0000-00001B010000}"/>
    <cellStyle name="Normal 5_2112 DF Schedule" xfId="349" xr:uid="{00000000-0005-0000-0000-00001C010000}"/>
    <cellStyle name="Normal 50" xfId="207" xr:uid="{00000000-0005-0000-0000-00001D010000}"/>
    <cellStyle name="Normal 51" xfId="208" xr:uid="{00000000-0005-0000-0000-00001E010000}"/>
    <cellStyle name="Normal 52" xfId="209" xr:uid="{00000000-0005-0000-0000-00001F010000}"/>
    <cellStyle name="Normal 53" xfId="210" xr:uid="{00000000-0005-0000-0000-000020010000}"/>
    <cellStyle name="Normal 54" xfId="211" xr:uid="{00000000-0005-0000-0000-000021010000}"/>
    <cellStyle name="Normal 55" xfId="212" xr:uid="{00000000-0005-0000-0000-000022010000}"/>
    <cellStyle name="Normal 56" xfId="213" xr:uid="{00000000-0005-0000-0000-000023010000}"/>
    <cellStyle name="Normal 57" xfId="214" xr:uid="{00000000-0005-0000-0000-000024010000}"/>
    <cellStyle name="Normal 58" xfId="215" xr:uid="{00000000-0005-0000-0000-000025010000}"/>
    <cellStyle name="Normal 59" xfId="216" xr:uid="{00000000-0005-0000-0000-000026010000}"/>
    <cellStyle name="Normal 6" xfId="23" xr:uid="{00000000-0005-0000-0000-000027010000}"/>
    <cellStyle name="Normal 6 2" xfId="217" xr:uid="{00000000-0005-0000-0000-000028010000}"/>
    <cellStyle name="Normal 60" xfId="218" xr:uid="{00000000-0005-0000-0000-000029010000}"/>
    <cellStyle name="Normal 61" xfId="219" xr:uid="{00000000-0005-0000-0000-00002A010000}"/>
    <cellStyle name="Normal 62" xfId="220" xr:uid="{00000000-0005-0000-0000-00002B010000}"/>
    <cellStyle name="Normal 63" xfId="221" xr:uid="{00000000-0005-0000-0000-00002C010000}"/>
    <cellStyle name="Normal 64" xfId="222" xr:uid="{00000000-0005-0000-0000-00002D010000}"/>
    <cellStyle name="Normal 65" xfId="223" xr:uid="{00000000-0005-0000-0000-00002E010000}"/>
    <cellStyle name="Normal 66" xfId="224" xr:uid="{00000000-0005-0000-0000-00002F010000}"/>
    <cellStyle name="Normal 67" xfId="225" xr:uid="{00000000-0005-0000-0000-000030010000}"/>
    <cellStyle name="Normal 68" xfId="226" xr:uid="{00000000-0005-0000-0000-000031010000}"/>
    <cellStyle name="Normal 69" xfId="227" xr:uid="{00000000-0005-0000-0000-000032010000}"/>
    <cellStyle name="Normal 7" xfId="228" xr:uid="{00000000-0005-0000-0000-000033010000}"/>
    <cellStyle name="Normal 70" xfId="229" xr:uid="{00000000-0005-0000-0000-000034010000}"/>
    <cellStyle name="Normal 71" xfId="230" xr:uid="{00000000-0005-0000-0000-000035010000}"/>
    <cellStyle name="Normal 72" xfId="231" xr:uid="{00000000-0005-0000-0000-000036010000}"/>
    <cellStyle name="Normal 73" xfId="232" xr:uid="{00000000-0005-0000-0000-000037010000}"/>
    <cellStyle name="Normal 74" xfId="233" xr:uid="{00000000-0005-0000-0000-000038010000}"/>
    <cellStyle name="Normal 75" xfId="234" xr:uid="{00000000-0005-0000-0000-000039010000}"/>
    <cellStyle name="Normal 76" xfId="235" xr:uid="{00000000-0005-0000-0000-00003A010000}"/>
    <cellStyle name="Normal 77" xfId="236" xr:uid="{00000000-0005-0000-0000-00003B010000}"/>
    <cellStyle name="Normal 78" xfId="237" xr:uid="{00000000-0005-0000-0000-00003C010000}"/>
    <cellStyle name="Normal 79" xfId="238" xr:uid="{00000000-0005-0000-0000-00003D010000}"/>
    <cellStyle name="Normal 8" xfId="239" xr:uid="{00000000-0005-0000-0000-00003E010000}"/>
    <cellStyle name="Normal 80" xfId="240" xr:uid="{00000000-0005-0000-0000-00003F010000}"/>
    <cellStyle name="Normal 81" xfId="241" xr:uid="{00000000-0005-0000-0000-000040010000}"/>
    <cellStyle name="Normal 82" xfId="242" xr:uid="{00000000-0005-0000-0000-000041010000}"/>
    <cellStyle name="Normal 83" xfId="243" xr:uid="{00000000-0005-0000-0000-000042010000}"/>
    <cellStyle name="Normal 84" xfId="38" xr:uid="{00000000-0005-0000-0000-000043010000}"/>
    <cellStyle name="Normal 84 2" xfId="278" xr:uid="{00000000-0005-0000-0000-000044010000}"/>
    <cellStyle name="Normal 84 3" xfId="350" xr:uid="{00000000-0005-0000-0000-000045010000}"/>
    <cellStyle name="Normal 85" xfId="252" xr:uid="{00000000-0005-0000-0000-000046010000}"/>
    <cellStyle name="Normal 86" xfId="270" xr:uid="{00000000-0005-0000-0000-000047010000}"/>
    <cellStyle name="Normal 87" xfId="271" xr:uid="{00000000-0005-0000-0000-000048010000}"/>
    <cellStyle name="Normal 88" xfId="272" xr:uid="{00000000-0005-0000-0000-000049010000}"/>
    <cellStyle name="Normal 89" xfId="273" xr:uid="{00000000-0005-0000-0000-00004A010000}"/>
    <cellStyle name="Normal 9" xfId="244" xr:uid="{00000000-0005-0000-0000-00004B010000}"/>
    <cellStyle name="Normal 90" xfId="274" xr:uid="{00000000-0005-0000-0000-00004C010000}"/>
    <cellStyle name="Normal 91" xfId="279" xr:uid="{00000000-0005-0000-0000-00004D010000}"/>
    <cellStyle name="Normal 92" xfId="369" xr:uid="{00000000-0005-0000-0000-00004E010000}"/>
    <cellStyle name="Normal 92 2" xfId="389" xr:uid="{00000000-0005-0000-0000-00004F010000}"/>
    <cellStyle name="Normal 93" xfId="373" xr:uid="{00000000-0005-0000-0000-000050010000}"/>
    <cellStyle name="Normal 93 2" xfId="393" xr:uid="{00000000-0005-0000-0000-000051010000}"/>
    <cellStyle name="Normal 94" xfId="374" xr:uid="{00000000-0005-0000-0000-000052010000}"/>
    <cellStyle name="Normal 95" xfId="375" xr:uid="{00000000-0005-0000-0000-000053010000}"/>
    <cellStyle name="Normal 96" xfId="376" xr:uid="{00000000-0005-0000-0000-000054010000}"/>
    <cellStyle name="Normal 97" xfId="377" xr:uid="{00000000-0005-0000-0000-000055010000}"/>
    <cellStyle name="Normal 98" xfId="378" xr:uid="{00000000-0005-0000-0000-000056010000}"/>
    <cellStyle name="Normal 99" xfId="379" xr:uid="{00000000-0005-0000-0000-000057010000}"/>
    <cellStyle name="Normal_Book3" xfId="409" xr:uid="{74A4A38D-A8ED-486D-9A58-5AEE600AC7CD}"/>
    <cellStyle name="Normal_Price out" xfId="4" xr:uid="{00000000-0005-0000-0000-00005A010000}"/>
    <cellStyle name="Normal_Sheet1" xfId="410" xr:uid="{BB96DB08-D962-44E9-AA6E-A2645A62B9FE}"/>
    <cellStyle name="Note 2" xfId="246" xr:uid="{00000000-0005-0000-0000-00005C010000}"/>
    <cellStyle name="Note 2 2" xfId="351" xr:uid="{00000000-0005-0000-0000-00005D010000}"/>
    <cellStyle name="Note 3" xfId="245" xr:uid="{00000000-0005-0000-0000-00005E010000}"/>
    <cellStyle name="Note 3 2" xfId="352" xr:uid="{00000000-0005-0000-0000-00005F010000}"/>
    <cellStyle name="Note 4" xfId="405" xr:uid="{00000000-0005-0000-0000-000060010000}"/>
    <cellStyle name="Note 6" xfId="411" xr:uid="{51138B6F-8003-4D7B-9D20-7978408F6184}"/>
    <cellStyle name="Notes" xfId="247" xr:uid="{00000000-0005-0000-0000-000061010000}"/>
    <cellStyle name="Output 2" xfId="249" xr:uid="{00000000-0005-0000-0000-000062010000}"/>
    <cellStyle name="Output 3" xfId="248" xr:uid="{00000000-0005-0000-0000-000063010000}"/>
    <cellStyle name="Output 4" xfId="406" xr:uid="{00000000-0005-0000-0000-000064010000}"/>
    <cellStyle name="Percent" xfId="3" builtinId="5"/>
    <cellStyle name="Percent 10" xfId="407" xr:uid="{00000000-0005-0000-0000-000066010000}"/>
    <cellStyle name="Percent 2" xfId="24" xr:uid="{00000000-0005-0000-0000-000067010000}"/>
    <cellStyle name="Percent 2 2" xfId="25" xr:uid="{00000000-0005-0000-0000-000068010000}"/>
    <cellStyle name="Percent 2 2 2" xfId="251" xr:uid="{00000000-0005-0000-0000-000069010000}"/>
    <cellStyle name="Percent 2 3" xfId="353" xr:uid="{00000000-0005-0000-0000-00006A010000}"/>
    <cellStyle name="Percent 2 6" xfId="26" xr:uid="{00000000-0005-0000-0000-00006B010000}"/>
    <cellStyle name="Percent 3" xfId="27" xr:uid="{00000000-0005-0000-0000-00006C010000}"/>
    <cellStyle name="Percent 3 2" xfId="28" xr:uid="{00000000-0005-0000-0000-00006D010000}"/>
    <cellStyle name="Percent 4" xfId="29" xr:uid="{00000000-0005-0000-0000-00006E010000}"/>
    <cellStyle name="Percent 4 2" xfId="355" xr:uid="{00000000-0005-0000-0000-00006F010000}"/>
    <cellStyle name="Percent 4 3" xfId="354" xr:uid="{00000000-0005-0000-0000-000070010000}"/>
    <cellStyle name="Percent 5" xfId="253" xr:uid="{00000000-0005-0000-0000-000071010000}"/>
    <cellStyle name="Percent 6" xfId="254" xr:uid="{00000000-0005-0000-0000-000072010000}"/>
    <cellStyle name="Percent 7" xfId="250" xr:uid="{00000000-0005-0000-0000-000073010000}"/>
    <cellStyle name="Percent 7 2" xfId="275" xr:uid="{00000000-0005-0000-0000-000074010000}"/>
    <cellStyle name="Percent 7 3" xfId="356" xr:uid="{00000000-0005-0000-0000-000075010000}"/>
    <cellStyle name="Percent 8" xfId="357" xr:uid="{00000000-0005-0000-0000-000076010000}"/>
    <cellStyle name="Percent 9" xfId="372" xr:uid="{00000000-0005-0000-0000-000077010000}"/>
    <cellStyle name="Percent 9 2" xfId="392" xr:uid="{00000000-0005-0000-0000-000078010000}"/>
    <cellStyle name="Percent(1)" xfId="255" xr:uid="{00000000-0005-0000-0000-000079010000}"/>
    <cellStyle name="Percent(2)" xfId="256" xr:uid="{00000000-0005-0000-0000-00007A010000}"/>
    <cellStyle name="PRM" xfId="257" xr:uid="{00000000-0005-0000-0000-00007B010000}"/>
    <cellStyle name="PRM 2" xfId="258" xr:uid="{00000000-0005-0000-0000-00007C010000}"/>
    <cellStyle name="PRM 3" xfId="259" xr:uid="{00000000-0005-0000-0000-00007D010000}"/>
    <cellStyle name="PRM_2011-11" xfId="260" xr:uid="{00000000-0005-0000-0000-00007E010000}"/>
    <cellStyle name="PS_Comma" xfId="30" xr:uid="{00000000-0005-0000-0000-00007F010000}"/>
    <cellStyle name="PSChar" xfId="31" xr:uid="{00000000-0005-0000-0000-000080010000}"/>
    <cellStyle name="PSDate" xfId="32" xr:uid="{00000000-0005-0000-0000-000081010000}"/>
    <cellStyle name="PSDec" xfId="33" xr:uid="{00000000-0005-0000-0000-000082010000}"/>
    <cellStyle name="PSHeading" xfId="34" xr:uid="{00000000-0005-0000-0000-000083010000}"/>
    <cellStyle name="PSInt" xfId="35" xr:uid="{00000000-0005-0000-0000-000084010000}"/>
    <cellStyle name="PSSpacer" xfId="36" xr:uid="{00000000-0005-0000-0000-000085010000}"/>
    <cellStyle name="STYL0 - Style1" xfId="358" xr:uid="{00000000-0005-0000-0000-000086010000}"/>
    <cellStyle name="STYL1 - Style2" xfId="359" xr:uid="{00000000-0005-0000-0000-000087010000}"/>
    <cellStyle name="STYL2 - Style3" xfId="360" xr:uid="{00000000-0005-0000-0000-000088010000}"/>
    <cellStyle name="STYL3 - Style4" xfId="361" xr:uid="{00000000-0005-0000-0000-000089010000}"/>
    <cellStyle name="STYL4 - Style5" xfId="362" xr:uid="{00000000-0005-0000-0000-00008A010000}"/>
    <cellStyle name="STYL5 - Style6" xfId="363" xr:uid="{00000000-0005-0000-0000-00008B010000}"/>
    <cellStyle name="STYL6 - Style7" xfId="364" xr:uid="{00000000-0005-0000-0000-00008C010000}"/>
    <cellStyle name="STYL7 - Style8" xfId="365" xr:uid="{00000000-0005-0000-0000-00008D010000}"/>
    <cellStyle name="Style 1" xfId="261" xr:uid="{00000000-0005-0000-0000-00008E010000}"/>
    <cellStyle name="Style 1 2" xfId="262" xr:uid="{00000000-0005-0000-0000-00008F010000}"/>
    <cellStyle name="STYLE1" xfId="263" xr:uid="{00000000-0005-0000-0000-000090010000}"/>
    <cellStyle name="sub heading" xfId="366" xr:uid="{00000000-0005-0000-0000-000091010000}"/>
    <cellStyle name="Title 2" xfId="265" xr:uid="{00000000-0005-0000-0000-000092010000}"/>
    <cellStyle name="Title 3" xfId="264" xr:uid="{00000000-0005-0000-0000-000093010000}"/>
    <cellStyle name="title 4" xfId="408" xr:uid="{00000000-0005-0000-0000-000094010000}"/>
    <cellStyle name="Total 2" xfId="267" xr:uid="{00000000-0005-0000-0000-000095010000}"/>
    <cellStyle name="Total 2 2" xfId="367" xr:uid="{00000000-0005-0000-0000-000096010000}"/>
    <cellStyle name="Total 3" xfId="266" xr:uid="{00000000-0005-0000-0000-000097010000}"/>
    <cellStyle name="Total 3 2" xfId="368" xr:uid="{00000000-0005-0000-0000-000098010000}"/>
    <cellStyle name="Warning Text 2" xfId="269" xr:uid="{00000000-0005-0000-0000-000099010000}"/>
    <cellStyle name="Warning Text 3" xfId="268" xr:uid="{00000000-0005-0000-0000-00009A010000}"/>
    <cellStyle name="WM_STANDARD" xfId="37" xr:uid="{00000000-0005-0000-0000-00009B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62"/>
  <sheetViews>
    <sheetView tabSelected="1" zoomScaleNormal="100" workbookViewId="0">
      <selection activeCell="A2" sqref="A2"/>
    </sheetView>
  </sheetViews>
  <sheetFormatPr defaultColWidth="9.1796875" defaultRowHeight="14.5"/>
  <cols>
    <col min="1" max="1" width="36.26953125" style="3" bestFit="1" customWidth="1"/>
    <col min="2" max="2" width="22.1796875" style="3" bestFit="1" customWidth="1"/>
    <col min="3" max="3" width="19.54296875" style="3" customWidth="1"/>
    <col min="4" max="4" width="10.54296875" style="3" bestFit="1" customWidth="1"/>
    <col min="5" max="5" width="8.81640625" style="3" customWidth="1"/>
    <col min="6" max="6" width="11.453125" style="3" customWidth="1"/>
    <col min="7" max="7" width="11" style="3" bestFit="1" customWidth="1"/>
    <col min="8" max="8" width="8" style="3" bestFit="1" customWidth="1"/>
    <col min="9" max="9" width="15.81640625" style="3" bestFit="1" customWidth="1"/>
    <col min="10" max="10" width="12" style="3" bestFit="1" customWidth="1"/>
    <col min="11" max="13" width="9.1796875" style="3"/>
    <col min="14" max="14" width="14.26953125" style="3" bestFit="1" customWidth="1"/>
    <col min="15" max="15" width="11.54296875" style="3" bestFit="1" customWidth="1"/>
    <col min="16" max="16384" width="9.1796875" style="3"/>
  </cols>
  <sheetData>
    <row r="1" spans="1:8">
      <c r="A1" s="257" t="s">
        <v>19</v>
      </c>
      <c r="B1" s="257"/>
      <c r="C1" s="257"/>
      <c r="D1" s="257"/>
      <c r="E1" s="257"/>
      <c r="F1" s="257"/>
      <c r="G1" s="257"/>
      <c r="H1" s="257"/>
    </row>
    <row r="2" spans="1:8">
      <c r="A2" s="3" t="s">
        <v>59</v>
      </c>
      <c r="B2" s="9" t="s">
        <v>46</v>
      </c>
      <c r="C2" s="9" t="s">
        <v>47</v>
      </c>
      <c r="D2" s="9" t="s">
        <v>48</v>
      </c>
      <c r="E2" s="10" t="s">
        <v>50</v>
      </c>
      <c r="F2" s="10" t="s">
        <v>51</v>
      </c>
      <c r="G2" s="10" t="s">
        <v>52</v>
      </c>
      <c r="H2" s="9" t="s">
        <v>55</v>
      </c>
    </row>
    <row r="3" spans="1:8">
      <c r="A3" s="3" t="s">
        <v>56</v>
      </c>
      <c r="B3" s="1">
        <f>52*5/12</f>
        <v>21.666666666666668</v>
      </c>
      <c r="C3" s="11">
        <f>$B$3*2</f>
        <v>43.333333333333336</v>
      </c>
      <c r="D3" s="11">
        <f>$B$3*3</f>
        <v>65</v>
      </c>
      <c r="E3" s="11">
        <f>$B$3*4</f>
        <v>86.666666666666671</v>
      </c>
      <c r="F3" s="11">
        <f>$B$3*5</f>
        <v>108.33333333333334</v>
      </c>
      <c r="G3" s="11">
        <f>$B$3*6</f>
        <v>130</v>
      </c>
      <c r="H3" s="11">
        <f>$B$3*7</f>
        <v>151.66666666666669</v>
      </c>
    </row>
    <row r="4" spans="1:8">
      <c r="A4" s="3" t="s">
        <v>91</v>
      </c>
      <c r="B4" s="1">
        <f>52*4/12</f>
        <v>17.333333333333332</v>
      </c>
      <c r="C4" s="11">
        <f>$B$4*2</f>
        <v>34.666666666666664</v>
      </c>
      <c r="D4" s="11">
        <f>$B$4*3</f>
        <v>52</v>
      </c>
      <c r="E4" s="11">
        <f>$B$4*4</f>
        <v>69.333333333333329</v>
      </c>
      <c r="F4" s="11">
        <f>$B$4*5</f>
        <v>86.666666666666657</v>
      </c>
      <c r="G4" s="11">
        <f>$B$4*6</f>
        <v>104</v>
      </c>
      <c r="H4" s="11">
        <f>$B$4*7</f>
        <v>121.33333333333333</v>
      </c>
    </row>
    <row r="5" spans="1:8">
      <c r="A5" s="3" t="s">
        <v>57</v>
      </c>
      <c r="B5" s="1">
        <f>52*3/12</f>
        <v>13</v>
      </c>
      <c r="C5" s="11">
        <f>$B$5*2</f>
        <v>26</v>
      </c>
      <c r="D5" s="11">
        <f>$B$5*3</f>
        <v>39</v>
      </c>
      <c r="E5" s="11">
        <f>$B$5*4</f>
        <v>52</v>
      </c>
      <c r="F5" s="11">
        <f>$B$5*5</f>
        <v>65</v>
      </c>
      <c r="G5" s="11">
        <f>$B$5*6</f>
        <v>78</v>
      </c>
      <c r="H5" s="11">
        <f>$B$5*7</f>
        <v>91</v>
      </c>
    </row>
    <row r="6" spans="1:8">
      <c r="A6" s="3" t="s">
        <v>58</v>
      </c>
      <c r="B6" s="1">
        <f>52*2/12</f>
        <v>8.6666666666666661</v>
      </c>
      <c r="C6" s="12">
        <f>$B$6*2</f>
        <v>17.333333333333332</v>
      </c>
      <c r="D6" s="12">
        <f>$B$6*3</f>
        <v>26</v>
      </c>
      <c r="E6" s="12">
        <f>$B$6*4</f>
        <v>34.666666666666664</v>
      </c>
      <c r="F6" s="12">
        <f>$B$6*5</f>
        <v>43.333333333333329</v>
      </c>
      <c r="G6" s="12">
        <f>$B$6*6</f>
        <v>52</v>
      </c>
      <c r="H6" s="12">
        <f>$B$6*7</f>
        <v>60.666666666666664</v>
      </c>
    </row>
    <row r="7" spans="1:8">
      <c r="A7" s="3" t="s">
        <v>22</v>
      </c>
      <c r="B7" s="1">
        <f>52/12</f>
        <v>4.333333333333333</v>
      </c>
      <c r="C7" s="12">
        <f>$B$7*2</f>
        <v>8.6666666666666661</v>
      </c>
      <c r="D7" s="12">
        <f>$B$7*3</f>
        <v>13</v>
      </c>
      <c r="E7" s="12">
        <f>$B$7*4</f>
        <v>17.333333333333332</v>
      </c>
      <c r="F7" s="12">
        <f>$B$7*5</f>
        <v>21.666666666666664</v>
      </c>
      <c r="G7" s="12">
        <f>$B$7*6</f>
        <v>26</v>
      </c>
      <c r="H7" s="12">
        <f>$B$7*7</f>
        <v>30.333333333333332</v>
      </c>
    </row>
    <row r="8" spans="1:8">
      <c r="A8" s="3" t="s">
        <v>24</v>
      </c>
      <c r="B8" s="1">
        <f>26/12</f>
        <v>2.1666666666666665</v>
      </c>
      <c r="C8" s="12">
        <f>$B$8*2</f>
        <v>4.333333333333333</v>
      </c>
      <c r="D8" s="12">
        <f>$B$8*3</f>
        <v>6.5</v>
      </c>
      <c r="E8" s="12">
        <f>$B$8*4</f>
        <v>8.6666666666666661</v>
      </c>
      <c r="F8" s="12">
        <f>$B$8*5</f>
        <v>10.833333333333332</v>
      </c>
      <c r="G8" s="12">
        <f>$B$8*6</f>
        <v>13</v>
      </c>
      <c r="H8" s="12">
        <f>$B$8*7</f>
        <v>15.166666666666666</v>
      </c>
    </row>
    <row r="9" spans="1:8">
      <c r="A9" s="3" t="s">
        <v>23</v>
      </c>
      <c r="B9" s="1">
        <f>12/12</f>
        <v>1</v>
      </c>
      <c r="C9" s="12">
        <f>$B$9*2</f>
        <v>2</v>
      </c>
      <c r="D9" s="12">
        <f>$B$9*3</f>
        <v>3</v>
      </c>
      <c r="E9" s="12">
        <f>$B$9*4</f>
        <v>4</v>
      </c>
      <c r="F9" s="12">
        <f>$B$9*5</f>
        <v>5</v>
      </c>
      <c r="G9" s="12">
        <f>$B$9*6</f>
        <v>6</v>
      </c>
      <c r="H9" s="12">
        <f>$B$9*7</f>
        <v>7</v>
      </c>
    </row>
    <row r="10" spans="1:8">
      <c r="B10" s="1"/>
      <c r="C10" s="12"/>
      <c r="D10" s="12"/>
      <c r="E10" s="12"/>
      <c r="F10" s="12"/>
      <c r="G10" s="12"/>
      <c r="H10" s="12"/>
    </row>
    <row r="11" spans="1:8">
      <c r="A11" s="257" t="s">
        <v>11</v>
      </c>
      <c r="B11" s="257"/>
      <c r="C11" s="26"/>
      <c r="D11" s="12"/>
      <c r="E11" s="12"/>
      <c r="F11" s="12"/>
      <c r="G11" s="12"/>
      <c r="H11" s="12"/>
    </row>
    <row r="12" spans="1:8">
      <c r="A12" s="24" t="s">
        <v>54</v>
      </c>
      <c r="B12" s="28" t="s">
        <v>84</v>
      </c>
      <c r="C12" s="26"/>
      <c r="D12" s="12"/>
      <c r="E12" s="12"/>
      <c r="F12" s="12"/>
      <c r="G12" s="12"/>
      <c r="H12" s="12"/>
    </row>
    <row r="13" spans="1:8">
      <c r="A13" s="27" t="s">
        <v>85</v>
      </c>
      <c r="B13" s="25">
        <v>20</v>
      </c>
      <c r="C13" s="26"/>
      <c r="D13" s="12"/>
      <c r="E13" s="12"/>
      <c r="F13" s="12"/>
      <c r="G13" s="12"/>
      <c r="H13" s="12"/>
    </row>
    <row r="14" spans="1:8">
      <c r="A14" s="27" t="s">
        <v>60</v>
      </c>
      <c r="B14" s="25">
        <v>34</v>
      </c>
      <c r="C14" s="26"/>
      <c r="D14" s="12"/>
      <c r="E14" s="12"/>
      <c r="F14" s="12"/>
      <c r="G14" s="12"/>
      <c r="H14" s="12"/>
    </row>
    <row r="15" spans="1:8">
      <c r="A15" s="27" t="s">
        <v>61</v>
      </c>
      <c r="B15" s="25">
        <v>51</v>
      </c>
      <c r="C15" s="26"/>
      <c r="D15" s="12"/>
      <c r="E15" s="12"/>
      <c r="F15" s="12"/>
      <c r="G15" s="12"/>
      <c r="H15" s="12"/>
    </row>
    <row r="16" spans="1:8">
      <c r="A16" s="27" t="s">
        <v>62</v>
      </c>
      <c r="B16" s="25">
        <v>77</v>
      </c>
      <c r="C16" s="26"/>
      <c r="D16" s="12"/>
      <c r="E16" s="12"/>
      <c r="F16" s="3" t="s">
        <v>20</v>
      </c>
      <c r="G16" s="5">
        <v>2000</v>
      </c>
      <c r="H16" s="12"/>
    </row>
    <row r="17" spans="1:8">
      <c r="A17" s="27" t="s">
        <v>63</v>
      </c>
      <c r="B17" s="25">
        <v>97</v>
      </c>
      <c r="C17" s="26"/>
      <c r="D17" s="12"/>
      <c r="E17" s="12"/>
      <c r="F17" s="3" t="s">
        <v>21</v>
      </c>
      <c r="G17" s="14" t="s">
        <v>49</v>
      </c>
      <c r="H17" s="12"/>
    </row>
    <row r="18" spans="1:8">
      <c r="A18" s="27" t="s">
        <v>64</v>
      </c>
      <c r="B18" s="25">
        <v>117</v>
      </c>
      <c r="C18" s="26"/>
      <c r="D18" s="12"/>
      <c r="E18" s="12"/>
      <c r="H18" s="12"/>
    </row>
    <row r="19" spans="1:8">
      <c r="A19" s="27" t="s">
        <v>65</v>
      </c>
      <c r="B19" s="25">
        <v>157</v>
      </c>
      <c r="C19" s="26"/>
      <c r="D19" s="12"/>
      <c r="E19" s="12"/>
      <c r="F19" s="7"/>
      <c r="G19" s="8"/>
      <c r="H19" s="12"/>
    </row>
    <row r="20" spans="1:8" s="22" customFormat="1">
      <c r="A20" s="46" t="s">
        <v>95</v>
      </c>
      <c r="B20" s="37">
        <v>37</v>
      </c>
      <c r="C20" s="45" t="s">
        <v>86</v>
      </c>
      <c r="D20" s="26"/>
      <c r="E20" s="26"/>
      <c r="F20" s="7"/>
      <c r="G20" s="8"/>
      <c r="H20" s="26"/>
    </row>
    <row r="21" spans="1:8">
      <c r="A21" s="27" t="s">
        <v>66</v>
      </c>
      <c r="B21" s="25">
        <v>47</v>
      </c>
      <c r="C21" s="26"/>
      <c r="D21" s="12"/>
      <c r="E21" s="12"/>
      <c r="F21" s="12"/>
      <c r="G21" s="12"/>
      <c r="H21" s="12"/>
    </row>
    <row r="22" spans="1:8">
      <c r="A22" s="27" t="s">
        <v>67</v>
      </c>
      <c r="B22" s="25">
        <v>68</v>
      </c>
      <c r="C22" s="26"/>
      <c r="D22" s="12"/>
      <c r="E22" s="12"/>
      <c r="F22" s="12"/>
      <c r="G22" s="12"/>
      <c r="H22" s="12"/>
    </row>
    <row r="23" spans="1:8">
      <c r="A23" s="27" t="s">
        <v>68</v>
      </c>
      <c r="B23" s="25">
        <v>34</v>
      </c>
      <c r="C23" s="26"/>
      <c r="D23" s="12"/>
      <c r="E23" s="12"/>
      <c r="F23" s="12"/>
      <c r="G23" s="12"/>
      <c r="H23" s="12"/>
    </row>
    <row r="24" spans="1:8">
      <c r="A24" s="27" t="s">
        <v>32</v>
      </c>
      <c r="B24" s="25">
        <v>34</v>
      </c>
      <c r="C24" s="26"/>
      <c r="D24" s="12"/>
      <c r="E24" s="12"/>
      <c r="F24" s="12"/>
      <c r="G24" s="12"/>
      <c r="H24" s="12"/>
    </row>
    <row r="25" spans="1:8">
      <c r="A25" s="24" t="s">
        <v>69</v>
      </c>
      <c r="B25" s="25"/>
      <c r="C25" s="26"/>
      <c r="D25" s="12"/>
      <c r="E25" s="12"/>
      <c r="F25" s="12"/>
      <c r="G25" s="12"/>
      <c r="H25" s="12"/>
    </row>
    <row r="26" spans="1:8">
      <c r="A26" s="27" t="s">
        <v>70</v>
      </c>
      <c r="B26" s="25">
        <v>29</v>
      </c>
      <c r="C26" s="26"/>
      <c r="D26" s="12"/>
      <c r="E26" s="12"/>
      <c r="F26" s="12"/>
      <c r="G26" s="12"/>
      <c r="H26" s="12"/>
    </row>
    <row r="27" spans="1:8">
      <c r="A27" s="27" t="s">
        <v>71</v>
      </c>
      <c r="B27" s="25">
        <v>175</v>
      </c>
      <c r="C27" s="26"/>
      <c r="D27" s="12"/>
      <c r="E27" s="12"/>
      <c r="F27" s="12"/>
      <c r="G27" s="12"/>
      <c r="H27" s="12"/>
    </row>
    <row r="28" spans="1:8">
      <c r="A28" s="27" t="s">
        <v>72</v>
      </c>
      <c r="B28" s="25">
        <v>250</v>
      </c>
      <c r="C28" s="26"/>
      <c r="D28" s="12"/>
      <c r="E28" s="12"/>
      <c r="F28" s="12"/>
      <c r="G28" s="12"/>
      <c r="H28" s="12"/>
    </row>
    <row r="29" spans="1:8">
      <c r="A29" s="27" t="s">
        <v>73</v>
      </c>
      <c r="B29" s="25">
        <v>324</v>
      </c>
      <c r="C29" s="26"/>
      <c r="D29" s="12"/>
      <c r="E29" s="12"/>
      <c r="F29" s="12"/>
      <c r="G29" s="12"/>
      <c r="H29" s="12"/>
    </row>
    <row r="30" spans="1:8">
      <c r="A30" s="27" t="s">
        <v>74</v>
      </c>
      <c r="B30" s="25">
        <v>473</v>
      </c>
      <c r="C30" s="26"/>
      <c r="D30" s="12"/>
      <c r="E30" s="12"/>
      <c r="F30" s="12"/>
      <c r="G30" s="12"/>
      <c r="H30" s="12"/>
    </row>
    <row r="31" spans="1:8">
      <c r="A31" s="27" t="s">
        <v>75</v>
      </c>
      <c r="B31" s="25">
        <v>613</v>
      </c>
      <c r="C31" s="26"/>
      <c r="D31" s="12"/>
      <c r="E31" s="12"/>
      <c r="F31" s="12"/>
      <c r="G31" s="12"/>
      <c r="H31" s="12"/>
    </row>
    <row r="32" spans="1:8">
      <c r="A32" s="27" t="s">
        <v>76</v>
      </c>
      <c r="B32" s="25">
        <v>840</v>
      </c>
      <c r="C32" s="26"/>
      <c r="D32" s="12"/>
      <c r="E32" s="12"/>
      <c r="F32" s="12"/>
      <c r="G32" s="12"/>
      <c r="H32" s="12"/>
    </row>
    <row r="33" spans="1:15">
      <c r="A33" s="27" t="s">
        <v>77</v>
      </c>
      <c r="B33" s="25">
        <v>980</v>
      </c>
      <c r="C33" s="26"/>
      <c r="D33" s="12"/>
      <c r="E33" s="12"/>
      <c r="F33" s="12"/>
      <c r="G33" s="12"/>
      <c r="H33" s="12"/>
    </row>
    <row r="34" spans="1:15">
      <c r="A34" s="27" t="s">
        <v>92</v>
      </c>
      <c r="B34" s="25">
        <v>482</v>
      </c>
      <c r="C34" s="26" t="s">
        <v>86</v>
      </c>
      <c r="D34" s="12"/>
      <c r="E34" s="12"/>
      <c r="F34" s="12"/>
      <c r="G34" s="12"/>
      <c r="H34" s="12"/>
    </row>
    <row r="35" spans="1:15">
      <c r="A35" s="27" t="s">
        <v>93</v>
      </c>
      <c r="B35" s="25">
        <v>689</v>
      </c>
      <c r="C35" s="26" t="s">
        <v>86</v>
      </c>
      <c r="D35" s="12"/>
      <c r="E35" s="12"/>
      <c r="F35" s="12"/>
      <c r="G35" s="12"/>
      <c r="H35" s="12"/>
    </row>
    <row r="36" spans="1:15" s="22" customFormat="1">
      <c r="A36" s="27" t="s">
        <v>79</v>
      </c>
      <c r="B36" s="25">
        <v>892</v>
      </c>
      <c r="C36" s="26" t="s">
        <v>86</v>
      </c>
      <c r="D36" s="23"/>
      <c r="E36" s="23"/>
      <c r="F36" s="23"/>
      <c r="G36" s="23"/>
      <c r="H36" s="23"/>
    </row>
    <row r="37" spans="1:15" s="22" customFormat="1">
      <c r="A37" s="27" t="s">
        <v>78</v>
      </c>
      <c r="B37" s="25">
        <v>1301</v>
      </c>
      <c r="C37" s="26"/>
      <c r="D37" s="23"/>
      <c r="E37" s="23"/>
      <c r="F37" s="23"/>
      <c r="G37" s="23"/>
      <c r="H37" s="23"/>
    </row>
    <row r="38" spans="1:15" s="22" customFormat="1">
      <c r="A38" s="27" t="s">
        <v>80</v>
      </c>
      <c r="B38" s="25">
        <v>1686</v>
      </c>
      <c r="C38" s="26"/>
      <c r="D38" s="23"/>
      <c r="E38" s="23"/>
      <c r="F38" s="23"/>
      <c r="G38" s="23"/>
      <c r="H38" s="23"/>
    </row>
    <row r="39" spans="1:15" s="22" customFormat="1">
      <c r="A39" s="27" t="s">
        <v>81</v>
      </c>
      <c r="B39" s="25">
        <v>2046</v>
      </c>
      <c r="C39" s="26"/>
      <c r="D39" s="23"/>
      <c r="E39" s="23"/>
      <c r="F39" s="23"/>
      <c r="G39" s="23"/>
      <c r="H39" s="23"/>
    </row>
    <row r="40" spans="1:15" s="22" customFormat="1">
      <c r="A40" s="27" t="s">
        <v>82</v>
      </c>
      <c r="B40" s="25">
        <v>2310</v>
      </c>
      <c r="C40" s="26"/>
      <c r="D40" s="23"/>
      <c r="E40" s="23"/>
      <c r="F40" s="23"/>
      <c r="G40" s="23"/>
      <c r="H40" s="23"/>
    </row>
    <row r="41" spans="1:15" s="22" customFormat="1">
      <c r="A41" s="27" t="s">
        <v>94</v>
      </c>
      <c r="B41" s="25">
        <v>2800</v>
      </c>
      <c r="C41" s="26" t="s">
        <v>86</v>
      </c>
      <c r="D41" s="23"/>
      <c r="E41" s="23"/>
      <c r="F41" s="23"/>
      <c r="G41" s="23"/>
      <c r="H41" s="23"/>
    </row>
    <row r="42" spans="1:15" s="22" customFormat="1">
      <c r="A42" s="27" t="s">
        <v>83</v>
      </c>
      <c r="B42" s="25">
        <v>125</v>
      </c>
      <c r="C42" s="26"/>
      <c r="D42" s="23"/>
      <c r="E42" s="23"/>
      <c r="F42" s="23"/>
      <c r="G42" s="23"/>
      <c r="H42" s="23"/>
    </row>
    <row r="43" spans="1:15">
      <c r="B43" s="93" t="s">
        <v>97</v>
      </c>
      <c r="C43" s="93"/>
      <c r="D43" s="93"/>
    </row>
    <row r="46" spans="1:15">
      <c r="A46" s="21" t="s">
        <v>99</v>
      </c>
      <c r="B46" s="19" t="s">
        <v>6</v>
      </c>
      <c r="C46" s="19" t="s">
        <v>7</v>
      </c>
      <c r="F46" s="258" t="s">
        <v>27</v>
      </c>
      <c r="G46" s="258"/>
    </row>
    <row r="47" spans="1:15">
      <c r="A47" s="15" t="s">
        <v>8</v>
      </c>
      <c r="B47" s="141">
        <v>140.82</v>
      </c>
      <c r="C47" s="142">
        <f>B47/2000</f>
        <v>7.041E-2</v>
      </c>
      <c r="F47" s="3" t="s">
        <v>28</v>
      </c>
      <c r="G47" s="151">
        <f>0.0175</f>
        <v>1.7500000000000002E-2</v>
      </c>
    </row>
    <row r="48" spans="1:15">
      <c r="A48" s="15" t="s">
        <v>9</v>
      </c>
      <c r="B48" s="138">
        <f>140.82+13.2</f>
        <v>154.01999999999998</v>
      </c>
      <c r="C48" s="143">
        <f>B48/2000</f>
        <v>7.7009999999999995E-2</v>
      </c>
      <c r="F48" s="3" t="s">
        <v>29</v>
      </c>
      <c r="G48" s="152">
        <v>5.1000000000000004E-3</v>
      </c>
      <c r="N48" s="17"/>
      <c r="O48" s="17"/>
    </row>
    <row r="49" spans="1:7">
      <c r="A49" s="13" t="s">
        <v>10</v>
      </c>
      <c r="B49" s="141">
        <f>B48-B47</f>
        <v>13.199999999999989</v>
      </c>
      <c r="C49" s="144">
        <f>C48-C47</f>
        <v>6.5999999999999948E-3</v>
      </c>
      <c r="F49" s="3" t="s">
        <v>53</v>
      </c>
      <c r="G49" s="153">
        <v>6.0000000000000001E-3</v>
      </c>
    </row>
    <row r="50" spans="1:7">
      <c r="F50" s="3" t="s">
        <v>17</v>
      </c>
      <c r="G50" s="16">
        <f>SUM(G47:G49)</f>
        <v>2.86E-2</v>
      </c>
    </row>
    <row r="51" spans="1:7">
      <c r="B51" s="20" t="str">
        <f>A46</f>
        <v>King County</v>
      </c>
    </row>
    <row r="52" spans="1:7">
      <c r="A52" s="3" t="s">
        <v>4</v>
      </c>
      <c r="B52" s="17">
        <f>B49</f>
        <v>13.199999999999989</v>
      </c>
      <c r="F52" s="3" t="s">
        <v>30</v>
      </c>
      <c r="G52" s="18">
        <f>1-G50</f>
        <v>0.97140000000000004</v>
      </c>
    </row>
    <row r="53" spans="1:7">
      <c r="A53" s="3" t="s">
        <v>26</v>
      </c>
      <c r="B53" s="17">
        <f>B52/$G$52</f>
        <v>13.588634959851747</v>
      </c>
    </row>
    <row r="54" spans="1:7">
      <c r="A54" s="3" t="s">
        <v>25</v>
      </c>
      <c r="B54" s="6">
        <f>'Staff Calcs '!D120</f>
        <v>20421.427864420846</v>
      </c>
    </row>
    <row r="55" spans="1:7">
      <c r="A55" s="2" t="s">
        <v>31</v>
      </c>
      <c r="B55" s="4">
        <f>B53*B54</f>
        <v>277499.32860855974</v>
      </c>
    </row>
    <row r="58" spans="1:7" ht="15" thickBot="1"/>
    <row r="59" spans="1:7">
      <c r="A59" s="81" t="s">
        <v>89</v>
      </c>
      <c r="B59" s="82" t="s">
        <v>87</v>
      </c>
      <c r="D59" s="17"/>
    </row>
    <row r="60" spans="1:7">
      <c r="A60" s="83" t="s">
        <v>88</v>
      </c>
      <c r="B60" s="84">
        <f>-'Staff Calcs '!Q46</f>
        <v>277499.32860855979</v>
      </c>
    </row>
    <row r="61" spans="1:7">
      <c r="A61" s="83" t="s">
        <v>13</v>
      </c>
      <c r="B61" s="84">
        <f>B60-B55</f>
        <v>0</v>
      </c>
    </row>
    <row r="62" spans="1:7" ht="15" thickBot="1">
      <c r="A62" s="161"/>
      <c r="B62" s="162"/>
    </row>
  </sheetData>
  <mergeCells count="3">
    <mergeCell ref="A1:H1"/>
    <mergeCell ref="F46:G46"/>
    <mergeCell ref="A11:B11"/>
  </mergeCells>
  <pageMargins left="0.28000000000000003" right="0.52" top="0.75" bottom="0.75" header="0.3" footer="0.3"/>
  <pageSetup scale="72" orientation="portrait" r:id="rId1"/>
  <headerFooter>
    <oddHeader>&amp;C&amp;12
Disposal Fee Reference</oddHeader>
    <oddFooter>&amp;L&amp;8&amp;F - &amp;A&amp;C&amp;D&amp;R&amp;P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131"/>
  <sheetViews>
    <sheetView zoomScale="80" zoomScaleNormal="80" workbookViewId="0">
      <pane xSplit="3" ySplit="1" topLeftCell="D2" activePane="bottomRight" state="frozen"/>
      <selection pane="topRight" activeCell="D1" sqref="D1"/>
      <selection pane="bottomLeft" activeCell="A6" sqref="A6"/>
      <selection pane="bottomRight" activeCell="B2" sqref="B2"/>
    </sheetView>
  </sheetViews>
  <sheetFormatPr defaultColWidth="8.81640625" defaultRowHeight="14.5"/>
  <cols>
    <col min="1" max="1" width="5.453125" style="58" bestFit="1" customWidth="1"/>
    <col min="2" max="2" width="27.7265625" style="62" bestFit="1" customWidth="1"/>
    <col min="3" max="3" width="30.7265625" style="58" customWidth="1"/>
    <col min="4" max="4" width="23.7265625" style="59" customWidth="1"/>
    <col min="5" max="5" width="13.7265625" style="58" customWidth="1"/>
    <col min="6" max="6" width="16" style="58" customWidth="1"/>
    <col min="7" max="7" width="19.26953125" style="98" customWidth="1"/>
    <col min="8" max="8" width="25.7265625" style="58" customWidth="1"/>
    <col min="9" max="9" width="21.7265625" style="57" customWidth="1"/>
    <col min="10" max="10" width="13.26953125" style="58" customWidth="1"/>
    <col min="11" max="11" width="12.54296875" style="58" bestFit="1" customWidth="1"/>
    <col min="12" max="12" width="13.7265625" style="58" customWidth="1"/>
    <col min="13" max="13" width="21.7265625" style="58" customWidth="1"/>
    <col min="14" max="14" width="26.26953125" style="58" bestFit="1" customWidth="1"/>
    <col min="15" max="15" width="32.7265625" style="58" bestFit="1" customWidth="1"/>
    <col min="16" max="16" width="31.26953125" style="58" bestFit="1" customWidth="1"/>
    <col min="17" max="17" width="29" style="58" bestFit="1" customWidth="1"/>
    <col min="18" max="18" width="18.1796875" style="58" bestFit="1" customWidth="1"/>
    <col min="19" max="20" width="21.54296875" style="58" bestFit="1" customWidth="1"/>
    <col min="21" max="16384" width="8.81640625" style="58"/>
  </cols>
  <sheetData>
    <row r="1" spans="1:22" ht="29">
      <c r="A1" s="50"/>
      <c r="B1" s="89" t="s">
        <v>16</v>
      </c>
      <c r="C1" s="75" t="s">
        <v>18</v>
      </c>
      <c r="D1" s="74" t="s">
        <v>40</v>
      </c>
      <c r="E1" s="89" t="s">
        <v>0</v>
      </c>
      <c r="F1" s="50" t="s">
        <v>1</v>
      </c>
      <c r="G1" s="94" t="s">
        <v>11</v>
      </c>
      <c r="H1" s="89" t="s">
        <v>35</v>
      </c>
      <c r="I1" s="90" t="s">
        <v>36</v>
      </c>
      <c r="J1" s="86" t="s">
        <v>10</v>
      </c>
      <c r="K1" s="74" t="s">
        <v>2</v>
      </c>
      <c r="L1" s="89" t="s">
        <v>42</v>
      </c>
      <c r="M1" s="74" t="s">
        <v>38</v>
      </c>
      <c r="N1" s="89" t="s">
        <v>37</v>
      </c>
      <c r="O1" s="89" t="s">
        <v>39</v>
      </c>
      <c r="P1" s="89" t="s">
        <v>152</v>
      </c>
      <c r="Q1" s="89" t="s">
        <v>41</v>
      </c>
      <c r="R1" s="89" t="s">
        <v>43</v>
      </c>
      <c r="S1" s="89" t="s">
        <v>45</v>
      </c>
      <c r="T1" s="89" t="s">
        <v>44</v>
      </c>
    </row>
    <row r="2" spans="1:22" s="60" customFormat="1" ht="14.5" customHeight="1">
      <c r="A2" s="260" t="s">
        <v>14</v>
      </c>
      <c r="B2" s="126" t="s">
        <v>148</v>
      </c>
      <c r="C2" s="112" t="s">
        <v>100</v>
      </c>
      <c r="D2" s="146">
        <v>1560</v>
      </c>
      <c r="E2" s="69">
        <f>References!$B$7</f>
        <v>4.333333333333333</v>
      </c>
      <c r="F2" s="113">
        <f>D2*E2*12</f>
        <v>81119.999999999985</v>
      </c>
      <c r="G2" s="114">
        <f>References!$B$13</f>
        <v>20</v>
      </c>
      <c r="H2" s="68">
        <f>G2*F2</f>
        <v>1622399.9999999998</v>
      </c>
      <c r="I2" s="47">
        <f t="shared" ref="I2:I10" si="0">$D$123*H2</f>
        <v>1259173.5974533428</v>
      </c>
      <c r="J2" s="67">
        <f>(References!$C$49*I2)</f>
        <v>8310.5457431920549</v>
      </c>
      <c r="K2" s="67">
        <f>J2/References!$G$52</f>
        <v>8555.2251834383933</v>
      </c>
      <c r="L2" s="67">
        <f>K2/F2*E2</f>
        <v>0.45700989227769201</v>
      </c>
      <c r="M2" s="148">
        <v>10.76</v>
      </c>
      <c r="N2" s="67">
        <f>L2+M2</f>
        <v>11.217009892277693</v>
      </c>
      <c r="O2" s="67">
        <f t="shared" ref="O2:O10" si="1">M2*D2*12</f>
        <v>201427.19999999998</v>
      </c>
      <c r="P2" s="67">
        <f t="shared" ref="P2:P10" si="2">N2*D2*12</f>
        <v>209982.4251834384</v>
      </c>
      <c r="Q2" s="67">
        <f>O2-P2</f>
        <v>-8555.2251834384224</v>
      </c>
      <c r="R2" s="70">
        <f t="shared" ref="R2:R10" si="3">N2</f>
        <v>11.217009892277693</v>
      </c>
      <c r="S2" s="70">
        <f t="shared" ref="S2:S10" si="4">R2*D2*12</f>
        <v>209982.4251834384</v>
      </c>
      <c r="T2" s="70">
        <f t="shared" ref="T2:T10" si="5">S2-O2</f>
        <v>8555.2251834384224</v>
      </c>
    </row>
    <row r="3" spans="1:22" s="60" customFormat="1">
      <c r="A3" s="261"/>
      <c r="B3" s="126" t="s">
        <v>148</v>
      </c>
      <c r="C3" s="101" t="s">
        <v>101</v>
      </c>
      <c r="D3" s="147">
        <v>4017</v>
      </c>
      <c r="E3" s="69">
        <f>References!$B$7</f>
        <v>4.333333333333333</v>
      </c>
      <c r="F3" s="104">
        <f>D3*E3*12</f>
        <v>208884</v>
      </c>
      <c r="G3" s="105">
        <f>References!B23</f>
        <v>34</v>
      </c>
      <c r="H3" s="68">
        <f t="shared" ref="H3:H9" si="6">G3*F3</f>
        <v>7102056</v>
      </c>
      <c r="I3" s="47">
        <f t="shared" si="0"/>
        <v>5512032.4228520086</v>
      </c>
      <c r="J3" s="67">
        <f>(References!$C$49*I3)</f>
        <v>36379.413990823225</v>
      </c>
      <c r="K3" s="67">
        <f>J3/References!$G$52</f>
        <v>37450.498240501569</v>
      </c>
      <c r="L3" s="67">
        <f t="shared" ref="L3:L9" si="7">K3/F3*E3</f>
        <v>0.77691681687207637</v>
      </c>
      <c r="M3" s="148">
        <v>17.62</v>
      </c>
      <c r="N3" s="67">
        <f t="shared" ref="N3:N8" si="8">L3+M3</f>
        <v>18.396916816872078</v>
      </c>
      <c r="O3" s="67">
        <f t="shared" si="1"/>
        <v>849354.4800000001</v>
      </c>
      <c r="P3" s="67">
        <f t="shared" si="2"/>
        <v>886804.97824050172</v>
      </c>
      <c r="Q3" s="67">
        <f t="shared" ref="Q3:Q10" si="9">O3-P3</f>
        <v>-37450.49824050162</v>
      </c>
      <c r="R3" s="70">
        <f t="shared" si="3"/>
        <v>18.396916816872078</v>
      </c>
      <c r="S3" s="70">
        <f t="shared" si="4"/>
        <v>886804.97824050172</v>
      </c>
      <c r="T3" s="70">
        <f t="shared" si="5"/>
        <v>37450.49824050162</v>
      </c>
    </row>
    <row r="4" spans="1:22" s="60" customFormat="1">
      <c r="A4" s="261"/>
      <c r="B4" s="126" t="s">
        <v>148</v>
      </c>
      <c r="C4" s="101" t="s">
        <v>102</v>
      </c>
      <c r="D4" s="147">
        <v>306</v>
      </c>
      <c r="E4" s="69">
        <f>References!$B$7</f>
        <v>4.333333333333333</v>
      </c>
      <c r="F4" s="104">
        <f t="shared" ref="F4:F9" si="10">D4*E4*12</f>
        <v>15912</v>
      </c>
      <c r="G4" s="105">
        <f>References!B15</f>
        <v>51</v>
      </c>
      <c r="H4" s="68">
        <f t="shared" si="6"/>
        <v>811512</v>
      </c>
      <c r="I4" s="47">
        <f t="shared" si="0"/>
        <v>629828.94749541255</v>
      </c>
      <c r="J4" s="67">
        <f>(References!$C$49*I4)</f>
        <v>4156.8710534697193</v>
      </c>
      <c r="K4" s="67">
        <f>J4/References!$G$52</f>
        <v>4279.2578273313975</v>
      </c>
      <c r="L4" s="67">
        <f t="shared" si="7"/>
        <v>1.1653752253081147</v>
      </c>
      <c r="M4" s="148">
        <v>28.38</v>
      </c>
      <c r="N4" s="67">
        <f t="shared" si="8"/>
        <v>29.545375225308113</v>
      </c>
      <c r="O4" s="67">
        <f t="shared" si="1"/>
        <v>104211.35999999999</v>
      </c>
      <c r="P4" s="67">
        <f t="shared" si="2"/>
        <v>108490.6178273314</v>
      </c>
      <c r="Q4" s="67">
        <f t="shared" si="9"/>
        <v>-4279.2578273314139</v>
      </c>
      <c r="R4" s="70">
        <f t="shared" si="3"/>
        <v>29.545375225308113</v>
      </c>
      <c r="S4" s="70">
        <f t="shared" si="4"/>
        <v>108490.6178273314</v>
      </c>
      <c r="T4" s="70">
        <f t="shared" si="5"/>
        <v>4279.2578273314139</v>
      </c>
    </row>
    <row r="5" spans="1:22" s="60" customFormat="1">
      <c r="A5" s="261"/>
      <c r="B5" s="126" t="s">
        <v>148</v>
      </c>
      <c r="C5" s="101" t="s">
        <v>103</v>
      </c>
      <c r="D5" s="147">
        <v>12</v>
      </c>
      <c r="E5" s="69">
        <f>References!$B$7</f>
        <v>4.333333333333333</v>
      </c>
      <c r="F5" s="104">
        <f t="shared" si="10"/>
        <v>624</v>
      </c>
      <c r="G5" s="105">
        <f>References!B16</f>
        <v>77</v>
      </c>
      <c r="H5" s="68">
        <f t="shared" si="6"/>
        <v>48048</v>
      </c>
      <c r="I5" s="47">
        <f t="shared" si="0"/>
        <v>37290.910386118238</v>
      </c>
      <c r="J5" s="67">
        <f>(References!$C$49*I5)</f>
        <v>246.12000854838018</v>
      </c>
      <c r="K5" s="67">
        <f>J5/References!$G$52</f>
        <v>253.36628427875249</v>
      </c>
      <c r="L5" s="67">
        <f t="shared" si="7"/>
        <v>1.7594880852691144</v>
      </c>
      <c r="M5" s="148">
        <v>40.81</v>
      </c>
      <c r="N5" s="67">
        <f t="shared" si="8"/>
        <v>42.569488085269114</v>
      </c>
      <c r="O5" s="67">
        <f t="shared" si="1"/>
        <v>5876.64</v>
      </c>
      <c r="P5" s="67">
        <f t="shared" si="2"/>
        <v>6130.006284278752</v>
      </c>
      <c r="Q5" s="67">
        <f t="shared" si="9"/>
        <v>-253.36628427875166</v>
      </c>
      <c r="R5" s="70">
        <f t="shared" si="3"/>
        <v>42.569488085269114</v>
      </c>
      <c r="S5" s="70">
        <f t="shared" si="4"/>
        <v>6130.006284278752</v>
      </c>
      <c r="T5" s="70">
        <f t="shared" si="5"/>
        <v>253.36628427875166</v>
      </c>
    </row>
    <row r="6" spans="1:22" s="60" customFormat="1">
      <c r="A6" s="261"/>
      <c r="B6" s="126" t="s">
        <v>148</v>
      </c>
      <c r="C6" s="101" t="s">
        <v>107</v>
      </c>
      <c r="D6" s="147">
        <v>2</v>
      </c>
      <c r="E6" s="69">
        <f>References!$B$7</f>
        <v>4.333333333333333</v>
      </c>
      <c r="F6" s="104">
        <f t="shared" si="10"/>
        <v>104</v>
      </c>
      <c r="G6" s="105">
        <f>References!B17</f>
        <v>97</v>
      </c>
      <c r="H6" s="68">
        <f t="shared" si="6"/>
        <v>10088</v>
      </c>
      <c r="I6" s="47">
        <f t="shared" si="0"/>
        <v>7829.4768559598888</v>
      </c>
      <c r="J6" s="67">
        <f>(References!$C$49*I6)</f>
        <v>51.674547249335227</v>
      </c>
      <c r="K6" s="67">
        <f>J6/References!$G$52</f>
        <v>53.19595146112335</v>
      </c>
      <c r="L6" s="67">
        <f t="shared" si="7"/>
        <v>2.2164979775468061</v>
      </c>
      <c r="M6" s="148">
        <v>54.33</v>
      </c>
      <c r="N6" s="67">
        <f t="shared" si="8"/>
        <v>56.546497977546807</v>
      </c>
      <c r="O6" s="67">
        <f t="shared" si="1"/>
        <v>1303.92</v>
      </c>
      <c r="P6" s="67">
        <f t="shared" si="2"/>
        <v>1357.1159514611234</v>
      </c>
      <c r="Q6" s="67">
        <f t="shared" si="9"/>
        <v>-53.195951461123286</v>
      </c>
      <c r="R6" s="70">
        <f t="shared" si="3"/>
        <v>56.546497977546807</v>
      </c>
      <c r="S6" s="70">
        <f t="shared" si="4"/>
        <v>1357.1159514611234</v>
      </c>
      <c r="T6" s="70">
        <f t="shared" si="5"/>
        <v>53.195951461123286</v>
      </c>
    </row>
    <row r="7" spans="1:22" s="60" customFormat="1">
      <c r="A7" s="261"/>
      <c r="B7" s="126" t="s">
        <v>148</v>
      </c>
      <c r="C7" s="101" t="s">
        <v>104</v>
      </c>
      <c r="D7" s="147">
        <v>7367</v>
      </c>
      <c r="E7" s="69">
        <f>References!$B$7</f>
        <v>4.333333333333333</v>
      </c>
      <c r="F7" s="104">
        <f t="shared" si="10"/>
        <v>383084</v>
      </c>
      <c r="G7" s="105">
        <f>References!$B$14</f>
        <v>34</v>
      </c>
      <c r="H7" s="68">
        <f t="shared" si="6"/>
        <v>13024856</v>
      </c>
      <c r="I7" s="47">
        <f t="shared" si="0"/>
        <v>10108823.216119181</v>
      </c>
      <c r="J7" s="67">
        <f>(References!$C$49*I7)</f>
        <v>66718.233226386539</v>
      </c>
      <c r="K7" s="67">
        <f>J7/References!$G$52</f>
        <v>68682.554278759038</v>
      </c>
      <c r="L7" s="67">
        <f t="shared" si="7"/>
        <v>0.77691681687207637</v>
      </c>
      <c r="M7" s="148">
        <v>16.239999999999998</v>
      </c>
      <c r="N7" s="67">
        <f t="shared" si="8"/>
        <v>17.016916816872076</v>
      </c>
      <c r="O7" s="67">
        <f t="shared" si="1"/>
        <v>1435680.96</v>
      </c>
      <c r="P7" s="67">
        <f t="shared" si="2"/>
        <v>1504363.514278759</v>
      </c>
      <c r="Q7" s="67">
        <f t="shared" si="9"/>
        <v>-68682.554278759053</v>
      </c>
      <c r="R7" s="70">
        <f t="shared" si="3"/>
        <v>17.016916816872076</v>
      </c>
      <c r="S7" s="70">
        <f t="shared" si="4"/>
        <v>1504363.514278759</v>
      </c>
      <c r="T7" s="70">
        <f t="shared" si="5"/>
        <v>68682.554278759053</v>
      </c>
    </row>
    <row r="8" spans="1:22" s="60" customFormat="1">
      <c r="A8" s="261"/>
      <c r="B8" s="126" t="s">
        <v>148</v>
      </c>
      <c r="C8" s="101" t="s">
        <v>105</v>
      </c>
      <c r="D8" s="147">
        <v>5911</v>
      </c>
      <c r="E8" s="69">
        <f>References!$B$7</f>
        <v>4.333333333333333</v>
      </c>
      <c r="F8" s="104">
        <f t="shared" si="10"/>
        <v>307372</v>
      </c>
      <c r="G8" s="105">
        <f>References!B21</f>
        <v>47</v>
      </c>
      <c r="H8" s="68">
        <f t="shared" si="6"/>
        <v>14446484</v>
      </c>
      <c r="I8" s="47">
        <f t="shared" si="0"/>
        <v>11212174.080887673</v>
      </c>
      <c r="J8" s="67">
        <f>(References!$C$49*I8)</f>
        <v>74000.348933858579</v>
      </c>
      <c r="K8" s="67">
        <f>J8/References!$G$52</f>
        <v>76179.070345746935</v>
      </c>
      <c r="L8" s="67">
        <f t="shared" si="7"/>
        <v>1.0739732468525762</v>
      </c>
      <c r="M8" s="148">
        <v>25.5</v>
      </c>
      <c r="N8" s="67">
        <f t="shared" si="8"/>
        <v>26.573973246852574</v>
      </c>
      <c r="O8" s="67">
        <f t="shared" si="1"/>
        <v>1808766</v>
      </c>
      <c r="P8" s="67">
        <f t="shared" si="2"/>
        <v>1884945.0703457468</v>
      </c>
      <c r="Q8" s="67">
        <f t="shared" si="9"/>
        <v>-76179.070345746819</v>
      </c>
      <c r="R8" s="70">
        <f t="shared" si="3"/>
        <v>26.573973246852574</v>
      </c>
      <c r="S8" s="70">
        <f t="shared" si="4"/>
        <v>1884945.0703457468</v>
      </c>
      <c r="T8" s="70">
        <f t="shared" si="5"/>
        <v>76179.070345746819</v>
      </c>
    </row>
    <row r="9" spans="1:22" s="60" customFormat="1">
      <c r="A9" s="261"/>
      <c r="B9" s="126" t="s">
        <v>148</v>
      </c>
      <c r="C9" s="101" t="s">
        <v>106</v>
      </c>
      <c r="D9" s="147">
        <v>1709</v>
      </c>
      <c r="E9" s="69">
        <f>References!$B$7</f>
        <v>4.333333333333333</v>
      </c>
      <c r="F9" s="104">
        <f t="shared" si="10"/>
        <v>88868</v>
      </c>
      <c r="G9" s="105">
        <f>References!B22</f>
        <v>68</v>
      </c>
      <c r="H9" s="68">
        <f t="shared" si="6"/>
        <v>6043024</v>
      </c>
      <c r="I9" s="47">
        <f t="shared" si="0"/>
        <v>4690098.7854887145</v>
      </c>
      <c r="J9" s="67">
        <f>(References!$C$49*I9)</f>
        <v>30954.651984225489</v>
      </c>
      <c r="K9" s="67">
        <f>J9/References!$G$52</f>
        <v>31866.020160825086</v>
      </c>
      <c r="L9" s="67">
        <f t="shared" si="7"/>
        <v>1.5538336337441527</v>
      </c>
      <c r="M9" s="148">
        <v>34.950000000000003</v>
      </c>
      <c r="N9" s="67">
        <f>L9+M9</f>
        <v>36.503833633744158</v>
      </c>
      <c r="O9" s="67">
        <f t="shared" si="1"/>
        <v>716754.60000000009</v>
      </c>
      <c r="P9" s="67">
        <f t="shared" si="2"/>
        <v>748620.6201608252</v>
      </c>
      <c r="Q9" s="67">
        <f t="shared" si="9"/>
        <v>-31866.020160825108</v>
      </c>
      <c r="R9" s="70">
        <f t="shared" si="3"/>
        <v>36.503833633744158</v>
      </c>
      <c r="S9" s="70">
        <f t="shared" si="4"/>
        <v>748620.6201608252</v>
      </c>
      <c r="T9" s="70">
        <f t="shared" si="5"/>
        <v>31866.020160825108</v>
      </c>
    </row>
    <row r="10" spans="1:22" s="60" customFormat="1">
      <c r="A10" s="63"/>
      <c r="B10" s="126" t="s">
        <v>148</v>
      </c>
      <c r="C10" s="101" t="s">
        <v>96</v>
      </c>
      <c r="D10" s="147">
        <v>324</v>
      </c>
      <c r="E10" s="69">
        <f>References!$B$9</f>
        <v>1</v>
      </c>
      <c r="F10" s="104">
        <f>D10*E10*12</f>
        <v>3888</v>
      </c>
      <c r="G10" s="105">
        <f>References!B23</f>
        <v>34</v>
      </c>
      <c r="H10" s="68">
        <f t="shared" ref="H10" si="11">G10*F10</f>
        <v>132192</v>
      </c>
      <c r="I10" s="47">
        <f t="shared" si="0"/>
        <v>102596.57063273688</v>
      </c>
      <c r="J10" s="67">
        <f>(References!$C$49*I10)</f>
        <v>677.13736617606287</v>
      </c>
      <c r="K10" s="67">
        <f>J10/References!$G$52</f>
        <v>697.07367323045378</v>
      </c>
      <c r="L10" s="67">
        <f t="shared" ref="L10" si="12">K10/F10*E10</f>
        <v>0.1792884962012484</v>
      </c>
      <c r="M10" s="148">
        <v>7.37</v>
      </c>
      <c r="N10" s="67">
        <f t="shared" ref="N10" si="13">L10+M10</f>
        <v>7.5492884962012488</v>
      </c>
      <c r="O10" s="67">
        <f t="shared" si="1"/>
        <v>28654.560000000001</v>
      </c>
      <c r="P10" s="67">
        <f t="shared" si="2"/>
        <v>29351.633673230455</v>
      </c>
      <c r="Q10" s="67">
        <f t="shared" si="9"/>
        <v>-697.07367323045401</v>
      </c>
      <c r="R10" s="70">
        <f t="shared" si="3"/>
        <v>7.5492884962012488</v>
      </c>
      <c r="S10" s="70">
        <f t="shared" si="4"/>
        <v>29351.633673230455</v>
      </c>
      <c r="T10" s="70">
        <f t="shared" si="5"/>
        <v>697.07367323045401</v>
      </c>
    </row>
    <row r="11" spans="1:22" s="60" customFormat="1">
      <c r="A11" s="63"/>
      <c r="B11" s="92"/>
      <c r="C11" s="101"/>
      <c r="D11" s="103"/>
      <c r="E11" s="69"/>
      <c r="F11" s="68"/>
      <c r="G11" s="105"/>
      <c r="H11" s="68"/>
      <c r="I11" s="47"/>
      <c r="J11" s="67"/>
      <c r="K11" s="67"/>
      <c r="L11" s="67"/>
      <c r="M11" s="106"/>
      <c r="N11" s="67"/>
      <c r="O11" s="67"/>
      <c r="P11" s="67"/>
      <c r="Q11" s="67"/>
      <c r="R11" s="70"/>
      <c r="S11" s="70"/>
      <c r="T11" s="70"/>
    </row>
    <row r="12" spans="1:22" s="60" customFormat="1">
      <c r="A12" s="51"/>
      <c r="B12" s="76"/>
      <c r="C12" s="52" t="s">
        <v>17</v>
      </c>
      <c r="D12" s="53">
        <f>SUM(D2:D11)</f>
        <v>21208</v>
      </c>
      <c r="E12" s="54"/>
      <c r="F12" s="53">
        <f>SUM(F2:F11)</f>
        <v>1089856</v>
      </c>
      <c r="G12" s="95"/>
      <c r="H12" s="53">
        <f>SUM(H2:H11)</f>
        <v>43240660</v>
      </c>
      <c r="I12" s="53">
        <f>SUM(I2:I11)</f>
        <v>33559848.008171149</v>
      </c>
      <c r="J12" s="72"/>
      <c r="K12" s="72"/>
      <c r="L12" s="72"/>
      <c r="M12" s="72"/>
      <c r="N12" s="72"/>
      <c r="O12" s="53">
        <f>SUM(O2:O11)</f>
        <v>5152029.72</v>
      </c>
      <c r="P12" s="111">
        <f>SUM(P2:P11)</f>
        <v>5380045.9819455724</v>
      </c>
      <c r="Q12" s="111">
        <f>SUM(Q2:Q11)</f>
        <v>-228016.26194557277</v>
      </c>
      <c r="R12" s="111"/>
      <c r="S12" s="111">
        <f>SUM(S2:S11)</f>
        <v>5380045.9819455724</v>
      </c>
      <c r="T12" s="111">
        <f>SUM(T2:T11)</f>
        <v>228016.26194557277</v>
      </c>
    </row>
    <row r="13" spans="1:22" s="60" customFormat="1">
      <c r="A13" s="63"/>
      <c r="B13" s="92"/>
      <c r="C13" s="101"/>
      <c r="D13" s="103"/>
      <c r="E13" s="69"/>
      <c r="F13" s="68"/>
      <c r="G13" s="105"/>
      <c r="H13" s="68"/>
      <c r="I13" s="47"/>
      <c r="J13" s="67"/>
      <c r="K13" s="67"/>
      <c r="L13" s="67"/>
      <c r="M13" s="106"/>
      <c r="N13" s="67"/>
      <c r="O13" s="67"/>
      <c r="P13" s="67"/>
      <c r="Q13" s="67"/>
      <c r="R13" s="70"/>
      <c r="S13" s="70"/>
      <c r="T13" s="70"/>
    </row>
    <row r="14" spans="1:22" s="60" customFormat="1" ht="29">
      <c r="A14" s="154"/>
      <c r="B14" s="155"/>
      <c r="C14" s="156"/>
      <c r="D14" s="164" t="s">
        <v>151</v>
      </c>
      <c r="E14" s="163" t="s">
        <v>153</v>
      </c>
      <c r="F14" s="157"/>
      <c r="G14" s="158"/>
      <c r="H14" s="157"/>
      <c r="I14" s="157"/>
      <c r="J14" s="159"/>
      <c r="K14" s="159"/>
      <c r="L14" s="159"/>
      <c r="M14" s="159"/>
      <c r="N14" s="159"/>
      <c r="O14" s="157"/>
      <c r="P14" s="160"/>
      <c r="Q14" s="160"/>
      <c r="R14" s="160"/>
      <c r="S14" s="160"/>
      <c r="T14" s="160"/>
    </row>
    <row r="15" spans="1:22" s="60" customFormat="1" ht="14.5" customHeight="1">
      <c r="A15" s="260" t="s">
        <v>15</v>
      </c>
      <c r="B15" s="102" t="s">
        <v>144</v>
      </c>
      <c r="C15" s="107" t="s">
        <v>108</v>
      </c>
      <c r="D15" s="147">
        <v>346.64</v>
      </c>
      <c r="E15" s="69">
        <v>12</v>
      </c>
      <c r="F15" s="113">
        <f>D15*E15</f>
        <v>4159.68</v>
      </c>
      <c r="G15" s="105">
        <f>References!B26</f>
        <v>29</v>
      </c>
      <c r="H15" s="68">
        <f t="shared" ref="H15:H27" si="14">G15*F15</f>
        <v>120630.72</v>
      </c>
      <c r="I15" s="47">
        <f t="shared" ref="I15:I30" si="15">$D$123*H15</f>
        <v>93623.654872896281</v>
      </c>
      <c r="J15" s="67">
        <f>(References!$C$49*I15)</f>
        <v>617.91612216111491</v>
      </c>
      <c r="K15" s="67">
        <f>J15/References!$G$52</f>
        <v>636.10883483746647</v>
      </c>
      <c r="L15" s="67">
        <f t="shared" ref="L15:L17" si="16">K15/F15</f>
        <v>0.1529225408775354</v>
      </c>
      <c r="M15" s="149">
        <v>4.3</v>
      </c>
      <c r="N15" s="67">
        <f t="shared" ref="N15:N17" si="17">L15+M15</f>
        <v>4.4529225408775348</v>
      </c>
      <c r="O15" s="67">
        <f t="shared" ref="O15:O30" si="18">M15*F15</f>
        <v>17886.624</v>
      </c>
      <c r="P15" s="67">
        <f t="shared" ref="P15:P30" si="19">N15*F15</f>
        <v>18522.732834837465</v>
      </c>
      <c r="Q15" s="67">
        <f>O15-P15</f>
        <v>-636.10883483746511</v>
      </c>
      <c r="R15" s="70">
        <f t="shared" ref="R15:R30" si="20">N15</f>
        <v>4.4529225408775348</v>
      </c>
      <c r="S15" s="70">
        <f t="shared" ref="S15:S30" si="21">R15*F15</f>
        <v>18522.732834837465</v>
      </c>
      <c r="T15" s="70">
        <f t="shared" ref="T15:T30" si="22">S15-O15</f>
        <v>636.10883483746511</v>
      </c>
    </row>
    <row r="16" spans="1:22">
      <c r="A16" s="261"/>
      <c r="B16" s="43" t="s">
        <v>144</v>
      </c>
      <c r="C16" s="58" t="s">
        <v>109</v>
      </c>
      <c r="D16" s="147">
        <v>6.4995000000000003</v>
      </c>
      <c r="E16" s="69">
        <v>12</v>
      </c>
      <c r="F16" s="113">
        <f>D16*E16</f>
        <v>77.994</v>
      </c>
      <c r="G16" s="114">
        <f>References!B22</f>
        <v>68</v>
      </c>
      <c r="H16" s="68">
        <f>G16*F16</f>
        <v>5303.5919999999996</v>
      </c>
      <c r="I16" s="47">
        <f t="shared" si="15"/>
        <v>4116.2124125152677</v>
      </c>
      <c r="J16" s="67">
        <f>(References!$C$49*I16)</f>
        <v>27.167001922600747</v>
      </c>
      <c r="K16" s="67">
        <f>J16/References!$G$52</f>
        <v>27.966853945440338</v>
      </c>
      <c r="L16" s="67">
        <f>K16/F16</f>
        <v>0.35857699240249685</v>
      </c>
      <c r="M16" s="148">
        <v>10.49</v>
      </c>
      <c r="N16" s="67">
        <f>L16+M16</f>
        <v>10.848576992402498</v>
      </c>
      <c r="O16" s="67">
        <f t="shared" si="18"/>
        <v>818.15706</v>
      </c>
      <c r="P16" s="67">
        <f t="shared" si="19"/>
        <v>846.12391394544034</v>
      </c>
      <c r="Q16" s="67">
        <f t="shared" ref="Q16:Q30" si="23">O16-P16</f>
        <v>-27.966853945440334</v>
      </c>
      <c r="R16" s="70">
        <f t="shared" si="20"/>
        <v>10.848576992402498</v>
      </c>
      <c r="S16" s="70">
        <f t="shared" si="21"/>
        <v>846.12391394544034</v>
      </c>
      <c r="T16" s="70">
        <f t="shared" si="22"/>
        <v>27.966853945440334</v>
      </c>
      <c r="U16" s="60"/>
      <c r="V16" s="60"/>
    </row>
    <row r="17" spans="1:20" s="60" customFormat="1">
      <c r="A17" s="261"/>
      <c r="B17" s="102" t="s">
        <v>144</v>
      </c>
      <c r="C17" s="107" t="s">
        <v>110</v>
      </c>
      <c r="D17" s="147">
        <v>287.06125000000003</v>
      </c>
      <c r="E17" s="69">
        <v>12</v>
      </c>
      <c r="F17" s="113">
        <f t="shared" ref="F17:F30" si="24">D17*E17</f>
        <v>3444.7350000000006</v>
      </c>
      <c r="G17" s="105">
        <f>References!B27</f>
        <v>175</v>
      </c>
      <c r="H17" s="68">
        <f t="shared" si="14"/>
        <v>602828.62500000012</v>
      </c>
      <c r="I17" s="47">
        <f t="shared" si="15"/>
        <v>467866.05546665582</v>
      </c>
      <c r="J17" s="67">
        <f>(References!$C$49*I17)</f>
        <v>3087.915966079926</v>
      </c>
      <c r="K17" s="67">
        <f>J17/References!$G$52</f>
        <v>3178.8305189210682</v>
      </c>
      <c r="L17" s="67">
        <f t="shared" si="16"/>
        <v>0.92280843632995502</v>
      </c>
      <c r="M17" s="149">
        <v>22.43</v>
      </c>
      <c r="N17" s="67">
        <f t="shared" si="17"/>
        <v>23.352808436329955</v>
      </c>
      <c r="O17" s="67">
        <f t="shared" si="18"/>
        <v>77265.406050000005</v>
      </c>
      <c r="P17" s="67">
        <f t="shared" si="19"/>
        <v>80444.236568921086</v>
      </c>
      <c r="Q17" s="67">
        <f t="shared" si="23"/>
        <v>-3178.8305189210805</v>
      </c>
      <c r="R17" s="70">
        <f t="shared" si="20"/>
        <v>23.352808436329955</v>
      </c>
      <c r="S17" s="70">
        <f t="shared" si="21"/>
        <v>80444.236568921086</v>
      </c>
      <c r="T17" s="70">
        <f t="shared" si="22"/>
        <v>3178.8305189210805</v>
      </c>
    </row>
    <row r="18" spans="1:20" s="60" customFormat="1">
      <c r="A18" s="261"/>
      <c r="B18" s="102" t="s">
        <v>144</v>
      </c>
      <c r="C18" s="107" t="s">
        <v>111</v>
      </c>
      <c r="D18" s="147">
        <v>82.326999999999998</v>
      </c>
      <c r="E18" s="69">
        <v>12</v>
      </c>
      <c r="F18" s="113">
        <f t="shared" si="24"/>
        <v>987.92399999999998</v>
      </c>
      <c r="G18" s="109">
        <f>References!B28</f>
        <v>250</v>
      </c>
      <c r="H18" s="68">
        <f t="shared" si="14"/>
        <v>246981</v>
      </c>
      <c r="I18" s="47">
        <f t="shared" si="15"/>
        <v>191686.36234752473</v>
      </c>
      <c r="J18" s="67">
        <f>(References!$C$49*I18)</f>
        <v>1265.1299914936621</v>
      </c>
      <c r="K18" s="67">
        <f>J18/References!$G$52</f>
        <v>1302.3780023611921</v>
      </c>
      <c r="L18" s="67">
        <f t="shared" ref="L18:L27" si="25">K18/F18</f>
        <v>1.3182977661856501</v>
      </c>
      <c r="M18" s="149">
        <v>30.17</v>
      </c>
      <c r="N18" s="67">
        <f t="shared" ref="N18:N27" si="26">L18+M18</f>
        <v>31.488297766185653</v>
      </c>
      <c r="O18" s="67">
        <f t="shared" si="18"/>
        <v>29805.667079999999</v>
      </c>
      <c r="P18" s="67">
        <f t="shared" si="19"/>
        <v>31108.045082361194</v>
      </c>
      <c r="Q18" s="67">
        <f t="shared" si="23"/>
        <v>-1302.3780023611944</v>
      </c>
      <c r="R18" s="70">
        <f t="shared" si="20"/>
        <v>31.488297766185653</v>
      </c>
      <c r="S18" s="70">
        <f t="shared" si="21"/>
        <v>31108.045082361194</v>
      </c>
      <c r="T18" s="70">
        <f t="shared" si="22"/>
        <v>1302.3780023611944</v>
      </c>
    </row>
    <row r="19" spans="1:20" s="60" customFormat="1">
      <c r="A19" s="261"/>
      <c r="B19" s="102" t="s">
        <v>144</v>
      </c>
      <c r="C19" s="107" t="s">
        <v>112</v>
      </c>
      <c r="D19" s="147">
        <v>425.71725000000004</v>
      </c>
      <c r="E19" s="69">
        <v>12</v>
      </c>
      <c r="F19" s="113">
        <f t="shared" si="24"/>
        <v>5108.607</v>
      </c>
      <c r="G19" s="109">
        <f>References!B29</f>
        <v>324</v>
      </c>
      <c r="H19" s="68">
        <f t="shared" si="14"/>
        <v>1655188.6680000001</v>
      </c>
      <c r="I19" s="47">
        <f t="shared" si="15"/>
        <v>1284621.4679176325</v>
      </c>
      <c r="J19" s="67">
        <f>(References!$C$49*I19)</f>
        <v>8478.5016882563687</v>
      </c>
      <c r="K19" s="67">
        <f>J19/References!$G$52</f>
        <v>8728.1260945608083</v>
      </c>
      <c r="L19" s="67">
        <f t="shared" si="25"/>
        <v>1.7085139049766029</v>
      </c>
      <c r="M19" s="149">
        <v>41.8</v>
      </c>
      <c r="N19" s="67">
        <f t="shared" si="26"/>
        <v>43.508513904976603</v>
      </c>
      <c r="O19" s="67">
        <f t="shared" si="18"/>
        <v>213539.7726</v>
      </c>
      <c r="P19" s="67">
        <f t="shared" si="19"/>
        <v>222267.8986945608</v>
      </c>
      <c r="Q19" s="67">
        <f t="shared" si="23"/>
        <v>-8728.1260945608083</v>
      </c>
      <c r="R19" s="70">
        <f t="shared" si="20"/>
        <v>43.508513904976603</v>
      </c>
      <c r="S19" s="70">
        <f t="shared" si="21"/>
        <v>222267.8986945608</v>
      </c>
      <c r="T19" s="70">
        <f t="shared" si="22"/>
        <v>8728.1260945608083</v>
      </c>
    </row>
    <row r="20" spans="1:20" s="60" customFormat="1">
      <c r="A20" s="261"/>
      <c r="B20" s="102" t="s">
        <v>144</v>
      </c>
      <c r="C20" s="107" t="s">
        <v>113</v>
      </c>
      <c r="D20" s="147">
        <v>205.81750000000002</v>
      </c>
      <c r="E20" s="69">
        <v>12</v>
      </c>
      <c r="F20" s="113">
        <f t="shared" si="24"/>
        <v>2469.8100000000004</v>
      </c>
      <c r="G20" s="109">
        <f>References!B30</f>
        <v>473</v>
      </c>
      <c r="H20" s="68">
        <f t="shared" si="14"/>
        <v>1168220.1300000001</v>
      </c>
      <c r="I20" s="47">
        <f t="shared" si="15"/>
        <v>906676.493903792</v>
      </c>
      <c r="J20" s="67">
        <f>(References!$C$49*I20)</f>
        <v>5984.0648597650224</v>
      </c>
      <c r="K20" s="67">
        <f>J20/References!$G$52</f>
        <v>6160.2479511684396</v>
      </c>
      <c r="L20" s="67">
        <f t="shared" si="25"/>
        <v>2.4942193736232499</v>
      </c>
      <c r="M20" s="149">
        <v>59.42</v>
      </c>
      <c r="N20" s="67">
        <f t="shared" si="26"/>
        <v>61.914219373623254</v>
      </c>
      <c r="O20" s="67">
        <f t="shared" si="18"/>
        <v>146756.11020000002</v>
      </c>
      <c r="P20" s="67">
        <f t="shared" si="19"/>
        <v>152916.35815116848</v>
      </c>
      <c r="Q20" s="67">
        <f t="shared" si="23"/>
        <v>-6160.2479511684505</v>
      </c>
      <c r="R20" s="70">
        <f t="shared" si="20"/>
        <v>61.914219373623254</v>
      </c>
      <c r="S20" s="70">
        <f t="shared" si="21"/>
        <v>152916.35815116848</v>
      </c>
      <c r="T20" s="70">
        <f t="shared" si="22"/>
        <v>6160.2479511684505</v>
      </c>
    </row>
    <row r="21" spans="1:20" s="60" customFormat="1">
      <c r="A21" s="145"/>
      <c r="B21" s="102" t="s">
        <v>144</v>
      </c>
      <c r="C21" s="107" t="s">
        <v>114</v>
      </c>
      <c r="D21" s="147">
        <v>206.90074999999999</v>
      </c>
      <c r="E21" s="69">
        <v>12</v>
      </c>
      <c r="F21" s="113">
        <f t="shared" si="24"/>
        <v>2482.8089999999997</v>
      </c>
      <c r="G21" s="109">
        <f>References!B31</f>
        <v>613</v>
      </c>
      <c r="H21" s="68">
        <f t="shared" si="14"/>
        <v>1521961.9169999999</v>
      </c>
      <c r="I21" s="47">
        <f t="shared" si="15"/>
        <v>1181221.8085650124</v>
      </c>
      <c r="J21" s="67">
        <f>(References!$C$49*I21)</f>
        <v>7796.0639365290754</v>
      </c>
      <c r="K21" s="67">
        <f>J21/References!$G$52</f>
        <v>8025.5959816029181</v>
      </c>
      <c r="L21" s="67">
        <f t="shared" si="25"/>
        <v>3.2324661226872138</v>
      </c>
      <c r="M21" s="149">
        <v>74.23</v>
      </c>
      <c r="N21" s="67">
        <f t="shared" si="26"/>
        <v>77.462466122687218</v>
      </c>
      <c r="O21" s="67">
        <f t="shared" si="18"/>
        <v>184298.91206999999</v>
      </c>
      <c r="P21" s="67">
        <f t="shared" si="19"/>
        <v>192324.5080516029</v>
      </c>
      <c r="Q21" s="67">
        <f t="shared" si="23"/>
        <v>-8025.5959816029062</v>
      </c>
      <c r="R21" s="70">
        <f t="shared" si="20"/>
        <v>77.462466122687218</v>
      </c>
      <c r="S21" s="70">
        <f t="shared" si="21"/>
        <v>192324.5080516029</v>
      </c>
      <c r="T21" s="70">
        <f t="shared" si="22"/>
        <v>8025.5959816029062</v>
      </c>
    </row>
    <row r="22" spans="1:20" s="60" customFormat="1">
      <c r="A22" s="145"/>
      <c r="B22" s="102" t="s">
        <v>144</v>
      </c>
      <c r="C22" s="107" t="s">
        <v>115</v>
      </c>
      <c r="D22" s="147">
        <v>159.23775000000001</v>
      </c>
      <c r="E22" s="69">
        <v>12</v>
      </c>
      <c r="F22" s="113">
        <f t="shared" si="24"/>
        <v>1910.8530000000001</v>
      </c>
      <c r="G22" s="109">
        <f>References!B32</f>
        <v>840</v>
      </c>
      <c r="H22" s="68">
        <f t="shared" si="14"/>
        <v>1605116.52</v>
      </c>
      <c r="I22" s="47">
        <f t="shared" si="15"/>
        <v>1245759.58014065</v>
      </c>
      <c r="J22" s="67">
        <f>(References!$C$49*I22)</f>
        <v>8222.0132289282828</v>
      </c>
      <c r="K22" s="67">
        <f>J22/References!$G$52</f>
        <v>8464.0860911347354</v>
      </c>
      <c r="L22" s="67">
        <f t="shared" si="25"/>
        <v>4.4294804943837836</v>
      </c>
      <c r="M22" s="149">
        <v>110.16</v>
      </c>
      <c r="N22" s="67">
        <f t="shared" si="26"/>
        <v>114.58948049438378</v>
      </c>
      <c r="O22" s="67">
        <f t="shared" si="18"/>
        <v>210499.56648000001</v>
      </c>
      <c r="P22" s="67">
        <f t="shared" si="19"/>
        <v>218963.65257113473</v>
      </c>
      <c r="Q22" s="67">
        <f t="shared" si="23"/>
        <v>-8464.0860911347263</v>
      </c>
      <c r="R22" s="70">
        <f t="shared" si="20"/>
        <v>114.58948049438378</v>
      </c>
      <c r="S22" s="70">
        <f t="shared" si="21"/>
        <v>218963.65257113473</v>
      </c>
      <c r="T22" s="70">
        <f t="shared" si="22"/>
        <v>8464.0860911347263</v>
      </c>
    </row>
    <row r="23" spans="1:20" s="60" customFormat="1" ht="15" customHeight="1">
      <c r="A23" s="145"/>
      <c r="B23" s="102" t="s">
        <v>144</v>
      </c>
      <c r="C23" s="107" t="s">
        <v>116</v>
      </c>
      <c r="D23" s="147">
        <v>107.24175000000001</v>
      </c>
      <c r="E23" s="69">
        <v>12</v>
      </c>
      <c r="F23" s="113">
        <f t="shared" si="24"/>
        <v>1286.9010000000001</v>
      </c>
      <c r="G23" s="109">
        <f>References!B33</f>
        <v>980</v>
      </c>
      <c r="H23" s="68">
        <f t="shared" si="14"/>
        <v>1261162.98</v>
      </c>
      <c r="I23" s="47">
        <f t="shared" si="15"/>
        <v>978811.09868193942</v>
      </c>
      <c r="J23" s="67">
        <f>(References!$C$49*I23)</f>
        <v>6460.1532513007951</v>
      </c>
      <c r="K23" s="67">
        <f>J23/References!$G$52</f>
        <v>6650.3533573201512</v>
      </c>
      <c r="L23" s="67">
        <f t="shared" si="25"/>
        <v>5.1677272434477484</v>
      </c>
      <c r="M23" s="149">
        <v>138.53</v>
      </c>
      <c r="N23" s="67">
        <f t="shared" si="26"/>
        <v>143.69772724344776</v>
      </c>
      <c r="O23" s="67">
        <f t="shared" si="18"/>
        <v>178274.39553000001</v>
      </c>
      <c r="P23" s="67">
        <f t="shared" si="19"/>
        <v>184924.74888732017</v>
      </c>
      <c r="Q23" s="67">
        <f t="shared" si="23"/>
        <v>-6650.3533573201566</v>
      </c>
      <c r="R23" s="70">
        <f t="shared" si="20"/>
        <v>143.69772724344776</v>
      </c>
      <c r="S23" s="70">
        <f t="shared" si="21"/>
        <v>184924.74888732017</v>
      </c>
      <c r="T23" s="70">
        <f t="shared" si="22"/>
        <v>6650.3533573201566</v>
      </c>
    </row>
    <row r="24" spans="1:20" s="60" customFormat="1">
      <c r="A24" s="145"/>
      <c r="B24" s="102" t="s">
        <v>144</v>
      </c>
      <c r="C24" s="107" t="s">
        <v>118</v>
      </c>
      <c r="D24" s="147">
        <v>5</v>
      </c>
      <c r="E24" s="69">
        <v>12</v>
      </c>
      <c r="F24" s="113">
        <f t="shared" si="24"/>
        <v>60</v>
      </c>
      <c r="G24" s="109">
        <f>References!B27</f>
        <v>175</v>
      </c>
      <c r="H24" s="68">
        <f t="shared" si="14"/>
        <v>10500</v>
      </c>
      <c r="I24" s="47">
        <f t="shared" si="15"/>
        <v>8149.2374095538098</v>
      </c>
      <c r="J24" s="67">
        <f>(References!$C$49*I24)</f>
        <v>53.7849669030551</v>
      </c>
      <c r="K24" s="67">
        <f>J24/References!$G$52</f>
        <v>55.368506179797301</v>
      </c>
      <c r="L24" s="67">
        <f t="shared" si="25"/>
        <v>0.92280843632995502</v>
      </c>
      <c r="M24" s="149">
        <v>24.02</v>
      </c>
      <c r="N24" s="67">
        <f t="shared" si="26"/>
        <v>24.942808436329955</v>
      </c>
      <c r="O24" s="67">
        <f t="shared" si="18"/>
        <v>1441.2</v>
      </c>
      <c r="P24" s="67">
        <f t="shared" si="19"/>
        <v>1496.5685061797972</v>
      </c>
      <c r="Q24" s="67">
        <f t="shared" si="23"/>
        <v>-55.368506179797123</v>
      </c>
      <c r="R24" s="70">
        <f t="shared" si="20"/>
        <v>24.942808436329955</v>
      </c>
      <c r="S24" s="70">
        <f t="shared" si="21"/>
        <v>1496.5685061797972</v>
      </c>
      <c r="T24" s="70">
        <f t="shared" si="22"/>
        <v>55.368506179797123</v>
      </c>
    </row>
    <row r="25" spans="1:20" s="60" customFormat="1">
      <c r="A25" s="145"/>
      <c r="B25" s="102" t="s">
        <v>144</v>
      </c>
      <c r="C25" s="115" t="s">
        <v>119</v>
      </c>
      <c r="D25" s="147">
        <v>5</v>
      </c>
      <c r="E25" s="69">
        <v>12</v>
      </c>
      <c r="F25" s="113">
        <f t="shared" si="24"/>
        <v>60</v>
      </c>
      <c r="G25" s="105">
        <f>References!B29</f>
        <v>324</v>
      </c>
      <c r="H25" s="68">
        <f t="shared" si="14"/>
        <v>19440</v>
      </c>
      <c r="I25" s="47">
        <f t="shared" si="15"/>
        <v>15087.730975402483</v>
      </c>
      <c r="J25" s="67">
        <f>(References!$C$49*I25)</f>
        <v>99.579024437656301</v>
      </c>
      <c r="K25" s="67">
        <f>J25/References!$G$52</f>
        <v>102.51083429859615</v>
      </c>
      <c r="L25" s="67">
        <f t="shared" si="25"/>
        <v>1.7085139049766025</v>
      </c>
      <c r="M25" s="149">
        <v>45.51</v>
      </c>
      <c r="N25" s="67">
        <f t="shared" si="26"/>
        <v>47.218513904976604</v>
      </c>
      <c r="O25" s="67">
        <f t="shared" si="18"/>
        <v>2730.6</v>
      </c>
      <c r="P25" s="67">
        <f t="shared" si="19"/>
        <v>2833.1108342985963</v>
      </c>
      <c r="Q25" s="67">
        <f t="shared" si="23"/>
        <v>-102.51083429859636</v>
      </c>
      <c r="R25" s="70">
        <f t="shared" si="20"/>
        <v>47.218513904976604</v>
      </c>
      <c r="S25" s="70">
        <f t="shared" si="21"/>
        <v>2833.1108342985963</v>
      </c>
      <c r="T25" s="70">
        <f t="shared" si="22"/>
        <v>102.51083429859636</v>
      </c>
    </row>
    <row r="26" spans="1:20" s="60" customFormat="1">
      <c r="A26" s="145"/>
      <c r="B26" s="102" t="s">
        <v>144</v>
      </c>
      <c r="C26" s="107" t="s">
        <v>120</v>
      </c>
      <c r="D26" s="147">
        <v>7</v>
      </c>
      <c r="E26" s="69">
        <v>12</v>
      </c>
      <c r="F26" s="113">
        <f t="shared" si="24"/>
        <v>84</v>
      </c>
      <c r="G26" s="105">
        <f>References!B30</f>
        <v>473</v>
      </c>
      <c r="H26" s="68">
        <f t="shared" si="14"/>
        <v>39732</v>
      </c>
      <c r="I26" s="47">
        <f t="shared" si="15"/>
        <v>30836.714357751618</v>
      </c>
      <c r="J26" s="67">
        <f>(References!$C$49*I26)</f>
        <v>203.52231476116052</v>
      </c>
      <c r="K26" s="67">
        <f>J26/References!$G$52</f>
        <v>209.51442738435301</v>
      </c>
      <c r="L26" s="67">
        <f t="shared" si="25"/>
        <v>2.4942193736232503</v>
      </c>
      <c r="M26" s="149">
        <v>63.02</v>
      </c>
      <c r="N26" s="67">
        <f t="shared" si="26"/>
        <v>65.514219373623249</v>
      </c>
      <c r="O26" s="67">
        <f t="shared" si="18"/>
        <v>5293.68</v>
      </c>
      <c r="P26" s="67">
        <f t="shared" si="19"/>
        <v>5503.1944273843528</v>
      </c>
      <c r="Q26" s="67">
        <f t="shared" si="23"/>
        <v>-209.51442738435253</v>
      </c>
      <c r="R26" s="70">
        <f t="shared" si="20"/>
        <v>65.514219373623249</v>
      </c>
      <c r="S26" s="70">
        <f t="shared" si="21"/>
        <v>5503.1944273843528</v>
      </c>
      <c r="T26" s="70">
        <f t="shared" si="22"/>
        <v>209.51442738435253</v>
      </c>
    </row>
    <row r="27" spans="1:20" s="60" customFormat="1">
      <c r="A27" s="145"/>
      <c r="B27" s="102" t="s">
        <v>144</v>
      </c>
      <c r="C27" s="107" t="s">
        <v>121</v>
      </c>
      <c r="D27" s="147">
        <v>7</v>
      </c>
      <c r="E27" s="69">
        <v>12</v>
      </c>
      <c r="F27" s="113">
        <f t="shared" si="24"/>
        <v>84</v>
      </c>
      <c r="G27" s="105">
        <f>References!B31</f>
        <v>613</v>
      </c>
      <c r="H27" s="68">
        <f t="shared" si="14"/>
        <v>51492</v>
      </c>
      <c r="I27" s="47">
        <f t="shared" si="15"/>
        <v>39963.860256451881</v>
      </c>
      <c r="J27" s="67">
        <f>(References!$C$49*I27)</f>
        <v>263.76147769258222</v>
      </c>
      <c r="K27" s="67">
        <f>J27/References!$G$52</f>
        <v>271.52715430572596</v>
      </c>
      <c r="L27" s="67">
        <f t="shared" si="25"/>
        <v>3.2324661226872138</v>
      </c>
      <c r="M27" s="149">
        <v>77.63</v>
      </c>
      <c r="N27" s="67">
        <f t="shared" si="26"/>
        <v>80.862466122687209</v>
      </c>
      <c r="O27" s="67">
        <f t="shared" si="18"/>
        <v>6520.92</v>
      </c>
      <c r="P27" s="67">
        <f t="shared" si="19"/>
        <v>6792.4471543057252</v>
      </c>
      <c r="Q27" s="67">
        <f t="shared" si="23"/>
        <v>-271.52715430572516</v>
      </c>
      <c r="R27" s="70">
        <f t="shared" si="20"/>
        <v>80.862466122687209</v>
      </c>
      <c r="S27" s="70">
        <f t="shared" si="21"/>
        <v>6792.4471543057252</v>
      </c>
      <c r="T27" s="70">
        <f t="shared" si="22"/>
        <v>271.52715430572516</v>
      </c>
    </row>
    <row r="28" spans="1:20" s="60" customFormat="1">
      <c r="A28" s="116"/>
      <c r="B28" s="102" t="s">
        <v>144</v>
      </c>
      <c r="C28" s="107" t="s">
        <v>122</v>
      </c>
      <c r="D28" s="147">
        <v>6</v>
      </c>
      <c r="E28" s="69">
        <v>12</v>
      </c>
      <c r="F28" s="113">
        <f t="shared" si="24"/>
        <v>72</v>
      </c>
      <c r="G28" s="105">
        <f>References!B32</f>
        <v>840</v>
      </c>
      <c r="H28" s="68">
        <f t="shared" ref="H28:H30" si="27">G28*F28</f>
        <v>60480</v>
      </c>
      <c r="I28" s="47">
        <f t="shared" si="15"/>
        <v>46939.607479029946</v>
      </c>
      <c r="J28" s="67">
        <f>(References!$C$49*I28)</f>
        <v>309.80140936159739</v>
      </c>
      <c r="K28" s="67">
        <f>J28/References!$G$52</f>
        <v>318.92259559563246</v>
      </c>
      <c r="L28" s="67">
        <f t="shared" ref="L28:L30" si="28">K28/F28</f>
        <v>4.4294804943837844</v>
      </c>
      <c r="M28" s="149">
        <v>116.41</v>
      </c>
      <c r="N28" s="67">
        <f t="shared" ref="N28:N30" si="29">L28+M28</f>
        <v>120.83948049438378</v>
      </c>
      <c r="O28" s="67">
        <f t="shared" si="18"/>
        <v>8381.52</v>
      </c>
      <c r="P28" s="67">
        <f t="shared" si="19"/>
        <v>8700.4425955956322</v>
      </c>
      <c r="Q28" s="67">
        <f t="shared" si="23"/>
        <v>-318.92259559563172</v>
      </c>
      <c r="R28" s="70">
        <f t="shared" si="20"/>
        <v>120.83948049438378</v>
      </c>
      <c r="S28" s="70">
        <f t="shared" si="21"/>
        <v>8700.4425955956322</v>
      </c>
      <c r="T28" s="70">
        <f t="shared" si="22"/>
        <v>318.92259559563172</v>
      </c>
    </row>
    <row r="29" spans="1:20" s="60" customFormat="1">
      <c r="A29" s="116"/>
      <c r="B29" s="102" t="s">
        <v>144</v>
      </c>
      <c r="C29" s="107" t="s">
        <v>123</v>
      </c>
      <c r="D29" s="147">
        <v>10</v>
      </c>
      <c r="E29" s="69">
        <v>12</v>
      </c>
      <c r="F29" s="113">
        <f t="shared" si="24"/>
        <v>120</v>
      </c>
      <c r="G29" s="105">
        <f>References!B33</f>
        <v>980</v>
      </c>
      <c r="H29" s="68">
        <f t="shared" si="27"/>
        <v>117600</v>
      </c>
      <c r="I29" s="47">
        <f t="shared" si="15"/>
        <v>91271.458987002668</v>
      </c>
      <c r="J29" s="67">
        <f>(References!$C$49*I29)</f>
        <v>602.39162931421708</v>
      </c>
      <c r="K29" s="67">
        <f>J29/References!$G$52</f>
        <v>620.12726921372973</v>
      </c>
      <c r="L29" s="67">
        <f t="shared" si="28"/>
        <v>5.1677272434477475</v>
      </c>
      <c r="M29" s="149">
        <v>141.35</v>
      </c>
      <c r="N29" s="67">
        <f t="shared" si="29"/>
        <v>146.51772724344775</v>
      </c>
      <c r="O29" s="67">
        <f t="shared" si="18"/>
        <v>16962</v>
      </c>
      <c r="P29" s="67">
        <f t="shared" si="19"/>
        <v>17582.127269213732</v>
      </c>
      <c r="Q29" s="67">
        <f t="shared" si="23"/>
        <v>-620.12726921373178</v>
      </c>
      <c r="R29" s="70">
        <f t="shared" si="20"/>
        <v>146.51772724344775</v>
      </c>
      <c r="S29" s="70">
        <f t="shared" si="21"/>
        <v>17582.127269213732</v>
      </c>
      <c r="T29" s="70">
        <f t="shared" si="22"/>
        <v>620.12726921373178</v>
      </c>
    </row>
    <row r="30" spans="1:20" s="60" customFormat="1">
      <c r="A30" s="116"/>
      <c r="B30" s="102" t="s">
        <v>145</v>
      </c>
      <c r="C30" s="107" t="s">
        <v>108</v>
      </c>
      <c r="D30" s="147">
        <v>320.642</v>
      </c>
      <c r="E30" s="69">
        <v>12</v>
      </c>
      <c r="F30" s="113">
        <f t="shared" si="24"/>
        <v>3847.7039999999997</v>
      </c>
      <c r="G30" s="109">
        <f>References!B26</f>
        <v>29</v>
      </c>
      <c r="H30" s="68">
        <f t="shared" si="27"/>
        <v>111583.416</v>
      </c>
      <c r="I30" s="47">
        <f t="shared" si="15"/>
        <v>86601.880757429055</v>
      </c>
      <c r="J30" s="67">
        <f>(References!$C$49*I30)</f>
        <v>571.57241299903126</v>
      </c>
      <c r="K30" s="67">
        <f>J30/References!$G$52</f>
        <v>588.40067222465643</v>
      </c>
      <c r="L30" s="67">
        <f t="shared" si="28"/>
        <v>0.1529225408775354</v>
      </c>
      <c r="M30" s="149">
        <v>4.3</v>
      </c>
      <c r="N30" s="67">
        <f t="shared" si="29"/>
        <v>4.4529225408775348</v>
      </c>
      <c r="O30" s="67">
        <f t="shared" si="18"/>
        <v>16545.127199999999</v>
      </c>
      <c r="P30" s="67">
        <f t="shared" si="19"/>
        <v>17133.527872224651</v>
      </c>
      <c r="Q30" s="67">
        <f t="shared" si="23"/>
        <v>-588.40067222465223</v>
      </c>
      <c r="R30" s="70">
        <f t="shared" si="20"/>
        <v>4.4529225408775348</v>
      </c>
      <c r="S30" s="70">
        <f t="shared" si="21"/>
        <v>17133.527872224651</v>
      </c>
      <c r="T30" s="70">
        <f t="shared" si="22"/>
        <v>588.40067222465223</v>
      </c>
    </row>
    <row r="31" spans="1:20" s="60" customFormat="1">
      <c r="A31" s="116"/>
      <c r="B31" s="102"/>
      <c r="C31" s="115"/>
      <c r="D31" s="57"/>
      <c r="E31" s="69"/>
      <c r="F31" s="108"/>
      <c r="G31" s="105"/>
      <c r="H31" s="68"/>
      <c r="I31" s="47"/>
      <c r="J31" s="67"/>
      <c r="K31" s="67"/>
      <c r="L31" s="67"/>
      <c r="M31" s="67"/>
      <c r="N31" s="67"/>
      <c r="O31" s="67"/>
      <c r="P31" s="67"/>
      <c r="Q31" s="67"/>
      <c r="R31" s="70"/>
      <c r="S31" s="70"/>
      <c r="T31" s="70"/>
    </row>
    <row r="32" spans="1:20" s="60" customFormat="1">
      <c r="A32" s="63"/>
      <c r="B32" s="102"/>
      <c r="C32" s="107"/>
      <c r="D32" s="57"/>
      <c r="E32" s="69"/>
      <c r="F32" s="108"/>
      <c r="G32" s="105"/>
      <c r="H32" s="68"/>
      <c r="I32" s="47"/>
      <c r="J32" s="67"/>
      <c r="K32" s="67"/>
      <c r="L32" s="67"/>
      <c r="M32" s="67"/>
      <c r="N32" s="67"/>
      <c r="O32" s="67"/>
      <c r="P32" s="67"/>
      <c r="Q32" s="67"/>
      <c r="R32" s="70"/>
      <c r="S32" s="70"/>
      <c r="T32" s="70"/>
    </row>
    <row r="33" spans="1:22" s="60" customFormat="1">
      <c r="A33" s="51"/>
      <c r="B33" s="76"/>
      <c r="C33" s="52" t="s">
        <v>17</v>
      </c>
      <c r="D33" s="53">
        <f>SUM(D15:D32)</f>
        <v>2188.08475</v>
      </c>
      <c r="E33" s="53"/>
      <c r="F33" s="53">
        <f>SUM(F15:F32)</f>
        <v>26257.017</v>
      </c>
      <c r="G33" s="95"/>
      <c r="H33" s="53">
        <f>SUM(H15:H32)</f>
        <v>8598221.568</v>
      </c>
      <c r="I33" s="53">
        <f>SUM(I15:I32)</f>
        <v>6673233.2245312398</v>
      </c>
      <c r="J33" s="72"/>
      <c r="K33" s="72"/>
      <c r="L33" s="72"/>
      <c r="M33" s="72"/>
      <c r="N33" s="72"/>
      <c r="O33" s="53">
        <f>SUM(O15:O32)</f>
        <v>1117019.65827</v>
      </c>
      <c r="P33" s="111">
        <f>SUM(P15:P32)</f>
        <v>1162359.7234150546</v>
      </c>
      <c r="Q33" s="111">
        <f>SUM(Q15:Q32)</f>
        <v>-45340.065145054716</v>
      </c>
      <c r="R33" s="111"/>
      <c r="S33" s="111">
        <f>SUM(S15:S32)</f>
        <v>1162359.7234150546</v>
      </c>
      <c r="T33" s="111">
        <f>SUM(T15:T32)</f>
        <v>45340.065145054716</v>
      </c>
    </row>
    <row r="34" spans="1:22" s="60" customFormat="1" ht="14.5" customHeight="1">
      <c r="A34" s="260" t="s">
        <v>98</v>
      </c>
      <c r="B34" s="102" t="s">
        <v>150</v>
      </c>
      <c r="C34" s="107" t="s">
        <v>124</v>
      </c>
      <c r="D34" s="147">
        <v>255.64699999999999</v>
      </c>
      <c r="E34" s="69">
        <v>12</v>
      </c>
      <c r="F34" s="113">
        <f t="shared" ref="F34:F43" si="30">D34*E34</f>
        <v>3067.7640000000001</v>
      </c>
      <c r="G34" s="105">
        <f>References!B14</f>
        <v>34</v>
      </c>
      <c r="H34" s="68">
        <f t="shared" ref="H34:H40" si="31">G34*F34</f>
        <v>104303.97600000001</v>
      </c>
      <c r="I34" s="47">
        <f t="shared" ref="I34:I43" si="32">$D$123*H34</f>
        <v>80952.177446133603</v>
      </c>
      <c r="J34" s="67">
        <f>(References!$C$49*I34)</f>
        <v>534.28437114448138</v>
      </c>
      <c r="K34" s="67">
        <f>J34/References!$G$52</f>
        <v>550.01479426032665</v>
      </c>
      <c r="L34" s="67">
        <f t="shared" ref="L34:L40" si="33">K34/F34</f>
        <v>0.1792884962012484</v>
      </c>
      <c r="M34" s="149">
        <v>3.21</v>
      </c>
      <c r="N34" s="67">
        <f t="shared" ref="N34:N40" si="34">L34+M34</f>
        <v>3.3892884962012482</v>
      </c>
      <c r="O34" s="67">
        <f t="shared" ref="O34:O43" si="35">M34*F34</f>
        <v>9847.5224400000006</v>
      </c>
      <c r="P34" s="67">
        <f t="shared" ref="P34:P43" si="36">N34*F34</f>
        <v>10397.537234260326</v>
      </c>
      <c r="Q34" s="67">
        <f t="shared" ref="Q34:Q43" si="37">O34-P34</f>
        <v>-550.01479426032529</v>
      </c>
      <c r="R34" s="70">
        <f t="shared" ref="R34:R43" si="38">N34</f>
        <v>3.3892884962012482</v>
      </c>
      <c r="S34" s="70">
        <f t="shared" ref="S34:S43" si="39">R34*F34</f>
        <v>10397.537234260326</v>
      </c>
      <c r="T34" s="70">
        <f t="shared" ref="T34:T43" si="40">S34-O34</f>
        <v>550.01479426032529</v>
      </c>
    </row>
    <row r="35" spans="1:22" s="60" customFormat="1">
      <c r="A35" s="261"/>
      <c r="B35" s="102" t="s">
        <v>150</v>
      </c>
      <c r="C35" s="107" t="s">
        <v>108</v>
      </c>
      <c r="D35" s="147">
        <v>623.952</v>
      </c>
      <c r="E35" s="69">
        <v>12</v>
      </c>
      <c r="F35" s="113">
        <f t="shared" si="30"/>
        <v>7487.424</v>
      </c>
      <c r="G35" s="105">
        <f>References!B14</f>
        <v>34</v>
      </c>
      <c r="H35" s="68">
        <f t="shared" si="31"/>
        <v>254572.416</v>
      </c>
      <c r="I35" s="47">
        <f t="shared" si="32"/>
        <v>197578.19580073285</v>
      </c>
      <c r="J35" s="67">
        <f>(References!$C$49*I35)</f>
        <v>1304.0160922848358</v>
      </c>
      <c r="K35" s="67">
        <f>J35/References!$G$52</f>
        <v>1342.4089893811363</v>
      </c>
      <c r="L35" s="67">
        <f>K35/F35</f>
        <v>0.17928849620124843</v>
      </c>
      <c r="M35" s="149">
        <v>4.6399999999999997</v>
      </c>
      <c r="N35" s="67">
        <f t="shared" si="34"/>
        <v>4.8192884962012483</v>
      </c>
      <c r="O35" s="67">
        <f t="shared" si="35"/>
        <v>34741.647359999995</v>
      </c>
      <c r="P35" s="67">
        <f t="shared" si="36"/>
        <v>36084.056349381135</v>
      </c>
      <c r="Q35" s="67">
        <f t="shared" si="37"/>
        <v>-1342.4089893811397</v>
      </c>
      <c r="R35" s="70">
        <f t="shared" si="38"/>
        <v>4.8192884962012483</v>
      </c>
      <c r="S35" s="70">
        <f t="shared" si="39"/>
        <v>36084.056349381135</v>
      </c>
      <c r="T35" s="70">
        <f t="shared" si="40"/>
        <v>1342.4089893811397</v>
      </c>
    </row>
    <row r="36" spans="1:22" s="60" customFormat="1">
      <c r="A36" s="261"/>
      <c r="B36" s="102" t="s">
        <v>150</v>
      </c>
      <c r="C36" s="107" t="s">
        <v>109</v>
      </c>
      <c r="D36" s="147">
        <v>240.48150000000004</v>
      </c>
      <c r="E36" s="69">
        <v>12</v>
      </c>
      <c r="F36" s="113">
        <f t="shared" si="30"/>
        <v>2885.7780000000002</v>
      </c>
      <c r="G36" s="105">
        <f>References!B22</f>
        <v>68</v>
      </c>
      <c r="H36" s="68">
        <f t="shared" si="31"/>
        <v>196232.90400000001</v>
      </c>
      <c r="I36" s="47">
        <f t="shared" si="32"/>
        <v>152299.85926306492</v>
      </c>
      <c r="J36" s="67">
        <f>(References!$C$49*I36)</f>
        <v>1005.1790711362277</v>
      </c>
      <c r="K36" s="67">
        <f>J36/References!$G$52</f>
        <v>1034.7735959812926</v>
      </c>
      <c r="L36" s="67">
        <f t="shared" si="33"/>
        <v>0.35857699240249685</v>
      </c>
      <c r="M36" s="149">
        <v>11.31</v>
      </c>
      <c r="N36" s="67">
        <f t="shared" si="34"/>
        <v>11.668576992402498</v>
      </c>
      <c r="O36" s="67">
        <f t="shared" si="35"/>
        <v>32638.149180000004</v>
      </c>
      <c r="P36" s="67">
        <f t="shared" si="36"/>
        <v>33672.9227759813</v>
      </c>
      <c r="Q36" s="67">
        <f t="shared" si="37"/>
        <v>-1034.7735959812962</v>
      </c>
      <c r="R36" s="70">
        <f t="shared" si="38"/>
        <v>11.668576992402498</v>
      </c>
      <c r="S36" s="70">
        <f t="shared" si="39"/>
        <v>33672.9227759813</v>
      </c>
      <c r="T36" s="70">
        <f t="shared" si="40"/>
        <v>1034.7735959812962</v>
      </c>
    </row>
    <row r="37" spans="1:22" s="60" customFormat="1">
      <c r="A37" s="261"/>
      <c r="B37" s="102" t="s">
        <v>150</v>
      </c>
      <c r="C37" s="107" t="s">
        <v>110</v>
      </c>
      <c r="D37" s="147">
        <v>7.5827500000000008</v>
      </c>
      <c r="E37" s="69">
        <v>12</v>
      </c>
      <c r="F37" s="113">
        <f t="shared" si="30"/>
        <v>90.993000000000009</v>
      </c>
      <c r="G37" s="105">
        <f>References!B27</f>
        <v>175</v>
      </c>
      <c r="H37" s="68">
        <f t="shared" si="31"/>
        <v>15923.775000000001</v>
      </c>
      <c r="I37" s="47">
        <f t="shared" si="32"/>
        <v>12358.725993458831</v>
      </c>
      <c r="J37" s="67">
        <f>(References!$C$49*I37)</f>
        <v>81.567591556828219</v>
      </c>
      <c r="K37" s="67">
        <f>J37/References!$G$52</f>
        <v>83.969108046971598</v>
      </c>
      <c r="L37" s="67">
        <f t="shared" si="33"/>
        <v>0.92280843632995491</v>
      </c>
      <c r="M37" s="149">
        <v>24.28</v>
      </c>
      <c r="N37" s="67">
        <f t="shared" si="34"/>
        <v>25.202808436329956</v>
      </c>
      <c r="O37" s="67">
        <f t="shared" si="35"/>
        <v>2209.3100400000003</v>
      </c>
      <c r="P37" s="67">
        <f t="shared" si="36"/>
        <v>2293.2791480469718</v>
      </c>
      <c r="Q37" s="67">
        <f t="shared" si="37"/>
        <v>-83.969108046971542</v>
      </c>
      <c r="R37" s="70">
        <f t="shared" si="38"/>
        <v>25.202808436329956</v>
      </c>
      <c r="S37" s="70">
        <f t="shared" si="39"/>
        <v>2293.2791480469718</v>
      </c>
      <c r="T37" s="70">
        <f t="shared" si="40"/>
        <v>83.969108046971542</v>
      </c>
    </row>
    <row r="38" spans="1:22" s="60" customFormat="1">
      <c r="A38" s="261"/>
      <c r="B38" s="102" t="s">
        <v>150</v>
      </c>
      <c r="C38" s="107" t="s">
        <v>111</v>
      </c>
      <c r="D38" s="147">
        <v>4.3330000000000002</v>
      </c>
      <c r="E38" s="69">
        <v>12</v>
      </c>
      <c r="F38" s="113">
        <f t="shared" si="30"/>
        <v>51.996000000000002</v>
      </c>
      <c r="G38" s="105">
        <f>References!B28</f>
        <v>250</v>
      </c>
      <c r="H38" s="68">
        <f t="shared" si="31"/>
        <v>12999</v>
      </c>
      <c r="I38" s="47">
        <f t="shared" si="32"/>
        <v>10088.755913027617</v>
      </c>
      <c r="J38" s="67">
        <f>(References!$C$49*I38)</f>
        <v>66.585789025982223</v>
      </c>
      <c r="K38" s="67">
        <f>J38/References!$G$52</f>
        <v>68.54621065058906</v>
      </c>
      <c r="L38" s="67">
        <f t="shared" si="33"/>
        <v>1.3182977661856501</v>
      </c>
      <c r="M38" s="149">
        <v>32.950000000000003</v>
      </c>
      <c r="N38" s="67">
        <f t="shared" si="34"/>
        <v>34.268297766185654</v>
      </c>
      <c r="O38" s="67">
        <f t="shared" si="35"/>
        <v>1713.2682000000002</v>
      </c>
      <c r="P38" s="67">
        <f t="shared" si="36"/>
        <v>1781.8144106505893</v>
      </c>
      <c r="Q38" s="67">
        <f t="shared" si="37"/>
        <v>-68.546210650589046</v>
      </c>
      <c r="R38" s="70">
        <f t="shared" si="38"/>
        <v>34.268297766185654</v>
      </c>
      <c r="S38" s="70">
        <f t="shared" si="39"/>
        <v>1781.8144106505893</v>
      </c>
      <c r="T38" s="70">
        <f t="shared" si="40"/>
        <v>68.546210650589046</v>
      </c>
    </row>
    <row r="39" spans="1:22" s="60" customFormat="1">
      <c r="A39" s="261"/>
      <c r="B39" s="102" t="s">
        <v>150</v>
      </c>
      <c r="C39" s="107" t="s">
        <v>112</v>
      </c>
      <c r="D39" s="147">
        <v>7.5827500000000008</v>
      </c>
      <c r="E39" s="69">
        <v>12</v>
      </c>
      <c r="F39" s="113">
        <f t="shared" si="30"/>
        <v>90.993000000000009</v>
      </c>
      <c r="G39" s="105">
        <f>References!B29</f>
        <v>324</v>
      </c>
      <c r="H39" s="68">
        <f t="shared" si="31"/>
        <v>29481.732000000004</v>
      </c>
      <c r="I39" s="47">
        <f t="shared" si="32"/>
        <v>22881.298410746636</v>
      </c>
      <c r="J39" s="67">
        <f>(References!$C$49*I39)</f>
        <v>151.01656951092767</v>
      </c>
      <c r="K39" s="67">
        <f>J39/References!$G$52</f>
        <v>155.46280575553598</v>
      </c>
      <c r="L39" s="67">
        <f t="shared" si="33"/>
        <v>1.7085139049766023</v>
      </c>
      <c r="M39" s="149">
        <v>45.53</v>
      </c>
      <c r="N39" s="67">
        <f t="shared" si="34"/>
        <v>47.238513904976607</v>
      </c>
      <c r="O39" s="67">
        <f t="shared" si="35"/>
        <v>4142.9112900000009</v>
      </c>
      <c r="P39" s="67">
        <f t="shared" si="36"/>
        <v>4298.3740957555365</v>
      </c>
      <c r="Q39" s="67">
        <f t="shared" si="37"/>
        <v>-155.46280575553556</v>
      </c>
      <c r="R39" s="70">
        <f t="shared" si="38"/>
        <v>47.238513904976607</v>
      </c>
      <c r="S39" s="70">
        <f t="shared" si="39"/>
        <v>4298.3740957555365</v>
      </c>
      <c r="T39" s="70">
        <f t="shared" si="40"/>
        <v>155.46280575553556</v>
      </c>
    </row>
    <row r="40" spans="1:22" s="60" customFormat="1">
      <c r="A40" s="261"/>
      <c r="B40" s="102" t="s">
        <v>150</v>
      </c>
      <c r="C40" s="107" t="s">
        <v>113</v>
      </c>
      <c r="D40" s="147">
        <v>30.331000000000003</v>
      </c>
      <c r="E40" s="69">
        <v>12</v>
      </c>
      <c r="F40" s="113">
        <f t="shared" si="30"/>
        <v>363.97200000000004</v>
      </c>
      <c r="G40" s="105">
        <f>References!B30</f>
        <v>473</v>
      </c>
      <c r="H40" s="68">
        <f t="shared" si="31"/>
        <v>172158.75600000002</v>
      </c>
      <c r="I40" s="47">
        <f t="shared" si="32"/>
        <v>133615.48331213777</v>
      </c>
      <c r="J40" s="67">
        <f>(References!$C$49*I40)</f>
        <v>881.86218986010863</v>
      </c>
      <c r="K40" s="67">
        <f>J40/References!$G$52</f>
        <v>907.82601385640169</v>
      </c>
      <c r="L40" s="67">
        <f t="shared" si="33"/>
        <v>2.4942193736232503</v>
      </c>
      <c r="M40" s="149">
        <v>65.02</v>
      </c>
      <c r="N40" s="67">
        <f t="shared" si="34"/>
        <v>67.514219373623249</v>
      </c>
      <c r="O40" s="67">
        <f t="shared" si="35"/>
        <v>23665.459440000002</v>
      </c>
      <c r="P40" s="67">
        <f t="shared" si="36"/>
        <v>24573.285453856402</v>
      </c>
      <c r="Q40" s="67">
        <f t="shared" si="37"/>
        <v>-907.8260138564001</v>
      </c>
      <c r="R40" s="70">
        <f t="shared" si="38"/>
        <v>67.514219373623249</v>
      </c>
      <c r="S40" s="70">
        <f t="shared" si="39"/>
        <v>24573.285453856402</v>
      </c>
      <c r="T40" s="70">
        <f t="shared" si="40"/>
        <v>907.8260138564001</v>
      </c>
    </row>
    <row r="41" spans="1:22" s="60" customFormat="1">
      <c r="A41" s="116"/>
      <c r="B41" s="102" t="s">
        <v>150</v>
      </c>
      <c r="C41" s="107" t="s">
        <v>114</v>
      </c>
      <c r="D41" s="147">
        <v>12.999000000000001</v>
      </c>
      <c r="E41" s="69">
        <v>12</v>
      </c>
      <c r="F41" s="113">
        <f t="shared" si="30"/>
        <v>155.988</v>
      </c>
      <c r="G41" s="105">
        <f>References!B31</f>
        <v>613</v>
      </c>
      <c r="H41" s="68">
        <f t="shared" ref="H41:H43" si="41">G41*F41</f>
        <v>95620.644</v>
      </c>
      <c r="I41" s="47">
        <f t="shared" si="32"/>
        <v>74212.888496231142</v>
      </c>
      <c r="J41" s="67">
        <f>(References!$C$49*I41)</f>
        <v>489.80506407512513</v>
      </c>
      <c r="K41" s="67">
        <f>J41/References!$G$52</f>
        <v>504.22592554573305</v>
      </c>
      <c r="L41" s="67">
        <f t="shared" ref="L41:L43" si="42">K41/F41</f>
        <v>3.2324661226872133</v>
      </c>
      <c r="M41" s="149">
        <v>81.680000000000007</v>
      </c>
      <c r="N41" s="67">
        <f t="shared" ref="N41:N43" si="43">L41+M41</f>
        <v>84.912466122687221</v>
      </c>
      <c r="O41" s="67">
        <f t="shared" si="35"/>
        <v>12741.099840000001</v>
      </c>
      <c r="P41" s="67">
        <f t="shared" si="36"/>
        <v>13245.325765545735</v>
      </c>
      <c r="Q41" s="67">
        <f t="shared" si="37"/>
        <v>-504.22592554573384</v>
      </c>
      <c r="R41" s="70">
        <f t="shared" si="38"/>
        <v>84.912466122687221</v>
      </c>
      <c r="S41" s="70">
        <f t="shared" si="39"/>
        <v>13245.325765545735</v>
      </c>
      <c r="T41" s="70">
        <f t="shared" si="40"/>
        <v>504.22592554573384</v>
      </c>
    </row>
    <row r="42" spans="1:22" s="60" customFormat="1">
      <c r="A42" s="116"/>
      <c r="B42" s="102" t="s">
        <v>150</v>
      </c>
      <c r="C42" s="107" t="s">
        <v>115</v>
      </c>
      <c r="D42" s="147">
        <v>21.664999999999999</v>
      </c>
      <c r="E42" s="69">
        <v>12</v>
      </c>
      <c r="F42" s="113">
        <f t="shared" si="30"/>
        <v>259.98</v>
      </c>
      <c r="G42" s="105">
        <f>References!B32</f>
        <v>840</v>
      </c>
      <c r="H42" s="68">
        <f t="shared" si="41"/>
        <v>218383.2</v>
      </c>
      <c r="I42" s="47">
        <f t="shared" si="32"/>
        <v>169491.09933886398</v>
      </c>
      <c r="J42" s="67">
        <f>(References!$C$49*I42)</f>
        <v>1118.6412556365015</v>
      </c>
      <c r="K42" s="67">
        <f>J42/References!$G$52</f>
        <v>1151.5763389298963</v>
      </c>
      <c r="L42" s="67">
        <f t="shared" si="42"/>
        <v>4.4294804943837844</v>
      </c>
      <c r="M42" s="149">
        <v>121.35</v>
      </c>
      <c r="N42" s="67">
        <f t="shared" si="43"/>
        <v>125.77948049438378</v>
      </c>
      <c r="O42" s="67">
        <f t="shared" si="35"/>
        <v>31548.573</v>
      </c>
      <c r="P42" s="67">
        <f t="shared" si="36"/>
        <v>32700.149338929896</v>
      </c>
      <c r="Q42" s="67">
        <f t="shared" si="37"/>
        <v>-1151.5763389298954</v>
      </c>
      <c r="R42" s="70">
        <f t="shared" si="38"/>
        <v>125.77948049438378</v>
      </c>
      <c r="S42" s="70">
        <f t="shared" si="39"/>
        <v>32700.149338929896</v>
      </c>
      <c r="T42" s="70">
        <f t="shared" si="40"/>
        <v>1151.5763389298954</v>
      </c>
    </row>
    <row r="43" spans="1:22" s="60" customFormat="1">
      <c r="A43" s="116"/>
      <c r="B43" s="102" t="s">
        <v>150</v>
      </c>
      <c r="C43" s="107" t="s">
        <v>116</v>
      </c>
      <c r="D43" s="147">
        <v>12.999000000000001</v>
      </c>
      <c r="E43" s="69">
        <v>12</v>
      </c>
      <c r="F43" s="113">
        <f t="shared" si="30"/>
        <v>155.988</v>
      </c>
      <c r="G43" s="105">
        <f>References!B33</f>
        <v>980</v>
      </c>
      <c r="H43" s="68">
        <f t="shared" si="41"/>
        <v>152868.24</v>
      </c>
      <c r="I43" s="47">
        <f t="shared" si="32"/>
        <v>118643.76953720476</v>
      </c>
      <c r="J43" s="67">
        <f>(References!$C$49*I43)</f>
        <v>783.04887894555077</v>
      </c>
      <c r="K43" s="67">
        <f>J43/References!$G$52</f>
        <v>806.1034372509273</v>
      </c>
      <c r="L43" s="67">
        <f t="shared" si="42"/>
        <v>5.1677272434477475</v>
      </c>
      <c r="M43" s="149">
        <v>153.43</v>
      </c>
      <c r="N43" s="67">
        <f t="shared" si="43"/>
        <v>158.59772724344776</v>
      </c>
      <c r="O43" s="67">
        <f t="shared" si="35"/>
        <v>23933.238840000002</v>
      </c>
      <c r="P43" s="67">
        <f t="shared" si="36"/>
        <v>24739.342277250929</v>
      </c>
      <c r="Q43" s="67">
        <f t="shared" si="37"/>
        <v>-806.10343725092753</v>
      </c>
      <c r="R43" s="70">
        <f t="shared" si="38"/>
        <v>158.59772724344776</v>
      </c>
      <c r="S43" s="70">
        <f t="shared" si="39"/>
        <v>24739.342277250929</v>
      </c>
      <c r="T43" s="70">
        <f t="shared" si="40"/>
        <v>806.10343725092753</v>
      </c>
    </row>
    <row r="44" spans="1:22" s="60" customFormat="1">
      <c r="A44" s="63"/>
      <c r="B44" s="48"/>
      <c r="C44" s="107"/>
      <c r="D44" s="91"/>
      <c r="E44" s="69"/>
      <c r="F44" s="108"/>
      <c r="G44" s="105"/>
      <c r="H44" s="68"/>
      <c r="I44" s="47"/>
      <c r="J44" s="67"/>
      <c r="K44" s="67"/>
      <c r="L44" s="67"/>
      <c r="M44" s="67"/>
      <c r="N44" s="67"/>
      <c r="O44" s="67"/>
      <c r="P44" s="67"/>
      <c r="Q44" s="67"/>
      <c r="R44" s="70"/>
      <c r="S44" s="70"/>
      <c r="T44" s="70"/>
    </row>
    <row r="45" spans="1:22" s="60" customFormat="1">
      <c r="A45" s="51"/>
      <c r="B45" s="49"/>
      <c r="C45" s="52" t="s">
        <v>17</v>
      </c>
      <c r="D45" s="53">
        <f>SUM(D34:D40)</f>
        <v>1169.9100000000001</v>
      </c>
      <c r="E45" s="53"/>
      <c r="F45" s="53">
        <f>SUM(F34:F43)</f>
        <v>14610.875999999998</v>
      </c>
      <c r="G45" s="96"/>
      <c r="H45" s="53">
        <f>SUM(H34:H40)</f>
        <v>785672.55900000001</v>
      </c>
      <c r="I45" s="53">
        <f>SUM(I34:I40)</f>
        <v>609774.49613930215</v>
      </c>
      <c r="J45" s="71"/>
      <c r="K45" s="71"/>
      <c r="L45" s="71"/>
      <c r="M45" s="71"/>
      <c r="N45" s="71"/>
      <c r="O45" s="53">
        <f>SUM(O34:O40)</f>
        <v>108958.26795000001</v>
      </c>
      <c r="P45" s="111">
        <f>SUM(P34:P40)</f>
        <v>113101.26946793227</v>
      </c>
      <c r="Q45" s="111">
        <f>SUM(Q34:Q40)</f>
        <v>-4143.0015179322572</v>
      </c>
      <c r="R45" s="111"/>
      <c r="S45" s="111">
        <f>SUM(S34:S40)</f>
        <v>113101.26946793227</v>
      </c>
      <c r="T45" s="111">
        <f>SUM(T34:T40)</f>
        <v>4143.0015179322572</v>
      </c>
    </row>
    <row r="46" spans="1:22">
      <c r="C46" s="64" t="s">
        <v>3</v>
      </c>
      <c r="D46" s="65">
        <f>D12+D33+D45</f>
        <v>24565.994750000002</v>
      </c>
      <c r="E46" s="65"/>
      <c r="F46" s="65">
        <f>F12+F33+F45</f>
        <v>1130723.8929999999</v>
      </c>
      <c r="G46" s="97"/>
      <c r="H46" s="65">
        <f>H12+H33+H45</f>
        <v>52624554.127000004</v>
      </c>
      <c r="I46" s="65">
        <f>I12+I33+I45</f>
        <v>40842855.728841692</v>
      </c>
      <c r="J46" s="67"/>
      <c r="K46" s="73"/>
      <c r="L46" s="73"/>
      <c r="M46" s="73"/>
      <c r="N46" s="73"/>
      <c r="O46" s="65">
        <f>O12+O33+O45</f>
        <v>6378007.6462200005</v>
      </c>
      <c r="P46" s="65">
        <f>P12+P33+P45</f>
        <v>6655506.974828559</v>
      </c>
      <c r="Q46" s="65">
        <f>Q12+Q33+Q45</f>
        <v>-277499.32860855979</v>
      </c>
      <c r="R46" s="65"/>
      <c r="S46" s="65">
        <f>S12+S33+S45</f>
        <v>6655506.974828559</v>
      </c>
      <c r="T46" s="65">
        <f>T12+T33+T45</f>
        <v>277499.32860855979</v>
      </c>
    </row>
    <row r="47" spans="1:22">
      <c r="J47" s="56"/>
      <c r="P47" s="61"/>
      <c r="T47" s="30">
        <f>T46/O46</f>
        <v>4.350877954387887E-2</v>
      </c>
    </row>
    <row r="48" spans="1:22">
      <c r="A48" s="117"/>
      <c r="B48" s="118"/>
      <c r="C48" s="119" t="s">
        <v>141</v>
      </c>
      <c r="D48" s="120"/>
      <c r="E48" s="121"/>
      <c r="F48" s="121"/>
      <c r="G48" s="122"/>
      <c r="H48" s="121"/>
      <c r="I48" s="123"/>
      <c r="J48" s="124"/>
      <c r="K48" s="121"/>
      <c r="L48" s="121"/>
      <c r="M48" s="121"/>
      <c r="N48" s="121"/>
      <c r="O48" s="60"/>
      <c r="P48" s="85"/>
      <c r="Q48" s="60"/>
      <c r="R48" s="60"/>
      <c r="S48" s="60"/>
      <c r="T48" s="60"/>
      <c r="U48" s="60"/>
      <c r="V48" s="60"/>
    </row>
    <row r="49" spans="1:22" s="60" customFormat="1" ht="14.5" customHeight="1">
      <c r="A49" s="125"/>
      <c r="B49" s="126" t="s">
        <v>148</v>
      </c>
      <c r="C49" s="127" t="s">
        <v>117</v>
      </c>
      <c r="D49" s="146">
        <v>1</v>
      </c>
      <c r="E49" s="69">
        <f>References!B7</f>
        <v>4.333333333333333</v>
      </c>
      <c r="F49" s="113">
        <f>D49*E49*12</f>
        <v>52</v>
      </c>
      <c r="G49" s="114">
        <f>References!B18</f>
        <v>117</v>
      </c>
      <c r="H49" s="68">
        <f>G49*F49</f>
        <v>6084</v>
      </c>
      <c r="I49" s="47">
        <f t="shared" ref="I49:I77" si="44">$D$123*H49</f>
        <v>4721.9009904500363</v>
      </c>
      <c r="J49" s="67">
        <f>(References!$C$49*I49)</f>
        <v>31.164546536970214</v>
      </c>
      <c r="K49" s="67">
        <f>J49/References!$G$52</f>
        <v>32.082094437893979</v>
      </c>
      <c r="L49" s="67">
        <f>K49/F49*E49</f>
        <v>2.6735078698244981</v>
      </c>
      <c r="M49" s="148">
        <v>63.1</v>
      </c>
      <c r="N49" s="264">
        <f>L49+M49</f>
        <v>65.773507869824499</v>
      </c>
      <c r="O49" s="67"/>
      <c r="P49" s="67"/>
      <c r="Q49" s="67"/>
      <c r="R49" s="67"/>
      <c r="S49" s="67"/>
      <c r="T49" s="67"/>
    </row>
    <row r="50" spans="1:22" s="60" customFormat="1">
      <c r="A50" s="125"/>
      <c r="B50" s="126" t="s">
        <v>149</v>
      </c>
      <c r="C50" s="127" t="s">
        <v>125</v>
      </c>
      <c r="D50" s="146">
        <v>1</v>
      </c>
      <c r="E50" s="69">
        <v>1</v>
      </c>
      <c r="F50" s="113">
        <f>D50*E50*12</f>
        <v>12</v>
      </c>
      <c r="G50" s="114">
        <f>References!B24</f>
        <v>34</v>
      </c>
      <c r="H50" s="68">
        <f t="shared" ref="H50:H97" si="45">G50*F50</f>
        <v>408</v>
      </c>
      <c r="I50" s="47">
        <f t="shared" si="44"/>
        <v>316.65608219980521</v>
      </c>
      <c r="J50" s="67">
        <f>(References!$C$49*I50)</f>
        <v>2.0899301425187127</v>
      </c>
      <c r="K50" s="67">
        <f>J50/References!$G$52</f>
        <v>2.1514619544149811</v>
      </c>
      <c r="L50" s="67">
        <f t="shared" ref="L50:L97" si="46">K50/F50</f>
        <v>0.17928849620124843</v>
      </c>
      <c r="M50" s="148">
        <v>3.03</v>
      </c>
      <c r="N50" s="67">
        <f t="shared" ref="N50:N111" si="47">L50+M50</f>
        <v>3.209288496201248</v>
      </c>
      <c r="O50" s="67"/>
      <c r="P50" s="67"/>
      <c r="Q50" s="67"/>
      <c r="R50" s="67"/>
      <c r="S50" s="67"/>
      <c r="T50" s="67"/>
    </row>
    <row r="51" spans="1:22" s="60" customFormat="1">
      <c r="A51" s="125"/>
      <c r="B51" s="102" t="s">
        <v>150</v>
      </c>
      <c r="C51" s="127" t="s">
        <v>126</v>
      </c>
      <c r="D51" s="146">
        <v>1</v>
      </c>
      <c r="E51" s="69">
        <v>1</v>
      </c>
      <c r="F51" s="113">
        <f t="shared" ref="F51:F97" si="48">D51*E51*12</f>
        <v>12</v>
      </c>
      <c r="G51" s="114">
        <f>References!B13</f>
        <v>20</v>
      </c>
      <c r="H51" s="68">
        <f t="shared" si="45"/>
        <v>240</v>
      </c>
      <c r="I51" s="47">
        <f t="shared" si="44"/>
        <v>186.26828364694424</v>
      </c>
      <c r="J51" s="67">
        <f>(References!$C$49*I51)</f>
        <v>1.229370672069831</v>
      </c>
      <c r="K51" s="67">
        <f>J51/References!$G$52</f>
        <v>1.2655658555382241</v>
      </c>
      <c r="L51" s="67">
        <f t="shared" si="46"/>
        <v>0.105463821294852</v>
      </c>
      <c r="M51" s="148">
        <v>4.6399999999999997</v>
      </c>
      <c r="N51" s="67">
        <f>L51+M51</f>
        <v>4.7454638212948517</v>
      </c>
      <c r="O51" s="67"/>
      <c r="P51" s="67"/>
      <c r="Q51" s="67"/>
      <c r="R51" s="67"/>
      <c r="S51" s="67"/>
      <c r="T51" s="67"/>
    </row>
    <row r="52" spans="1:22" s="60" customFormat="1">
      <c r="A52" s="125"/>
      <c r="B52" s="102" t="s">
        <v>150</v>
      </c>
      <c r="C52" s="127" t="s">
        <v>127</v>
      </c>
      <c r="D52" s="146">
        <v>1</v>
      </c>
      <c r="E52" s="69">
        <v>1</v>
      </c>
      <c r="F52" s="113">
        <f t="shared" si="48"/>
        <v>12</v>
      </c>
      <c r="G52" s="114">
        <f>References!B21</f>
        <v>47</v>
      </c>
      <c r="H52" s="68">
        <f t="shared" si="45"/>
        <v>564</v>
      </c>
      <c r="I52" s="47">
        <f t="shared" si="44"/>
        <v>437.73046657031892</v>
      </c>
      <c r="J52" s="67">
        <f>(References!$C$49*I52)</f>
        <v>2.8890210793641025</v>
      </c>
      <c r="K52" s="67">
        <f>J52/References!$G$52</f>
        <v>2.9740797605148264</v>
      </c>
      <c r="L52" s="67">
        <f t="shared" si="46"/>
        <v>0.2478399800429022</v>
      </c>
      <c r="M52" s="148">
        <v>7.61</v>
      </c>
      <c r="N52" s="67">
        <f t="shared" si="47"/>
        <v>7.8578399800429022</v>
      </c>
      <c r="O52" s="67"/>
      <c r="P52" s="67"/>
      <c r="Q52" s="67"/>
      <c r="R52" s="67"/>
      <c r="S52" s="67"/>
      <c r="T52" s="67"/>
    </row>
    <row r="53" spans="1:22" s="60" customFormat="1">
      <c r="A53" s="125"/>
      <c r="B53" s="102" t="s">
        <v>150</v>
      </c>
      <c r="C53" s="127" t="s">
        <v>128</v>
      </c>
      <c r="D53" s="146">
        <v>1</v>
      </c>
      <c r="E53" s="69">
        <v>1</v>
      </c>
      <c r="F53" s="113">
        <f t="shared" si="48"/>
        <v>12</v>
      </c>
      <c r="G53" s="114">
        <f>References!B13</f>
        <v>20</v>
      </c>
      <c r="H53" s="68">
        <f t="shared" si="45"/>
        <v>240</v>
      </c>
      <c r="I53" s="47">
        <f t="shared" si="44"/>
        <v>186.26828364694424</v>
      </c>
      <c r="J53" s="67">
        <f>(References!$C$49*I53)</f>
        <v>1.229370672069831</v>
      </c>
      <c r="K53" s="67">
        <f>J53/References!$G$52</f>
        <v>1.2655658555382241</v>
      </c>
      <c r="L53" s="67">
        <f t="shared" si="46"/>
        <v>0.105463821294852</v>
      </c>
      <c r="M53" s="148">
        <v>9.65</v>
      </c>
      <c r="N53" s="67">
        <f t="shared" si="47"/>
        <v>9.7554638212948532</v>
      </c>
      <c r="O53" s="67"/>
      <c r="P53" s="67"/>
      <c r="Q53" s="67"/>
      <c r="R53" s="67"/>
      <c r="S53" s="67"/>
      <c r="T53" s="67"/>
    </row>
    <row r="54" spans="1:22" s="60" customFormat="1">
      <c r="A54" s="125"/>
      <c r="B54" s="102" t="s">
        <v>150</v>
      </c>
      <c r="C54" s="127" t="s">
        <v>130</v>
      </c>
      <c r="D54" s="146">
        <v>1</v>
      </c>
      <c r="E54" s="69">
        <v>1</v>
      </c>
      <c r="F54" s="113">
        <f t="shared" si="48"/>
        <v>12</v>
      </c>
      <c r="G54" s="114">
        <f>References!B14</f>
        <v>34</v>
      </c>
      <c r="H54" s="68">
        <f t="shared" si="45"/>
        <v>408</v>
      </c>
      <c r="I54" s="47">
        <f t="shared" si="44"/>
        <v>316.65608219980521</v>
      </c>
      <c r="J54" s="67">
        <f>(References!$C$49*I54)</f>
        <v>2.0899301425187127</v>
      </c>
      <c r="K54" s="67">
        <f>J54/References!$G$52</f>
        <v>2.1514619544149811</v>
      </c>
      <c r="L54" s="67">
        <f t="shared" si="46"/>
        <v>0.17928849620124843</v>
      </c>
      <c r="M54" s="148">
        <v>9.65</v>
      </c>
      <c r="N54" s="67">
        <f t="shared" si="47"/>
        <v>9.829288496201249</v>
      </c>
      <c r="O54" s="67"/>
      <c r="P54" s="67"/>
      <c r="Q54" s="67"/>
      <c r="R54" s="67"/>
      <c r="S54" s="67"/>
      <c r="T54" s="67"/>
    </row>
    <row r="55" spans="1:22" s="60" customFormat="1">
      <c r="A55" s="125"/>
      <c r="B55" s="102" t="s">
        <v>150</v>
      </c>
      <c r="C55" s="127" t="s">
        <v>129</v>
      </c>
      <c r="D55" s="146">
        <v>1</v>
      </c>
      <c r="E55" s="69">
        <v>1</v>
      </c>
      <c r="F55" s="113">
        <f t="shared" si="48"/>
        <v>12</v>
      </c>
      <c r="G55" s="114">
        <f>References!B21</f>
        <v>47</v>
      </c>
      <c r="H55" s="68">
        <f t="shared" si="45"/>
        <v>564</v>
      </c>
      <c r="I55" s="47">
        <f t="shared" si="44"/>
        <v>437.73046657031892</v>
      </c>
      <c r="J55" s="67">
        <f>(References!$C$49*I55)</f>
        <v>2.8890210793641025</v>
      </c>
      <c r="K55" s="67">
        <f>J55/References!$G$52</f>
        <v>2.9740797605148264</v>
      </c>
      <c r="L55" s="67">
        <f t="shared" si="46"/>
        <v>0.2478399800429022</v>
      </c>
      <c r="M55" s="148">
        <v>11.24</v>
      </c>
      <c r="N55" s="67">
        <f t="shared" si="47"/>
        <v>11.487839980042903</v>
      </c>
      <c r="O55" s="67"/>
      <c r="P55" s="67"/>
      <c r="Q55" s="67"/>
      <c r="R55" s="67"/>
      <c r="S55" s="67"/>
      <c r="T55" s="67"/>
    </row>
    <row r="56" spans="1:22" s="60" customFormat="1">
      <c r="A56" s="125"/>
      <c r="B56" s="102" t="s">
        <v>150</v>
      </c>
      <c r="C56" s="127" t="s">
        <v>131</v>
      </c>
      <c r="D56" s="146">
        <v>1</v>
      </c>
      <c r="E56" s="69">
        <v>1</v>
      </c>
      <c r="F56" s="113">
        <f t="shared" si="48"/>
        <v>12</v>
      </c>
      <c r="G56" s="114">
        <f>References!B22</f>
        <v>68</v>
      </c>
      <c r="H56" s="68">
        <f t="shared" si="45"/>
        <v>816</v>
      </c>
      <c r="I56" s="47">
        <f t="shared" si="44"/>
        <v>633.31216439961042</v>
      </c>
      <c r="J56" s="67">
        <f>(References!$C$49*I56)</f>
        <v>4.1798602850374253</v>
      </c>
      <c r="K56" s="67">
        <f>J56/References!$G$52</f>
        <v>4.3029239088299622</v>
      </c>
      <c r="L56" s="67">
        <f t="shared" si="46"/>
        <v>0.35857699240249685</v>
      </c>
      <c r="M56" s="148">
        <v>13.99</v>
      </c>
      <c r="N56" s="67">
        <f t="shared" si="47"/>
        <v>14.348576992402498</v>
      </c>
      <c r="O56" s="67"/>
      <c r="P56" s="67"/>
      <c r="Q56" s="67"/>
      <c r="R56" s="67"/>
      <c r="S56" s="67"/>
      <c r="T56" s="67"/>
    </row>
    <row r="57" spans="1:22" s="60" customFormat="1">
      <c r="A57" s="125"/>
      <c r="B57" s="102" t="s">
        <v>150</v>
      </c>
      <c r="C57" s="127" t="s">
        <v>118</v>
      </c>
      <c r="D57" s="146">
        <v>1</v>
      </c>
      <c r="E57" s="69">
        <v>1</v>
      </c>
      <c r="F57" s="113">
        <f t="shared" si="48"/>
        <v>12</v>
      </c>
      <c r="G57" s="114">
        <f>References!B27</f>
        <v>175</v>
      </c>
      <c r="H57" s="68">
        <f t="shared" si="45"/>
        <v>2100</v>
      </c>
      <c r="I57" s="47">
        <f t="shared" si="44"/>
        <v>1629.8474819107621</v>
      </c>
      <c r="J57" s="67">
        <f>(References!$C$49*I57)</f>
        <v>10.756993380611021</v>
      </c>
      <c r="K57" s="67">
        <f>J57/References!$G$52</f>
        <v>11.073701235959462</v>
      </c>
      <c r="L57" s="67">
        <f t="shared" si="46"/>
        <v>0.92280843632995513</v>
      </c>
      <c r="M57" s="148">
        <v>25.89</v>
      </c>
      <c r="N57" s="67">
        <f t="shared" si="47"/>
        <v>26.812808436329956</v>
      </c>
      <c r="O57" s="67"/>
      <c r="P57" s="67"/>
      <c r="Q57" s="67"/>
      <c r="R57" s="67"/>
      <c r="S57" s="67"/>
      <c r="T57" s="67"/>
    </row>
    <row r="58" spans="1:22">
      <c r="A58" s="125"/>
      <c r="B58" s="102" t="s">
        <v>150</v>
      </c>
      <c r="C58" s="127" t="s">
        <v>132</v>
      </c>
      <c r="D58" s="146">
        <v>1</v>
      </c>
      <c r="E58" s="69">
        <v>1</v>
      </c>
      <c r="F58" s="113">
        <f t="shared" si="48"/>
        <v>12</v>
      </c>
      <c r="G58" s="114">
        <f>References!B28</f>
        <v>250</v>
      </c>
      <c r="H58" s="68">
        <f t="shared" si="45"/>
        <v>3000</v>
      </c>
      <c r="I58" s="47">
        <f t="shared" si="44"/>
        <v>2328.3535455868027</v>
      </c>
      <c r="J58" s="67">
        <f>(References!$C$49*I58)</f>
        <v>15.367133400872886</v>
      </c>
      <c r="K58" s="67">
        <f>J58/References!$G$52</f>
        <v>15.8195731942278</v>
      </c>
      <c r="L58" s="67">
        <f t="shared" si="46"/>
        <v>1.3182977661856501</v>
      </c>
      <c r="M58" s="148">
        <v>34.950000000000003</v>
      </c>
      <c r="N58" s="67">
        <f t="shared" si="47"/>
        <v>36.268297766185654</v>
      </c>
      <c r="O58" s="67"/>
      <c r="P58" s="67"/>
      <c r="Q58" s="67"/>
      <c r="R58" s="67"/>
      <c r="S58" s="67"/>
      <c r="T58" s="67"/>
      <c r="U58" s="60"/>
      <c r="V58" s="60"/>
    </row>
    <row r="59" spans="1:22">
      <c r="A59" s="125"/>
      <c r="B59" s="102" t="s">
        <v>150</v>
      </c>
      <c r="C59" s="127" t="s">
        <v>119</v>
      </c>
      <c r="D59" s="146">
        <v>1</v>
      </c>
      <c r="E59" s="69">
        <v>1</v>
      </c>
      <c r="F59" s="113">
        <f t="shared" si="48"/>
        <v>12</v>
      </c>
      <c r="G59" s="114">
        <f>References!B29</f>
        <v>324</v>
      </c>
      <c r="H59" s="68">
        <f t="shared" si="45"/>
        <v>3888</v>
      </c>
      <c r="I59" s="47">
        <f t="shared" si="44"/>
        <v>3017.5461950804965</v>
      </c>
      <c r="J59" s="67">
        <f>(References!$C$49*I59)</f>
        <v>19.915804887531262</v>
      </c>
      <c r="K59" s="67">
        <f>J59/References!$G$52</f>
        <v>20.502166859719232</v>
      </c>
      <c r="L59" s="67">
        <f t="shared" si="46"/>
        <v>1.7085139049766027</v>
      </c>
      <c r="M59" s="148">
        <v>49.24</v>
      </c>
      <c r="N59" s="67">
        <f t="shared" si="47"/>
        <v>50.948513904976608</v>
      </c>
      <c r="O59" s="67"/>
      <c r="P59" s="67"/>
      <c r="Q59" s="67"/>
      <c r="R59" s="67"/>
      <c r="S59" s="67"/>
      <c r="T59" s="67"/>
      <c r="U59" s="60"/>
      <c r="V59" s="60"/>
    </row>
    <row r="60" spans="1:22">
      <c r="A60" s="125"/>
      <c r="B60" s="102" t="s">
        <v>150</v>
      </c>
      <c r="C60" s="127" t="s">
        <v>120</v>
      </c>
      <c r="D60" s="146">
        <v>1</v>
      </c>
      <c r="E60" s="69">
        <v>1</v>
      </c>
      <c r="F60" s="113">
        <f t="shared" si="48"/>
        <v>12</v>
      </c>
      <c r="G60" s="114">
        <f>References!B30</f>
        <v>473</v>
      </c>
      <c r="H60" s="68">
        <f t="shared" si="45"/>
        <v>5676</v>
      </c>
      <c r="I60" s="47">
        <f t="shared" si="44"/>
        <v>4405.2449082502308</v>
      </c>
      <c r="J60" s="67">
        <f>(References!$C$49*I60)</f>
        <v>29.0746163944515</v>
      </c>
      <c r="K60" s="67">
        <f>J60/References!$G$52</f>
        <v>29.930632483478998</v>
      </c>
      <c r="L60" s="67">
        <f t="shared" si="46"/>
        <v>2.4942193736232499</v>
      </c>
      <c r="M60" s="148">
        <v>68.599999999999994</v>
      </c>
      <c r="N60" s="67">
        <f t="shared" si="47"/>
        <v>71.094219373623247</v>
      </c>
      <c r="O60" s="67"/>
      <c r="P60" s="67"/>
      <c r="Q60" s="67"/>
      <c r="R60" s="67"/>
      <c r="S60" s="67"/>
      <c r="T60" s="67"/>
      <c r="U60" s="60"/>
      <c r="V60" s="60"/>
    </row>
    <row r="61" spans="1:22">
      <c r="A61" s="125"/>
      <c r="B61" s="102" t="s">
        <v>150</v>
      </c>
      <c r="C61" s="127" t="s">
        <v>121</v>
      </c>
      <c r="D61" s="146">
        <v>1</v>
      </c>
      <c r="E61" s="69">
        <v>1</v>
      </c>
      <c r="F61" s="113">
        <f t="shared" si="48"/>
        <v>12</v>
      </c>
      <c r="G61" s="114">
        <f>References!B31</f>
        <v>613</v>
      </c>
      <c r="H61" s="68">
        <f t="shared" si="45"/>
        <v>7356</v>
      </c>
      <c r="I61" s="47">
        <f t="shared" si="44"/>
        <v>5709.122893778841</v>
      </c>
      <c r="J61" s="67">
        <f>(References!$C$49*I61)</f>
        <v>37.680211098940319</v>
      </c>
      <c r="K61" s="67">
        <f>J61/References!$G$52</f>
        <v>38.789593472246573</v>
      </c>
      <c r="L61" s="67">
        <f t="shared" si="46"/>
        <v>3.2324661226872142</v>
      </c>
      <c r="M61" s="148">
        <v>85.09</v>
      </c>
      <c r="N61" s="67">
        <f t="shared" si="47"/>
        <v>88.322466122687217</v>
      </c>
      <c r="O61" s="67"/>
      <c r="P61" s="67"/>
      <c r="Q61" s="67"/>
      <c r="R61" s="67"/>
      <c r="S61" s="67"/>
      <c r="T61" s="67"/>
      <c r="U61" s="60"/>
      <c r="V61" s="60"/>
    </row>
    <row r="62" spans="1:22">
      <c r="A62" s="125"/>
      <c r="B62" s="102" t="s">
        <v>150</v>
      </c>
      <c r="C62" s="127" t="s">
        <v>122</v>
      </c>
      <c r="D62" s="146">
        <v>1</v>
      </c>
      <c r="E62" s="69">
        <v>1</v>
      </c>
      <c r="F62" s="113">
        <f t="shared" si="48"/>
        <v>12</v>
      </c>
      <c r="G62" s="114">
        <f>References!B32</f>
        <v>840</v>
      </c>
      <c r="H62" s="68">
        <f t="shared" si="45"/>
        <v>10080</v>
      </c>
      <c r="I62" s="47">
        <f t="shared" si="44"/>
        <v>7823.2679131716577</v>
      </c>
      <c r="J62" s="67">
        <f>(References!$C$49*I62)</f>
        <v>51.633568226932901</v>
      </c>
      <c r="K62" s="67">
        <f>J62/References!$G$52</f>
        <v>53.153765932605417</v>
      </c>
      <c r="L62" s="67">
        <f t="shared" si="46"/>
        <v>4.4294804943837844</v>
      </c>
      <c r="M62" s="148">
        <v>127.59</v>
      </c>
      <c r="N62" s="67">
        <f t="shared" si="47"/>
        <v>132.0194804943838</v>
      </c>
      <c r="O62" s="67"/>
      <c r="P62" s="67"/>
      <c r="Q62" s="67"/>
      <c r="R62" s="67"/>
      <c r="S62" s="67"/>
      <c r="T62" s="67"/>
      <c r="U62" s="60"/>
      <c r="V62" s="60"/>
    </row>
    <row r="63" spans="1:22">
      <c r="A63" s="125"/>
      <c r="B63" s="102" t="s">
        <v>150</v>
      </c>
      <c r="C63" s="127" t="s">
        <v>123</v>
      </c>
      <c r="D63" s="146">
        <v>1</v>
      </c>
      <c r="E63" s="69">
        <v>1</v>
      </c>
      <c r="F63" s="113">
        <f t="shared" si="48"/>
        <v>12</v>
      </c>
      <c r="G63" s="114">
        <f>References!B33</f>
        <v>980</v>
      </c>
      <c r="H63" s="68">
        <f t="shared" si="45"/>
        <v>11760</v>
      </c>
      <c r="I63" s="47">
        <f t="shared" si="44"/>
        <v>9127.1458987002679</v>
      </c>
      <c r="J63" s="67">
        <f>(References!$C$49*I63)</f>
        <v>60.239162931421724</v>
      </c>
      <c r="K63" s="67">
        <f>J63/References!$G$52</f>
        <v>62.012726921372987</v>
      </c>
      <c r="L63" s="67">
        <f t="shared" si="46"/>
        <v>5.1677272434477493</v>
      </c>
      <c r="M63" s="148">
        <v>156.27000000000001</v>
      </c>
      <c r="N63" s="67">
        <f t="shared" si="47"/>
        <v>161.43772724344777</v>
      </c>
      <c r="O63" s="67"/>
      <c r="P63" s="67"/>
      <c r="Q63" s="67"/>
      <c r="R63" s="67"/>
      <c r="S63" s="67"/>
      <c r="T63" s="67"/>
      <c r="U63" s="60"/>
      <c r="V63" s="60"/>
    </row>
    <row r="64" spans="1:22">
      <c r="A64" s="125"/>
      <c r="B64" s="126" t="s">
        <v>142</v>
      </c>
      <c r="C64" s="127" t="s">
        <v>133</v>
      </c>
      <c r="D64" s="146">
        <v>1</v>
      </c>
      <c r="E64" s="69">
        <v>1</v>
      </c>
      <c r="F64" s="113">
        <f t="shared" si="48"/>
        <v>12</v>
      </c>
      <c r="G64" s="114">
        <f>References!B34</f>
        <v>482</v>
      </c>
      <c r="H64" s="68">
        <f t="shared" si="45"/>
        <v>5784</v>
      </c>
      <c r="I64" s="47">
        <f t="shared" si="44"/>
        <v>4489.0656358913557</v>
      </c>
      <c r="J64" s="67">
        <f>(References!$C$49*I64)</f>
        <v>29.627833196882925</v>
      </c>
      <c r="K64" s="67">
        <f>J64/References!$G$52</f>
        <v>30.500137118471201</v>
      </c>
      <c r="L64" s="67">
        <f t="shared" si="46"/>
        <v>2.5416780932059333</v>
      </c>
      <c r="M64" s="148">
        <v>132.79</v>
      </c>
      <c r="N64" s="67">
        <f t="shared" si="47"/>
        <v>135.33167809320594</v>
      </c>
      <c r="O64" s="67"/>
      <c r="P64" s="67"/>
      <c r="Q64" s="67"/>
      <c r="R64" s="67"/>
      <c r="S64" s="67"/>
      <c r="T64" s="67"/>
      <c r="U64" s="60"/>
      <c r="V64" s="60"/>
    </row>
    <row r="65" spans="1:22">
      <c r="A65" s="125"/>
      <c r="B65" s="126" t="s">
        <v>142</v>
      </c>
      <c r="C65" s="127" t="s">
        <v>134</v>
      </c>
      <c r="D65" s="146">
        <v>1</v>
      </c>
      <c r="E65" s="69">
        <v>1</v>
      </c>
      <c r="F65" s="113">
        <f t="shared" si="48"/>
        <v>12</v>
      </c>
      <c r="G65" s="114">
        <f>References!B36</f>
        <v>892</v>
      </c>
      <c r="H65" s="68">
        <f t="shared" si="45"/>
        <v>10704</v>
      </c>
      <c r="I65" s="47">
        <f t="shared" si="44"/>
        <v>8307.5654506537121</v>
      </c>
      <c r="J65" s="67">
        <f>(References!$C$49*I65)</f>
        <v>54.829931974314455</v>
      </c>
      <c r="K65" s="67">
        <f>J65/References!$G$52</f>
        <v>56.444237157004792</v>
      </c>
      <c r="L65" s="67">
        <f t="shared" si="46"/>
        <v>4.7036864297503991</v>
      </c>
      <c r="M65" s="148">
        <v>188.65</v>
      </c>
      <c r="N65" s="67">
        <f t="shared" si="47"/>
        <v>193.35368642975041</v>
      </c>
      <c r="O65" s="67"/>
      <c r="P65" s="67"/>
      <c r="Q65" s="67"/>
      <c r="R65" s="67"/>
      <c r="S65" s="67"/>
      <c r="T65" s="67"/>
      <c r="U65" s="60"/>
      <c r="V65" s="60"/>
    </row>
    <row r="66" spans="1:22">
      <c r="A66" s="125"/>
      <c r="B66" s="126" t="s">
        <v>142</v>
      </c>
      <c r="C66" s="127" t="s">
        <v>135</v>
      </c>
      <c r="D66" s="146">
        <v>1</v>
      </c>
      <c r="E66" s="69">
        <v>1</v>
      </c>
      <c r="F66" s="113">
        <f t="shared" si="48"/>
        <v>12</v>
      </c>
      <c r="G66" s="114">
        <f>References!B37</f>
        <v>1301</v>
      </c>
      <c r="H66" s="68">
        <f t="shared" si="45"/>
        <v>15612</v>
      </c>
      <c r="I66" s="47">
        <f t="shared" si="44"/>
        <v>12116.751851233723</v>
      </c>
      <c r="J66" s="67">
        <f>(References!$C$49*I66)</f>
        <v>79.970562218142504</v>
      </c>
      <c r="K66" s="67">
        <f>J66/References!$G$52</f>
        <v>82.325058902761484</v>
      </c>
      <c r="L66" s="67">
        <f t="shared" si="46"/>
        <v>6.8604215752301236</v>
      </c>
      <c r="M66" s="148">
        <v>235.72</v>
      </c>
      <c r="N66" s="67">
        <f t="shared" si="47"/>
        <v>242.58042157523013</v>
      </c>
      <c r="O66" s="67"/>
      <c r="P66" s="67"/>
      <c r="Q66" s="67"/>
      <c r="R66" s="67"/>
      <c r="S66" s="67"/>
      <c r="T66" s="67"/>
      <c r="U66" s="60"/>
      <c r="V66" s="60"/>
    </row>
    <row r="67" spans="1:22">
      <c r="A67" s="125"/>
      <c r="B67" s="126" t="s">
        <v>142</v>
      </c>
      <c r="C67" s="127" t="s">
        <v>136</v>
      </c>
      <c r="D67" s="146">
        <v>1</v>
      </c>
      <c r="E67" s="69">
        <v>1</v>
      </c>
      <c r="F67" s="113">
        <f t="shared" si="48"/>
        <v>12</v>
      </c>
      <c r="G67" s="114">
        <f>References!B38</f>
        <v>1686</v>
      </c>
      <c r="H67" s="68">
        <f t="shared" si="45"/>
        <v>20232</v>
      </c>
      <c r="I67" s="47">
        <f t="shared" si="44"/>
        <v>15702.416311437399</v>
      </c>
      <c r="J67" s="67">
        <f>(References!$C$49*I67)</f>
        <v>103.63594765548675</v>
      </c>
      <c r="K67" s="67">
        <f>J67/References!$G$52</f>
        <v>106.68720162187229</v>
      </c>
      <c r="L67" s="67">
        <f t="shared" si="46"/>
        <v>8.8906001351560242</v>
      </c>
      <c r="M67" s="148">
        <v>279.87</v>
      </c>
      <c r="N67" s="67">
        <f t="shared" si="47"/>
        <v>288.76060013515604</v>
      </c>
      <c r="O67" s="67"/>
      <c r="P67" s="67"/>
      <c r="Q67" s="67"/>
      <c r="R67" s="67"/>
      <c r="S67" s="67"/>
      <c r="T67" s="67"/>
      <c r="U67" s="60"/>
      <c r="V67" s="60"/>
    </row>
    <row r="68" spans="1:22">
      <c r="A68" s="128"/>
      <c r="B68" s="126" t="s">
        <v>142</v>
      </c>
      <c r="C68" s="127" t="s">
        <v>137</v>
      </c>
      <c r="D68" s="146">
        <v>1</v>
      </c>
      <c r="E68" s="69">
        <v>1</v>
      </c>
      <c r="F68" s="113">
        <f t="shared" si="48"/>
        <v>12</v>
      </c>
      <c r="G68" s="114">
        <f>References!B39</f>
        <v>2046</v>
      </c>
      <c r="H68" s="68">
        <f t="shared" si="45"/>
        <v>24552</v>
      </c>
      <c r="I68" s="47">
        <f t="shared" si="44"/>
        <v>19055.245417082395</v>
      </c>
      <c r="J68" s="67">
        <f>(References!$C$49*I68)</f>
        <v>125.76461975274371</v>
      </c>
      <c r="K68" s="67">
        <f>J68/References!$G$52</f>
        <v>129.46738702156034</v>
      </c>
      <c r="L68" s="67">
        <f t="shared" si="46"/>
        <v>10.788948918463362</v>
      </c>
      <c r="M68" s="148">
        <v>324.45</v>
      </c>
      <c r="N68" s="67">
        <f t="shared" si="47"/>
        <v>335.23894891846334</v>
      </c>
      <c r="O68" s="67"/>
      <c r="P68" s="67"/>
      <c r="Q68" s="67"/>
      <c r="R68" s="67"/>
      <c r="S68" s="67"/>
      <c r="T68" s="67"/>
      <c r="U68" s="60"/>
      <c r="V68" s="60"/>
    </row>
    <row r="69" spans="1:22">
      <c r="A69" s="128"/>
      <c r="B69" s="126" t="s">
        <v>142</v>
      </c>
      <c r="C69" s="127" t="s">
        <v>138</v>
      </c>
      <c r="D69" s="146">
        <v>1</v>
      </c>
      <c r="E69" s="69">
        <v>1</v>
      </c>
      <c r="F69" s="113">
        <f t="shared" si="48"/>
        <v>12</v>
      </c>
      <c r="G69" s="114">
        <f>References!B40</f>
        <v>2310</v>
      </c>
      <c r="H69" s="68">
        <f t="shared" si="45"/>
        <v>27720</v>
      </c>
      <c r="I69" s="47">
        <f t="shared" si="44"/>
        <v>21513.986761222059</v>
      </c>
      <c r="J69" s="67">
        <f>(References!$C$49*I69)</f>
        <v>141.99231262406548</v>
      </c>
      <c r="K69" s="67">
        <f>J69/References!$G$52</f>
        <v>146.1728563146649</v>
      </c>
      <c r="L69" s="67">
        <f t="shared" si="46"/>
        <v>12.181071359555409</v>
      </c>
      <c r="M69" s="148">
        <v>408.2</v>
      </c>
      <c r="N69" s="67">
        <f t="shared" si="47"/>
        <v>420.38107135955539</v>
      </c>
      <c r="O69" s="67"/>
      <c r="P69" s="67"/>
      <c r="Q69" s="67"/>
      <c r="R69" s="67"/>
      <c r="S69" s="67"/>
      <c r="T69" s="67"/>
      <c r="U69" s="60"/>
      <c r="V69" s="60"/>
    </row>
    <row r="70" spans="1:22">
      <c r="A70" s="128"/>
      <c r="B70" s="43" t="s">
        <v>143</v>
      </c>
      <c r="C70" s="58" t="s">
        <v>133</v>
      </c>
      <c r="D70" s="146">
        <v>1</v>
      </c>
      <c r="E70" s="69">
        <v>1</v>
      </c>
      <c r="F70" s="113">
        <f t="shared" si="48"/>
        <v>12</v>
      </c>
      <c r="G70" s="114">
        <f>References!B34</f>
        <v>482</v>
      </c>
      <c r="H70" s="68">
        <f t="shared" si="45"/>
        <v>5784</v>
      </c>
      <c r="I70" s="47">
        <f t="shared" si="44"/>
        <v>4489.0656358913557</v>
      </c>
      <c r="J70" s="67">
        <f>(References!$C$49*I70)</f>
        <v>29.627833196882925</v>
      </c>
      <c r="K70" s="67">
        <f>J70/References!$G$52</f>
        <v>30.500137118471201</v>
      </c>
      <c r="L70" s="67">
        <f t="shared" si="46"/>
        <v>2.5416780932059333</v>
      </c>
      <c r="M70" s="148">
        <v>147.36000000000001</v>
      </c>
      <c r="N70" s="67">
        <f t="shared" si="47"/>
        <v>149.90167809320596</v>
      </c>
      <c r="O70" s="67"/>
      <c r="P70" s="67"/>
      <c r="Q70" s="67"/>
      <c r="R70" s="67"/>
      <c r="S70" s="67"/>
      <c r="T70" s="67"/>
      <c r="U70" s="60"/>
      <c r="V70" s="60"/>
    </row>
    <row r="71" spans="1:22">
      <c r="A71" s="128"/>
      <c r="B71" s="43" t="s">
        <v>143</v>
      </c>
      <c r="C71" s="58" t="s">
        <v>134</v>
      </c>
      <c r="D71" s="146">
        <v>1</v>
      </c>
      <c r="E71" s="69">
        <v>1</v>
      </c>
      <c r="F71" s="113">
        <f t="shared" si="48"/>
        <v>12</v>
      </c>
      <c r="G71" s="114">
        <f>References!B36</f>
        <v>892</v>
      </c>
      <c r="H71" s="68">
        <f t="shared" si="45"/>
        <v>10704</v>
      </c>
      <c r="I71" s="47">
        <f t="shared" si="44"/>
        <v>8307.5654506537121</v>
      </c>
      <c r="J71" s="67">
        <f>(References!$C$49*I71)</f>
        <v>54.829931974314455</v>
      </c>
      <c r="K71" s="67">
        <f>J71/References!$G$52</f>
        <v>56.444237157004792</v>
      </c>
      <c r="L71" s="67">
        <f t="shared" si="46"/>
        <v>4.7036864297503991</v>
      </c>
      <c r="M71" s="148">
        <v>226.41</v>
      </c>
      <c r="N71" s="67">
        <f t="shared" si="47"/>
        <v>231.1136864297504</v>
      </c>
      <c r="O71" s="67"/>
      <c r="P71" s="67"/>
      <c r="Q71" s="67"/>
      <c r="R71" s="67"/>
      <c r="S71" s="67"/>
      <c r="T71" s="67"/>
      <c r="U71" s="60"/>
      <c r="V71" s="60"/>
    </row>
    <row r="72" spans="1:22" s="60" customFormat="1">
      <c r="A72" s="125"/>
      <c r="B72" s="43" t="s">
        <v>143</v>
      </c>
      <c r="C72" s="58" t="s">
        <v>135</v>
      </c>
      <c r="D72" s="146">
        <v>1</v>
      </c>
      <c r="E72" s="69">
        <v>1</v>
      </c>
      <c r="F72" s="113">
        <f t="shared" si="48"/>
        <v>12</v>
      </c>
      <c r="G72" s="114">
        <f>References!B37</f>
        <v>1301</v>
      </c>
      <c r="H72" s="68">
        <f t="shared" si="45"/>
        <v>15612</v>
      </c>
      <c r="I72" s="47">
        <f t="shared" si="44"/>
        <v>12116.751851233723</v>
      </c>
      <c r="J72" s="67">
        <f>(References!$C$49*I72)</f>
        <v>79.970562218142504</v>
      </c>
      <c r="K72" s="67">
        <f>J72/References!$G$52</f>
        <v>82.325058902761484</v>
      </c>
      <c r="L72" s="67">
        <f t="shared" si="46"/>
        <v>6.8604215752301236</v>
      </c>
      <c r="M72" s="148">
        <v>288.89999999999998</v>
      </c>
      <c r="N72" s="67">
        <f t="shared" si="47"/>
        <v>295.76042157523011</v>
      </c>
      <c r="O72" s="67"/>
      <c r="P72" s="67"/>
      <c r="Q72" s="67"/>
      <c r="R72" s="67"/>
      <c r="S72" s="67"/>
      <c r="T72" s="67"/>
    </row>
    <row r="73" spans="1:22">
      <c r="A73" s="125"/>
      <c r="B73" s="43" t="s">
        <v>143</v>
      </c>
      <c r="C73" s="58" t="s">
        <v>136</v>
      </c>
      <c r="D73" s="146">
        <v>1</v>
      </c>
      <c r="E73" s="69">
        <v>1</v>
      </c>
      <c r="F73" s="113">
        <f t="shared" si="48"/>
        <v>12</v>
      </c>
      <c r="G73" s="114">
        <f>References!B38</f>
        <v>1686</v>
      </c>
      <c r="H73" s="68">
        <f t="shared" si="45"/>
        <v>20232</v>
      </c>
      <c r="I73" s="47">
        <f t="shared" si="44"/>
        <v>15702.416311437399</v>
      </c>
      <c r="J73" s="67">
        <f>(References!$C$49*I73)</f>
        <v>103.63594765548675</v>
      </c>
      <c r="K73" s="67">
        <f>J73/References!$G$52</f>
        <v>106.68720162187229</v>
      </c>
      <c r="L73" s="67">
        <f t="shared" si="46"/>
        <v>8.8906001351560242</v>
      </c>
      <c r="M73" s="148">
        <v>351.21</v>
      </c>
      <c r="N73" s="67">
        <f t="shared" si="47"/>
        <v>360.10060013515601</v>
      </c>
      <c r="O73" s="67"/>
      <c r="P73" s="67"/>
      <c r="Q73" s="67"/>
      <c r="R73" s="67"/>
      <c r="S73" s="67"/>
      <c r="T73" s="67"/>
      <c r="U73" s="60"/>
      <c r="V73" s="60"/>
    </row>
    <row r="74" spans="1:22">
      <c r="A74" s="125"/>
      <c r="B74" s="43" t="s">
        <v>143</v>
      </c>
      <c r="C74" s="58" t="s">
        <v>137</v>
      </c>
      <c r="D74" s="146">
        <v>1</v>
      </c>
      <c r="E74" s="69">
        <v>1</v>
      </c>
      <c r="F74" s="113">
        <f t="shared" si="48"/>
        <v>12</v>
      </c>
      <c r="G74" s="114">
        <f>References!B39</f>
        <v>2046</v>
      </c>
      <c r="H74" s="68">
        <f t="shared" si="45"/>
        <v>24552</v>
      </c>
      <c r="I74" s="47">
        <f t="shared" si="44"/>
        <v>19055.245417082395</v>
      </c>
      <c r="J74" s="67">
        <f>(References!$C$49*I74)</f>
        <v>125.76461975274371</v>
      </c>
      <c r="K74" s="67">
        <f>J74/References!$G$52</f>
        <v>129.46738702156034</v>
      </c>
      <c r="L74" s="67">
        <f t="shared" si="46"/>
        <v>10.788948918463362</v>
      </c>
      <c r="M74" s="148">
        <v>413.3</v>
      </c>
      <c r="N74" s="67">
        <f t="shared" si="47"/>
        <v>424.08894891846336</v>
      </c>
      <c r="O74" s="67"/>
      <c r="P74" s="67"/>
      <c r="Q74" s="67"/>
      <c r="R74" s="67"/>
      <c r="S74" s="67"/>
      <c r="T74" s="67"/>
      <c r="U74" s="60"/>
      <c r="V74" s="60"/>
    </row>
    <row r="75" spans="1:22">
      <c r="A75" s="125"/>
      <c r="B75" s="43" t="s">
        <v>143</v>
      </c>
      <c r="C75" s="58" t="s">
        <v>138</v>
      </c>
      <c r="D75" s="146">
        <v>1</v>
      </c>
      <c r="E75" s="69">
        <v>1</v>
      </c>
      <c r="F75" s="113">
        <f t="shared" si="48"/>
        <v>12</v>
      </c>
      <c r="G75" s="114">
        <f>References!B40</f>
        <v>2310</v>
      </c>
      <c r="H75" s="68">
        <f t="shared" si="45"/>
        <v>27720</v>
      </c>
      <c r="I75" s="47">
        <f t="shared" si="44"/>
        <v>21513.986761222059</v>
      </c>
      <c r="J75" s="67">
        <f>(References!$C$49*I75)</f>
        <v>141.99231262406548</v>
      </c>
      <c r="K75" s="67">
        <f>J75/References!$G$52</f>
        <v>146.1728563146649</v>
      </c>
      <c r="L75" s="67">
        <f t="shared" si="46"/>
        <v>12.181071359555409</v>
      </c>
      <c r="M75" s="148">
        <v>474.55</v>
      </c>
      <c r="N75" s="67">
        <f t="shared" si="47"/>
        <v>486.73107135955541</v>
      </c>
      <c r="O75" s="67"/>
      <c r="P75" s="67"/>
      <c r="Q75" s="67"/>
      <c r="R75" s="67"/>
      <c r="S75" s="67"/>
      <c r="T75" s="67"/>
      <c r="U75" s="60"/>
      <c r="V75" s="60"/>
    </row>
    <row r="76" spans="1:22">
      <c r="A76" s="125"/>
      <c r="B76" s="43" t="s">
        <v>144</v>
      </c>
      <c r="C76" s="58" t="s">
        <v>127</v>
      </c>
      <c r="D76" s="146">
        <v>1</v>
      </c>
      <c r="E76" s="69">
        <v>1</v>
      </c>
      <c r="F76" s="113">
        <f t="shared" si="48"/>
        <v>12</v>
      </c>
      <c r="G76" s="114">
        <f>References!B21</f>
        <v>47</v>
      </c>
      <c r="H76" s="68">
        <f t="shared" si="45"/>
        <v>564</v>
      </c>
      <c r="I76" s="47">
        <f t="shared" si="44"/>
        <v>437.73046657031892</v>
      </c>
      <c r="J76" s="67">
        <f>(References!$C$49*I76)</f>
        <v>2.8890210793641025</v>
      </c>
      <c r="K76" s="67">
        <f>J76/References!$G$52</f>
        <v>2.9740797605148264</v>
      </c>
      <c r="L76" s="67">
        <f t="shared" si="46"/>
        <v>0.2478399800429022</v>
      </c>
      <c r="M76" s="148">
        <v>7.02</v>
      </c>
      <c r="N76" s="67">
        <f t="shared" si="47"/>
        <v>7.2678399800429014</v>
      </c>
      <c r="O76" s="67"/>
      <c r="P76" s="67"/>
      <c r="Q76" s="67"/>
      <c r="R76" s="67"/>
      <c r="S76" s="67"/>
      <c r="T76" s="67"/>
      <c r="U76" s="60"/>
      <c r="V76" s="60"/>
    </row>
    <row r="77" spans="1:22">
      <c r="A77" s="125"/>
      <c r="B77" s="43" t="s">
        <v>144</v>
      </c>
      <c r="C77" s="58" t="s">
        <v>139</v>
      </c>
      <c r="D77" s="146">
        <v>1</v>
      </c>
      <c r="E77" s="69">
        <v>1</v>
      </c>
      <c r="F77" s="113">
        <f t="shared" si="48"/>
        <v>12</v>
      </c>
      <c r="G77" s="114">
        <f>References!B26</f>
        <v>29</v>
      </c>
      <c r="H77" s="68">
        <f t="shared" si="45"/>
        <v>348</v>
      </c>
      <c r="I77" s="47">
        <f t="shared" si="44"/>
        <v>270.08901128806912</v>
      </c>
      <c r="J77" s="67">
        <f>(References!$C$49*I77)</f>
        <v>1.7825874745012547</v>
      </c>
      <c r="K77" s="67">
        <f>J77/References!$G$52</f>
        <v>1.8350704905304247</v>
      </c>
      <c r="L77" s="67">
        <f t="shared" si="46"/>
        <v>0.1529225408775354</v>
      </c>
      <c r="M77" s="148">
        <v>9.32</v>
      </c>
      <c r="N77" s="67">
        <f t="shared" si="47"/>
        <v>9.4729225408775353</v>
      </c>
      <c r="O77" s="67"/>
      <c r="P77" s="67"/>
      <c r="Q77" s="67"/>
      <c r="R77" s="67"/>
      <c r="S77" s="67"/>
      <c r="T77" s="67"/>
      <c r="U77" s="60"/>
      <c r="V77" s="60"/>
    </row>
    <row r="78" spans="1:22">
      <c r="A78" s="125"/>
      <c r="B78" s="43" t="s">
        <v>144</v>
      </c>
      <c r="C78" s="58" t="s">
        <v>129</v>
      </c>
      <c r="D78" s="146">
        <v>1</v>
      </c>
      <c r="E78" s="69">
        <v>1</v>
      </c>
      <c r="F78" s="113">
        <f t="shared" si="48"/>
        <v>12</v>
      </c>
      <c r="G78" s="114">
        <f>References!B21</f>
        <v>47</v>
      </c>
      <c r="H78" s="68">
        <f t="shared" si="45"/>
        <v>564</v>
      </c>
      <c r="I78" s="47">
        <f t="shared" ref="I78:I97" si="49">$D$123*H78</f>
        <v>437.73046657031892</v>
      </c>
      <c r="J78" s="67">
        <f>(References!$C$49*I78)</f>
        <v>2.8890210793641025</v>
      </c>
      <c r="K78" s="67">
        <f>J78/References!$G$52</f>
        <v>2.9740797605148264</v>
      </c>
      <c r="L78" s="67">
        <f t="shared" si="46"/>
        <v>0.2478399800429022</v>
      </c>
      <c r="M78" s="148">
        <v>10.65</v>
      </c>
      <c r="N78" s="67">
        <f t="shared" si="47"/>
        <v>10.897839980042903</v>
      </c>
      <c r="O78" s="67"/>
      <c r="P78" s="67"/>
      <c r="Q78" s="67"/>
      <c r="R78" s="67"/>
      <c r="S78" s="67"/>
      <c r="T78" s="67"/>
      <c r="U78" s="60"/>
      <c r="V78" s="60"/>
    </row>
    <row r="79" spans="1:22">
      <c r="A79" s="125"/>
      <c r="B79" s="43" t="s">
        <v>144</v>
      </c>
      <c r="C79" s="58" t="s">
        <v>140</v>
      </c>
      <c r="D79" s="146">
        <v>1</v>
      </c>
      <c r="E79" s="69">
        <v>1</v>
      </c>
      <c r="F79" s="113">
        <f t="shared" si="48"/>
        <v>12</v>
      </c>
      <c r="G79" s="114">
        <f>References!B22</f>
        <v>68</v>
      </c>
      <c r="H79" s="68">
        <f t="shared" si="45"/>
        <v>816</v>
      </c>
      <c r="I79" s="47">
        <f t="shared" si="49"/>
        <v>633.31216439961042</v>
      </c>
      <c r="J79" s="67">
        <f>(References!$C$49*I79)</f>
        <v>4.1798602850374253</v>
      </c>
      <c r="K79" s="67">
        <f>J79/References!$G$52</f>
        <v>4.3029239088299622</v>
      </c>
      <c r="L79" s="67">
        <f t="shared" si="46"/>
        <v>0.35857699240249685</v>
      </c>
      <c r="M79" s="148">
        <v>13.1</v>
      </c>
      <c r="N79" s="67">
        <f t="shared" si="47"/>
        <v>13.458576992402497</v>
      </c>
      <c r="O79" s="67"/>
      <c r="P79" s="67"/>
      <c r="Q79" s="67"/>
      <c r="R79" s="67"/>
      <c r="S79" s="67"/>
      <c r="T79" s="67"/>
      <c r="U79" s="60"/>
      <c r="V79" s="60"/>
    </row>
    <row r="80" spans="1:22">
      <c r="A80" s="128"/>
      <c r="B80" s="43" t="s">
        <v>144</v>
      </c>
      <c r="C80" s="78" t="s">
        <v>132</v>
      </c>
      <c r="D80" s="146">
        <v>1</v>
      </c>
      <c r="E80" s="69">
        <v>1</v>
      </c>
      <c r="F80" s="113">
        <f t="shared" si="48"/>
        <v>12</v>
      </c>
      <c r="G80" s="114">
        <f>References!B27</f>
        <v>175</v>
      </c>
      <c r="H80" s="68">
        <f t="shared" si="45"/>
        <v>2100</v>
      </c>
      <c r="I80" s="47">
        <f t="shared" si="49"/>
        <v>1629.8474819107621</v>
      </c>
      <c r="J80" s="67">
        <f>(References!$C$49*I80)</f>
        <v>10.756993380611021</v>
      </c>
      <c r="K80" s="67">
        <f>J80/References!$G$52</f>
        <v>11.073701235959462</v>
      </c>
      <c r="L80" s="67">
        <f t="shared" si="46"/>
        <v>0.92280843632995513</v>
      </c>
      <c r="M80" s="148">
        <v>31.51</v>
      </c>
      <c r="N80" s="67">
        <f t="shared" si="47"/>
        <v>32.432808436329957</v>
      </c>
      <c r="O80" s="67"/>
      <c r="P80" s="67"/>
      <c r="Q80" s="67"/>
      <c r="R80" s="67"/>
      <c r="S80" s="67"/>
      <c r="T80" s="67"/>
      <c r="U80" s="60"/>
      <c r="V80" s="60"/>
    </row>
    <row r="81" spans="1:22">
      <c r="A81" s="128"/>
      <c r="B81" s="43" t="s">
        <v>145</v>
      </c>
      <c r="C81" s="78" t="s">
        <v>127</v>
      </c>
      <c r="D81" s="146">
        <v>1</v>
      </c>
      <c r="E81" s="69">
        <v>1</v>
      </c>
      <c r="F81" s="113">
        <f t="shared" si="48"/>
        <v>12</v>
      </c>
      <c r="G81" s="114">
        <f>References!B21</f>
        <v>47</v>
      </c>
      <c r="H81" s="68">
        <f t="shared" si="45"/>
        <v>564</v>
      </c>
      <c r="I81" s="47">
        <f t="shared" si="49"/>
        <v>437.73046657031892</v>
      </c>
      <c r="J81" s="67">
        <f>(References!$C$49*I81)</f>
        <v>2.8890210793641025</v>
      </c>
      <c r="K81" s="67">
        <f>J81/References!$G$52</f>
        <v>2.9740797605148264</v>
      </c>
      <c r="L81" s="67">
        <f t="shared" si="46"/>
        <v>0.2478399800429022</v>
      </c>
      <c r="M81" s="148">
        <v>7.02</v>
      </c>
      <c r="N81" s="67">
        <f t="shared" si="47"/>
        <v>7.2678399800429014</v>
      </c>
      <c r="O81" s="67"/>
      <c r="P81" s="67"/>
      <c r="Q81" s="67"/>
      <c r="R81" s="67"/>
      <c r="S81" s="67"/>
      <c r="T81" s="67"/>
      <c r="U81" s="60"/>
      <c r="V81" s="60"/>
    </row>
    <row r="82" spans="1:22">
      <c r="A82" s="128"/>
      <c r="B82" s="43" t="s">
        <v>145</v>
      </c>
      <c r="C82" s="58" t="s">
        <v>109</v>
      </c>
      <c r="D82" s="146">
        <v>1</v>
      </c>
      <c r="E82" s="69">
        <v>1</v>
      </c>
      <c r="F82" s="113">
        <f t="shared" si="48"/>
        <v>12</v>
      </c>
      <c r="G82" s="114">
        <f>References!B22</f>
        <v>68</v>
      </c>
      <c r="H82" s="68">
        <f t="shared" si="45"/>
        <v>816</v>
      </c>
      <c r="I82" s="47">
        <f t="shared" si="49"/>
        <v>633.31216439961042</v>
      </c>
      <c r="J82" s="67">
        <f>(References!$C$49*I82)</f>
        <v>4.1798602850374253</v>
      </c>
      <c r="K82" s="67">
        <f>J82/References!$G$52</f>
        <v>4.3029239088299622</v>
      </c>
      <c r="L82" s="67">
        <f t="shared" si="46"/>
        <v>0.35857699240249685</v>
      </c>
      <c r="M82" s="148">
        <v>10.49</v>
      </c>
      <c r="N82" s="67">
        <f t="shared" si="47"/>
        <v>10.848576992402498</v>
      </c>
      <c r="O82" s="67"/>
      <c r="P82" s="67"/>
      <c r="Q82" s="67"/>
      <c r="R82" s="67"/>
      <c r="S82" s="67"/>
      <c r="T82" s="67"/>
      <c r="U82" s="60"/>
      <c r="V82" s="60"/>
    </row>
    <row r="83" spans="1:22">
      <c r="A83" s="125"/>
      <c r="B83" s="43" t="s">
        <v>145</v>
      </c>
      <c r="C83" s="58" t="s">
        <v>139</v>
      </c>
      <c r="D83" s="146">
        <v>1</v>
      </c>
      <c r="E83" s="69">
        <v>1</v>
      </c>
      <c r="F83" s="113">
        <f t="shared" si="48"/>
        <v>12</v>
      </c>
      <c r="G83" s="114">
        <f>References!B26</f>
        <v>29</v>
      </c>
      <c r="H83" s="68">
        <f t="shared" si="45"/>
        <v>348</v>
      </c>
      <c r="I83" s="47">
        <f t="shared" si="49"/>
        <v>270.08901128806912</v>
      </c>
      <c r="J83" s="67">
        <f>(References!$C$49*I83)</f>
        <v>1.7825874745012547</v>
      </c>
      <c r="K83" s="67">
        <f>J83/References!$G$52</f>
        <v>1.8350704905304247</v>
      </c>
      <c r="L83" s="67">
        <f t="shared" si="46"/>
        <v>0.1529225408775354</v>
      </c>
      <c r="M83" s="148">
        <v>9.33</v>
      </c>
      <c r="N83" s="67">
        <f t="shared" si="47"/>
        <v>9.4829225408775351</v>
      </c>
      <c r="O83" s="67"/>
      <c r="P83" s="67"/>
      <c r="Q83" s="67"/>
      <c r="R83" s="67"/>
      <c r="S83" s="67"/>
      <c r="T83" s="67"/>
      <c r="U83" s="60"/>
      <c r="V83" s="60"/>
    </row>
    <row r="84" spans="1:22">
      <c r="A84" s="125"/>
      <c r="B84" s="43" t="s">
        <v>145</v>
      </c>
      <c r="C84" s="58" t="s">
        <v>129</v>
      </c>
      <c r="D84" s="146">
        <v>1</v>
      </c>
      <c r="E84" s="69">
        <v>1</v>
      </c>
      <c r="F84" s="113">
        <f t="shared" si="48"/>
        <v>12</v>
      </c>
      <c r="G84" s="114">
        <f>References!B21</f>
        <v>47</v>
      </c>
      <c r="H84" s="68">
        <f t="shared" si="45"/>
        <v>564</v>
      </c>
      <c r="I84" s="47">
        <f t="shared" si="49"/>
        <v>437.73046657031892</v>
      </c>
      <c r="J84" s="67">
        <f>(References!$C$49*I84)</f>
        <v>2.8890210793641025</v>
      </c>
      <c r="K84" s="67">
        <f>J84/References!$G$52</f>
        <v>2.9740797605148264</v>
      </c>
      <c r="L84" s="67">
        <f t="shared" si="46"/>
        <v>0.2478399800429022</v>
      </c>
      <c r="M84" s="148">
        <v>10.65</v>
      </c>
      <c r="N84" s="67">
        <f t="shared" si="47"/>
        <v>10.897839980042903</v>
      </c>
      <c r="O84" s="67"/>
      <c r="P84" s="67"/>
      <c r="Q84" s="67"/>
      <c r="R84" s="67"/>
      <c r="S84" s="67"/>
      <c r="T84" s="67"/>
      <c r="U84" s="60"/>
      <c r="V84" s="60"/>
    </row>
    <row r="85" spans="1:22">
      <c r="A85" s="125"/>
      <c r="B85" s="43" t="s">
        <v>145</v>
      </c>
      <c r="C85" s="58" t="s">
        <v>140</v>
      </c>
      <c r="D85" s="146">
        <v>1</v>
      </c>
      <c r="E85" s="69">
        <v>1</v>
      </c>
      <c r="F85" s="113">
        <f t="shared" si="48"/>
        <v>12</v>
      </c>
      <c r="G85" s="114">
        <f>References!B22</f>
        <v>68</v>
      </c>
      <c r="H85" s="68">
        <f t="shared" si="45"/>
        <v>816</v>
      </c>
      <c r="I85" s="47">
        <f t="shared" si="49"/>
        <v>633.31216439961042</v>
      </c>
      <c r="J85" s="67">
        <f>(References!$C$49*I85)</f>
        <v>4.1798602850374253</v>
      </c>
      <c r="K85" s="67">
        <f>J85/References!$G$52</f>
        <v>4.3029239088299622</v>
      </c>
      <c r="L85" s="67">
        <f t="shared" si="46"/>
        <v>0.35857699240249685</v>
      </c>
      <c r="M85" s="148">
        <v>13.11</v>
      </c>
      <c r="N85" s="67">
        <f t="shared" si="47"/>
        <v>13.468576992402497</v>
      </c>
      <c r="O85" s="67"/>
      <c r="P85" s="67"/>
      <c r="Q85" s="67"/>
      <c r="R85" s="67"/>
      <c r="S85" s="67"/>
      <c r="T85" s="67"/>
      <c r="U85" s="60"/>
      <c r="V85" s="60"/>
    </row>
    <row r="86" spans="1:22">
      <c r="A86" s="125"/>
      <c r="B86" s="43" t="s">
        <v>147</v>
      </c>
      <c r="C86" s="58" t="s">
        <v>133</v>
      </c>
      <c r="D86" s="146">
        <v>1</v>
      </c>
      <c r="E86" s="69">
        <v>1</v>
      </c>
      <c r="F86" s="113">
        <f t="shared" si="48"/>
        <v>12</v>
      </c>
      <c r="G86" s="114">
        <f>References!B34</f>
        <v>482</v>
      </c>
      <c r="H86" s="68">
        <f t="shared" si="45"/>
        <v>5784</v>
      </c>
      <c r="I86" s="47">
        <f t="shared" si="49"/>
        <v>4489.0656358913557</v>
      </c>
      <c r="J86" s="67">
        <f>(References!$C$49*I86)</f>
        <v>29.627833196882925</v>
      </c>
      <c r="K86" s="67">
        <f>J86/References!$G$52</f>
        <v>30.500137118471201</v>
      </c>
      <c r="L86" s="67">
        <f t="shared" si="46"/>
        <v>2.5416780932059333</v>
      </c>
      <c r="M86" s="148">
        <v>126.29</v>
      </c>
      <c r="N86" s="67">
        <f t="shared" si="47"/>
        <v>128.83167809320594</v>
      </c>
      <c r="O86" s="67"/>
      <c r="P86" s="67"/>
      <c r="Q86" s="67"/>
      <c r="R86" s="67"/>
      <c r="S86" s="67"/>
      <c r="T86" s="67"/>
      <c r="U86" s="60"/>
      <c r="V86" s="60"/>
    </row>
    <row r="87" spans="1:22">
      <c r="A87" s="125"/>
      <c r="B87" s="43" t="s">
        <v>147</v>
      </c>
      <c r="C87" s="58" t="s">
        <v>134</v>
      </c>
      <c r="D87" s="146">
        <v>1</v>
      </c>
      <c r="E87" s="69">
        <v>1</v>
      </c>
      <c r="F87" s="113">
        <f t="shared" si="48"/>
        <v>12</v>
      </c>
      <c r="G87" s="114">
        <f>References!B36</f>
        <v>892</v>
      </c>
      <c r="H87" s="68">
        <f t="shared" si="45"/>
        <v>10704</v>
      </c>
      <c r="I87" s="47">
        <f t="shared" si="49"/>
        <v>8307.5654506537121</v>
      </c>
      <c r="J87" s="67">
        <f>(References!$C$49*I87)</f>
        <v>54.829931974314455</v>
      </c>
      <c r="K87" s="67">
        <f>J87/References!$G$52</f>
        <v>56.444237157004792</v>
      </c>
      <c r="L87" s="67">
        <f t="shared" si="46"/>
        <v>4.7036864297503991</v>
      </c>
      <c r="M87" s="148">
        <v>175.61</v>
      </c>
      <c r="N87" s="67">
        <f t="shared" si="47"/>
        <v>180.31368642975042</v>
      </c>
      <c r="O87" s="67"/>
      <c r="P87" s="67"/>
      <c r="Q87" s="67"/>
      <c r="R87" s="67"/>
      <c r="S87" s="67"/>
      <c r="T87" s="67"/>
      <c r="U87" s="60"/>
      <c r="V87" s="60"/>
    </row>
    <row r="88" spans="1:22">
      <c r="A88" s="128"/>
      <c r="B88" s="43" t="s">
        <v>147</v>
      </c>
      <c r="C88" s="58" t="s">
        <v>135</v>
      </c>
      <c r="D88" s="146">
        <v>1</v>
      </c>
      <c r="E88" s="69">
        <v>1</v>
      </c>
      <c r="F88" s="113">
        <f t="shared" si="48"/>
        <v>12</v>
      </c>
      <c r="G88" s="114">
        <f>References!B37</f>
        <v>1301</v>
      </c>
      <c r="H88" s="68">
        <f t="shared" si="45"/>
        <v>15612</v>
      </c>
      <c r="I88" s="47">
        <f t="shared" si="49"/>
        <v>12116.751851233723</v>
      </c>
      <c r="J88" s="67">
        <f>(References!$C$49*I88)</f>
        <v>79.970562218142504</v>
      </c>
      <c r="K88" s="67">
        <f>J88/References!$G$52</f>
        <v>82.325058902761484</v>
      </c>
      <c r="L88" s="67">
        <f t="shared" si="46"/>
        <v>6.8604215752301236</v>
      </c>
      <c r="M88" s="148">
        <v>216.14</v>
      </c>
      <c r="N88" s="67">
        <f t="shared" si="47"/>
        <v>223.00042157523012</v>
      </c>
      <c r="O88" s="67"/>
      <c r="P88" s="67"/>
      <c r="Q88" s="67"/>
      <c r="R88" s="67"/>
      <c r="S88" s="67"/>
      <c r="T88" s="67"/>
      <c r="U88" s="60"/>
      <c r="V88" s="60"/>
    </row>
    <row r="89" spans="1:22">
      <c r="A89" s="128"/>
      <c r="B89" s="43" t="s">
        <v>147</v>
      </c>
      <c r="C89" s="58" t="s">
        <v>136</v>
      </c>
      <c r="D89" s="146">
        <v>1</v>
      </c>
      <c r="E89" s="69">
        <v>1</v>
      </c>
      <c r="F89" s="113">
        <f t="shared" si="48"/>
        <v>12</v>
      </c>
      <c r="G89" s="114">
        <f>References!B38</f>
        <v>1686</v>
      </c>
      <c r="H89" s="68">
        <f t="shared" si="45"/>
        <v>20232</v>
      </c>
      <c r="I89" s="47">
        <f t="shared" si="49"/>
        <v>15702.416311437399</v>
      </c>
      <c r="J89" s="67">
        <f>(References!$C$49*I89)</f>
        <v>103.63594765548675</v>
      </c>
      <c r="K89" s="67">
        <f>J89/References!$G$52</f>
        <v>106.68720162187229</v>
      </c>
      <c r="L89" s="67">
        <f t="shared" si="46"/>
        <v>8.8906001351560242</v>
      </c>
      <c r="M89" s="148">
        <v>253.77</v>
      </c>
      <c r="N89" s="67">
        <f t="shared" si="47"/>
        <v>262.66060013515602</v>
      </c>
      <c r="O89" s="67"/>
      <c r="P89" s="67"/>
      <c r="Q89" s="67"/>
      <c r="R89" s="67"/>
      <c r="S89" s="67"/>
      <c r="T89" s="67"/>
      <c r="U89" s="60"/>
      <c r="V89" s="60"/>
    </row>
    <row r="90" spans="1:22">
      <c r="A90" s="128"/>
      <c r="B90" s="43" t="s">
        <v>147</v>
      </c>
      <c r="C90" s="58" t="s">
        <v>137</v>
      </c>
      <c r="D90" s="146">
        <v>1</v>
      </c>
      <c r="E90" s="69">
        <v>1</v>
      </c>
      <c r="F90" s="113">
        <f t="shared" si="48"/>
        <v>12</v>
      </c>
      <c r="G90" s="114">
        <f>References!B39</f>
        <v>2046</v>
      </c>
      <c r="H90" s="68">
        <f t="shared" si="45"/>
        <v>24552</v>
      </c>
      <c r="I90" s="47">
        <f t="shared" si="49"/>
        <v>19055.245417082395</v>
      </c>
      <c r="J90" s="67">
        <f>(References!$C$49*I90)</f>
        <v>125.76461975274371</v>
      </c>
      <c r="K90" s="67">
        <f>J90/References!$G$52</f>
        <v>129.46738702156034</v>
      </c>
      <c r="L90" s="67">
        <f t="shared" si="46"/>
        <v>10.788948918463362</v>
      </c>
      <c r="M90" s="148">
        <v>291.83</v>
      </c>
      <c r="N90" s="67">
        <f t="shared" si="47"/>
        <v>302.61894891846333</v>
      </c>
      <c r="O90" s="67"/>
      <c r="P90" s="67"/>
      <c r="Q90" s="67"/>
      <c r="R90" s="67"/>
      <c r="S90" s="67"/>
      <c r="T90" s="67"/>
      <c r="U90" s="60"/>
      <c r="V90" s="60"/>
    </row>
    <row r="91" spans="1:22">
      <c r="A91" s="128"/>
      <c r="B91" s="43" t="s">
        <v>147</v>
      </c>
      <c r="C91" s="58" t="s">
        <v>138</v>
      </c>
      <c r="D91" s="146">
        <v>1</v>
      </c>
      <c r="E91" s="69">
        <v>1</v>
      </c>
      <c r="F91" s="113">
        <f t="shared" si="48"/>
        <v>12</v>
      </c>
      <c r="G91" s="114">
        <f>References!B40</f>
        <v>2310</v>
      </c>
      <c r="H91" s="68">
        <f t="shared" si="45"/>
        <v>27720</v>
      </c>
      <c r="I91" s="47">
        <f t="shared" si="49"/>
        <v>21513.986761222059</v>
      </c>
      <c r="J91" s="67">
        <f>(References!$C$49*I91)</f>
        <v>141.99231262406548</v>
      </c>
      <c r="K91" s="67">
        <f>J91/References!$G$52</f>
        <v>146.1728563146649</v>
      </c>
      <c r="L91" s="67">
        <f t="shared" si="46"/>
        <v>12.181071359555409</v>
      </c>
      <c r="M91" s="148">
        <v>369.06</v>
      </c>
      <c r="N91" s="67">
        <f t="shared" si="47"/>
        <v>381.24107135955541</v>
      </c>
      <c r="O91" s="67"/>
      <c r="P91" s="67"/>
      <c r="Q91" s="67"/>
      <c r="R91" s="67"/>
      <c r="S91" s="67"/>
      <c r="T91" s="67"/>
      <c r="U91" s="60"/>
      <c r="V91" s="60"/>
    </row>
    <row r="92" spans="1:22" s="60" customFormat="1">
      <c r="A92" s="125"/>
      <c r="B92" s="43" t="s">
        <v>146</v>
      </c>
      <c r="C92" s="58" t="s">
        <v>133</v>
      </c>
      <c r="D92" s="146">
        <v>1</v>
      </c>
      <c r="E92" s="69">
        <v>1</v>
      </c>
      <c r="F92" s="113">
        <f t="shared" si="48"/>
        <v>12</v>
      </c>
      <c r="G92" s="114">
        <f>References!B34</f>
        <v>482</v>
      </c>
      <c r="H92" s="68">
        <f t="shared" si="45"/>
        <v>5784</v>
      </c>
      <c r="I92" s="47">
        <f t="shared" si="49"/>
        <v>4489.0656358913557</v>
      </c>
      <c r="J92" s="67">
        <f>(References!$C$49*I92)</f>
        <v>29.627833196882925</v>
      </c>
      <c r="K92" s="67">
        <f>J92/References!$G$52</f>
        <v>30.500137118471201</v>
      </c>
      <c r="L92" s="67">
        <f t="shared" si="46"/>
        <v>2.5416780932059333</v>
      </c>
      <c r="M92" s="148">
        <v>138.03</v>
      </c>
      <c r="N92" s="67">
        <f t="shared" si="47"/>
        <v>140.57167809320595</v>
      </c>
      <c r="O92" s="67"/>
      <c r="P92" s="67"/>
      <c r="Q92" s="67"/>
      <c r="R92" s="67"/>
      <c r="S92" s="67"/>
      <c r="T92" s="67"/>
    </row>
    <row r="93" spans="1:22">
      <c r="A93" s="125"/>
      <c r="B93" s="43" t="s">
        <v>146</v>
      </c>
      <c r="C93" s="58" t="s">
        <v>134</v>
      </c>
      <c r="D93" s="146">
        <v>1</v>
      </c>
      <c r="E93" s="69">
        <v>1</v>
      </c>
      <c r="F93" s="113">
        <f t="shared" si="48"/>
        <v>12</v>
      </c>
      <c r="G93" s="114">
        <f>References!B36</f>
        <v>892</v>
      </c>
      <c r="H93" s="68">
        <f t="shared" si="45"/>
        <v>10704</v>
      </c>
      <c r="I93" s="47">
        <f t="shared" si="49"/>
        <v>8307.5654506537121</v>
      </c>
      <c r="J93" s="67">
        <f>(References!$C$49*I93)</f>
        <v>54.829931974314455</v>
      </c>
      <c r="K93" s="67">
        <f>J93/References!$G$52</f>
        <v>56.444237157004792</v>
      </c>
      <c r="L93" s="67">
        <f t="shared" si="46"/>
        <v>4.7036864297503991</v>
      </c>
      <c r="M93" s="148">
        <v>207.77</v>
      </c>
      <c r="N93" s="67">
        <f t="shared" si="47"/>
        <v>212.47368642975042</v>
      </c>
      <c r="O93" s="67"/>
      <c r="P93" s="67"/>
      <c r="Q93" s="67"/>
      <c r="R93" s="67"/>
      <c r="S93" s="67"/>
      <c r="T93" s="67"/>
      <c r="U93" s="60"/>
      <c r="V93" s="60"/>
    </row>
    <row r="94" spans="1:22">
      <c r="A94" s="125"/>
      <c r="B94" s="43" t="s">
        <v>146</v>
      </c>
      <c r="C94" s="58" t="s">
        <v>135</v>
      </c>
      <c r="D94" s="146">
        <v>1</v>
      </c>
      <c r="E94" s="69">
        <v>1</v>
      </c>
      <c r="F94" s="113">
        <f t="shared" si="48"/>
        <v>12</v>
      </c>
      <c r="G94" s="114">
        <f>References!B37</f>
        <v>1301</v>
      </c>
      <c r="H94" s="68">
        <f t="shared" si="45"/>
        <v>15612</v>
      </c>
      <c r="I94" s="47">
        <f t="shared" si="49"/>
        <v>12116.751851233723</v>
      </c>
      <c r="J94" s="67">
        <f>(References!$C$49*I94)</f>
        <v>79.970562218142504</v>
      </c>
      <c r="K94" s="67">
        <f>J94/References!$G$52</f>
        <v>82.325058902761484</v>
      </c>
      <c r="L94" s="67">
        <f t="shared" si="46"/>
        <v>6.8604215752301236</v>
      </c>
      <c r="M94" s="148">
        <v>260.95</v>
      </c>
      <c r="N94" s="67">
        <f t="shared" si="47"/>
        <v>267.81042157523012</v>
      </c>
      <c r="O94" s="67"/>
      <c r="P94" s="67"/>
      <c r="Q94" s="67"/>
      <c r="R94" s="67"/>
      <c r="S94" s="67"/>
      <c r="T94" s="67"/>
      <c r="U94" s="60"/>
      <c r="V94" s="60"/>
    </row>
    <row r="95" spans="1:22">
      <c r="A95" s="125"/>
      <c r="B95" s="43" t="s">
        <v>146</v>
      </c>
      <c r="C95" s="58" t="s">
        <v>136</v>
      </c>
      <c r="D95" s="146">
        <v>1</v>
      </c>
      <c r="E95" s="69">
        <v>1</v>
      </c>
      <c r="F95" s="113">
        <f t="shared" si="48"/>
        <v>12</v>
      </c>
      <c r="G95" s="114">
        <f>References!B38</f>
        <v>1686</v>
      </c>
      <c r="H95" s="68">
        <f t="shared" si="45"/>
        <v>20232</v>
      </c>
      <c r="I95" s="47">
        <f t="shared" si="49"/>
        <v>15702.416311437399</v>
      </c>
      <c r="J95" s="67">
        <f>(References!$C$49*I95)</f>
        <v>103.63594765548675</v>
      </c>
      <c r="K95" s="67">
        <f>J95/References!$G$52</f>
        <v>106.68720162187229</v>
      </c>
      <c r="L95" s="67">
        <f t="shared" si="46"/>
        <v>8.8906001351560242</v>
      </c>
      <c r="M95" s="148">
        <v>313.93</v>
      </c>
      <c r="N95" s="67">
        <f t="shared" si="47"/>
        <v>322.82060013515604</v>
      </c>
      <c r="O95" s="67"/>
      <c r="P95" s="67"/>
      <c r="Q95" s="67"/>
      <c r="R95" s="67"/>
      <c r="S95" s="67"/>
      <c r="T95" s="67"/>
      <c r="U95" s="60"/>
      <c r="V95" s="60"/>
    </row>
    <row r="96" spans="1:22">
      <c r="A96" s="125"/>
      <c r="B96" s="43" t="s">
        <v>146</v>
      </c>
      <c r="C96" s="58" t="s">
        <v>137</v>
      </c>
      <c r="D96" s="146">
        <v>1</v>
      </c>
      <c r="E96" s="69">
        <v>1</v>
      </c>
      <c r="F96" s="113">
        <f t="shared" si="48"/>
        <v>12</v>
      </c>
      <c r="G96" s="114">
        <f>References!B39</f>
        <v>2046</v>
      </c>
      <c r="H96" s="68">
        <f t="shared" si="45"/>
        <v>24552</v>
      </c>
      <c r="I96" s="47">
        <f t="shared" si="49"/>
        <v>19055.245417082395</v>
      </c>
      <c r="J96" s="67">
        <f>(References!$C$49*I96)</f>
        <v>125.76461975274371</v>
      </c>
      <c r="K96" s="67">
        <f>J96/References!$G$52</f>
        <v>129.46738702156034</v>
      </c>
      <c r="L96" s="67">
        <f t="shared" si="46"/>
        <v>10.788948918463362</v>
      </c>
      <c r="M96" s="148">
        <v>366.69</v>
      </c>
      <c r="N96" s="67">
        <f t="shared" si="47"/>
        <v>377.47894891846335</v>
      </c>
      <c r="O96" s="67"/>
      <c r="P96" s="67"/>
      <c r="Q96" s="67"/>
      <c r="R96" s="67"/>
      <c r="S96" s="67"/>
      <c r="T96" s="67"/>
      <c r="U96" s="60"/>
      <c r="V96" s="60"/>
    </row>
    <row r="97" spans="1:22">
      <c r="A97" s="125"/>
      <c r="B97" s="43" t="s">
        <v>146</v>
      </c>
      <c r="C97" s="58" t="s">
        <v>138</v>
      </c>
      <c r="D97" s="146">
        <v>1</v>
      </c>
      <c r="E97" s="69">
        <v>1</v>
      </c>
      <c r="F97" s="113">
        <f t="shared" si="48"/>
        <v>12</v>
      </c>
      <c r="G97" s="114">
        <f>References!B40</f>
        <v>2310</v>
      </c>
      <c r="H97" s="68">
        <f t="shared" si="45"/>
        <v>27720</v>
      </c>
      <c r="I97" s="47">
        <f t="shared" si="49"/>
        <v>21513.986761222059</v>
      </c>
      <c r="J97" s="67">
        <f>(References!$C$49*I97)</f>
        <v>141.99231262406548</v>
      </c>
      <c r="K97" s="67">
        <f>J97/References!$G$52</f>
        <v>146.1728563146649</v>
      </c>
      <c r="L97" s="67">
        <f t="shared" si="46"/>
        <v>12.181071359555409</v>
      </c>
      <c r="M97" s="148">
        <v>418.63</v>
      </c>
      <c r="N97" s="67">
        <f t="shared" si="47"/>
        <v>430.8110713595554</v>
      </c>
      <c r="O97" s="67"/>
      <c r="P97" s="67"/>
      <c r="Q97" s="67"/>
      <c r="R97" s="67"/>
      <c r="S97" s="67"/>
      <c r="T97" s="67"/>
      <c r="U97" s="60"/>
      <c r="V97" s="60"/>
    </row>
    <row r="98" spans="1:22">
      <c r="A98" s="125"/>
      <c r="B98" s="102" t="s">
        <v>150</v>
      </c>
      <c r="C98" s="58" t="s">
        <v>154</v>
      </c>
      <c r="D98" s="146">
        <v>1</v>
      </c>
      <c r="E98" s="69">
        <v>1</v>
      </c>
      <c r="F98" s="113">
        <f t="shared" ref="F98:F103" si="50">D98*E98*12</f>
        <v>12</v>
      </c>
      <c r="G98" s="114">
        <f>G57</f>
        <v>175</v>
      </c>
      <c r="H98" s="68">
        <f t="shared" ref="H98:H104" si="51">G98*F98</f>
        <v>2100</v>
      </c>
      <c r="I98" s="47">
        <f t="shared" ref="I98:I104" si="52">$D$123*H98</f>
        <v>1629.8474819107621</v>
      </c>
      <c r="J98" s="67">
        <f>(References!$C$49*I98)</f>
        <v>10.756993380611021</v>
      </c>
      <c r="K98" s="67">
        <f>J98/References!$G$52</f>
        <v>11.073701235959462</v>
      </c>
      <c r="L98" s="67">
        <f t="shared" ref="L98:L104" si="53">K98/F98</f>
        <v>0.92280843632995513</v>
      </c>
      <c r="M98" s="148">
        <v>25.89</v>
      </c>
      <c r="N98" s="67">
        <f t="shared" si="47"/>
        <v>26.812808436329956</v>
      </c>
      <c r="O98" s="67"/>
      <c r="P98" s="67"/>
      <c r="Q98" s="67"/>
      <c r="R98" s="67"/>
      <c r="S98" s="67"/>
      <c r="T98" s="67"/>
      <c r="U98" s="60"/>
      <c r="V98" s="60"/>
    </row>
    <row r="99" spans="1:22">
      <c r="A99" s="125"/>
      <c r="B99" s="102" t="s">
        <v>150</v>
      </c>
      <c r="C99" s="58" t="s">
        <v>155</v>
      </c>
      <c r="D99" s="146">
        <v>1</v>
      </c>
      <c r="E99" s="69">
        <v>1</v>
      </c>
      <c r="F99" s="113">
        <f t="shared" si="50"/>
        <v>12</v>
      </c>
      <c r="G99" s="114">
        <f t="shared" ref="G99:G104" si="54">G58</f>
        <v>250</v>
      </c>
      <c r="H99" s="68">
        <f t="shared" si="51"/>
        <v>3000</v>
      </c>
      <c r="I99" s="47">
        <f t="shared" si="52"/>
        <v>2328.3535455868027</v>
      </c>
      <c r="J99" s="67">
        <f>(References!$C$49*I99)</f>
        <v>15.367133400872886</v>
      </c>
      <c r="K99" s="67">
        <f>J99/References!$G$52</f>
        <v>15.8195731942278</v>
      </c>
      <c r="L99" s="67">
        <f t="shared" si="53"/>
        <v>1.3182977661856501</v>
      </c>
      <c r="M99" s="148">
        <v>34.950000000000003</v>
      </c>
      <c r="N99" s="67">
        <f t="shared" si="47"/>
        <v>36.268297766185654</v>
      </c>
      <c r="O99" s="67"/>
      <c r="P99" s="67"/>
      <c r="Q99" s="67"/>
      <c r="R99" s="67"/>
      <c r="S99" s="67"/>
      <c r="T99" s="67"/>
      <c r="U99" s="60"/>
      <c r="V99" s="60"/>
    </row>
    <row r="100" spans="1:22">
      <c r="A100" s="125"/>
      <c r="B100" s="102" t="s">
        <v>150</v>
      </c>
      <c r="C100" s="58" t="s">
        <v>156</v>
      </c>
      <c r="D100" s="146">
        <v>1</v>
      </c>
      <c r="E100" s="69">
        <v>1</v>
      </c>
      <c r="F100" s="113">
        <f t="shared" si="50"/>
        <v>12</v>
      </c>
      <c r="G100" s="114">
        <f t="shared" si="54"/>
        <v>324</v>
      </c>
      <c r="H100" s="68">
        <f t="shared" si="51"/>
        <v>3888</v>
      </c>
      <c r="I100" s="47">
        <f t="shared" si="52"/>
        <v>3017.5461950804965</v>
      </c>
      <c r="J100" s="67">
        <f>(References!$C$49*I100)</f>
        <v>19.915804887531262</v>
      </c>
      <c r="K100" s="67">
        <f>J100/References!$G$52</f>
        <v>20.502166859719232</v>
      </c>
      <c r="L100" s="67">
        <f t="shared" si="53"/>
        <v>1.7085139049766027</v>
      </c>
      <c r="M100" s="148">
        <v>49.23</v>
      </c>
      <c r="N100" s="67">
        <f t="shared" si="47"/>
        <v>50.938513904976602</v>
      </c>
      <c r="O100" s="67"/>
      <c r="P100" s="67"/>
      <c r="Q100" s="67"/>
      <c r="R100" s="67"/>
      <c r="S100" s="67"/>
      <c r="T100" s="67"/>
      <c r="U100" s="60"/>
      <c r="V100" s="60"/>
    </row>
    <row r="101" spans="1:22">
      <c r="A101" s="125"/>
      <c r="B101" s="102" t="s">
        <v>150</v>
      </c>
      <c r="C101" s="58" t="s">
        <v>157</v>
      </c>
      <c r="D101" s="146">
        <v>1</v>
      </c>
      <c r="E101" s="69">
        <v>1</v>
      </c>
      <c r="F101" s="113">
        <f t="shared" si="50"/>
        <v>12</v>
      </c>
      <c r="G101" s="114">
        <f t="shared" si="54"/>
        <v>473</v>
      </c>
      <c r="H101" s="68">
        <f t="shared" si="51"/>
        <v>5676</v>
      </c>
      <c r="I101" s="47">
        <f t="shared" si="52"/>
        <v>4405.2449082502308</v>
      </c>
      <c r="J101" s="67">
        <f>(References!$C$49*I101)</f>
        <v>29.0746163944515</v>
      </c>
      <c r="K101" s="67">
        <f>J101/References!$G$52</f>
        <v>29.930632483478998</v>
      </c>
      <c r="L101" s="67">
        <f t="shared" si="53"/>
        <v>2.4942193736232499</v>
      </c>
      <c r="M101" s="148">
        <v>68.599999999999994</v>
      </c>
      <c r="N101" s="67">
        <f t="shared" si="47"/>
        <v>71.094219373623247</v>
      </c>
      <c r="O101" s="67"/>
      <c r="P101" s="67"/>
      <c r="Q101" s="67"/>
      <c r="R101" s="67"/>
      <c r="S101" s="67"/>
      <c r="T101" s="67"/>
      <c r="U101" s="60"/>
      <c r="V101" s="60"/>
    </row>
    <row r="102" spans="1:22">
      <c r="A102" s="125"/>
      <c r="B102" s="102" t="s">
        <v>150</v>
      </c>
      <c r="C102" s="58" t="s">
        <v>158</v>
      </c>
      <c r="D102" s="146">
        <v>1</v>
      </c>
      <c r="E102" s="69">
        <v>1</v>
      </c>
      <c r="F102" s="113">
        <f t="shared" si="50"/>
        <v>12</v>
      </c>
      <c r="G102" s="114">
        <f t="shared" si="54"/>
        <v>613</v>
      </c>
      <c r="H102" s="68">
        <f t="shared" si="51"/>
        <v>7356</v>
      </c>
      <c r="I102" s="47">
        <f t="shared" si="52"/>
        <v>5709.122893778841</v>
      </c>
      <c r="J102" s="67">
        <f>(References!$C$49*I102)</f>
        <v>37.680211098940319</v>
      </c>
      <c r="K102" s="67">
        <f>J102/References!$G$52</f>
        <v>38.789593472246573</v>
      </c>
      <c r="L102" s="67">
        <f t="shared" si="53"/>
        <v>3.2324661226872142</v>
      </c>
      <c r="M102" s="148">
        <v>85.09</v>
      </c>
      <c r="N102" s="67">
        <f t="shared" si="47"/>
        <v>88.322466122687217</v>
      </c>
      <c r="O102" s="67"/>
      <c r="P102" s="67"/>
      <c r="Q102" s="67"/>
      <c r="R102" s="67"/>
      <c r="S102" s="67"/>
      <c r="T102" s="67"/>
      <c r="U102" s="60"/>
      <c r="V102" s="60"/>
    </row>
    <row r="103" spans="1:22">
      <c r="A103" s="125"/>
      <c r="B103" s="102" t="s">
        <v>150</v>
      </c>
      <c r="C103" s="58" t="s">
        <v>159</v>
      </c>
      <c r="D103" s="146">
        <v>1</v>
      </c>
      <c r="E103" s="69">
        <v>1</v>
      </c>
      <c r="F103" s="113">
        <f t="shared" si="50"/>
        <v>12</v>
      </c>
      <c r="G103" s="114">
        <f t="shared" si="54"/>
        <v>840</v>
      </c>
      <c r="H103" s="68">
        <f t="shared" si="51"/>
        <v>10080</v>
      </c>
      <c r="I103" s="47">
        <f t="shared" si="52"/>
        <v>7823.2679131716577</v>
      </c>
      <c r="J103" s="67">
        <f>(References!$C$49*I103)</f>
        <v>51.633568226932901</v>
      </c>
      <c r="K103" s="67">
        <f>J103/References!$G$52</f>
        <v>53.153765932605417</v>
      </c>
      <c r="L103" s="67">
        <f t="shared" si="53"/>
        <v>4.4294804943837844</v>
      </c>
      <c r="M103" s="148">
        <v>127.59</v>
      </c>
      <c r="N103" s="67">
        <f t="shared" si="47"/>
        <v>132.0194804943838</v>
      </c>
      <c r="O103" s="67"/>
      <c r="P103" s="67"/>
      <c r="Q103" s="67"/>
      <c r="R103" s="67"/>
      <c r="S103" s="67"/>
      <c r="T103" s="67"/>
      <c r="U103" s="60"/>
      <c r="V103" s="60"/>
    </row>
    <row r="104" spans="1:22">
      <c r="A104" s="125"/>
      <c r="B104" s="102" t="s">
        <v>150</v>
      </c>
      <c r="C104" s="58" t="s">
        <v>160</v>
      </c>
      <c r="D104" s="146">
        <v>1</v>
      </c>
      <c r="E104" s="69">
        <v>1</v>
      </c>
      <c r="F104" s="113">
        <f t="shared" ref="F104" si="55">D104*E104*12</f>
        <v>12</v>
      </c>
      <c r="G104" s="114">
        <f t="shared" si="54"/>
        <v>980</v>
      </c>
      <c r="H104" s="68">
        <f t="shared" si="51"/>
        <v>11760</v>
      </c>
      <c r="I104" s="47">
        <f t="shared" si="52"/>
        <v>9127.1458987002679</v>
      </c>
      <c r="J104" s="67">
        <f>(References!$C$49*I104)</f>
        <v>60.239162931421724</v>
      </c>
      <c r="K104" s="67">
        <f>J104/References!$G$52</f>
        <v>62.012726921372987</v>
      </c>
      <c r="L104" s="67">
        <f t="shared" si="53"/>
        <v>5.1677272434477493</v>
      </c>
      <c r="M104" s="148">
        <v>156.27000000000001</v>
      </c>
      <c r="N104" s="67">
        <f t="shared" si="47"/>
        <v>161.43772724344777</v>
      </c>
      <c r="O104" s="67"/>
      <c r="P104" s="67"/>
      <c r="Q104" s="67"/>
      <c r="R104" s="67"/>
      <c r="S104" s="67"/>
      <c r="T104" s="67"/>
      <c r="U104" s="60"/>
      <c r="V104" s="60"/>
    </row>
    <row r="105" spans="1:22">
      <c r="A105" s="125"/>
      <c r="B105" s="43" t="s">
        <v>144</v>
      </c>
      <c r="C105" s="58" t="s">
        <v>161</v>
      </c>
      <c r="D105" s="146">
        <v>1</v>
      </c>
      <c r="E105" s="69">
        <v>1</v>
      </c>
      <c r="F105" s="113">
        <f t="shared" ref="F105:F111" si="56">D105*E105*12</f>
        <v>12</v>
      </c>
      <c r="G105" s="114">
        <f>+References!B27</f>
        <v>175</v>
      </c>
      <c r="H105" s="68">
        <f t="shared" ref="H105:H111" si="57">G105*F105</f>
        <v>2100</v>
      </c>
      <c r="I105" s="47">
        <f t="shared" ref="I105:I111" si="58">$D$123*H105</f>
        <v>1629.8474819107621</v>
      </c>
      <c r="J105" s="67">
        <f>(References!$C$49*I105)</f>
        <v>10.756993380611021</v>
      </c>
      <c r="K105" s="67">
        <f>J105/References!$G$52</f>
        <v>11.073701235959462</v>
      </c>
      <c r="L105" s="67">
        <f t="shared" ref="L105:L111" si="59">K105/F105</f>
        <v>0.92280843632995513</v>
      </c>
      <c r="M105" s="148">
        <v>24.02</v>
      </c>
      <c r="N105" s="67">
        <f t="shared" si="47"/>
        <v>24.942808436329955</v>
      </c>
      <c r="O105" s="67"/>
      <c r="P105" s="67"/>
      <c r="Q105" s="67"/>
      <c r="R105" s="67"/>
      <c r="S105" s="67"/>
      <c r="T105" s="67"/>
      <c r="U105" s="60"/>
      <c r="V105" s="60"/>
    </row>
    <row r="106" spans="1:22">
      <c r="A106" s="125"/>
      <c r="B106" s="43" t="s">
        <v>144</v>
      </c>
      <c r="C106" s="58" t="s">
        <v>162</v>
      </c>
      <c r="D106" s="146">
        <v>1</v>
      </c>
      <c r="E106" s="69">
        <v>1</v>
      </c>
      <c r="F106" s="113">
        <f t="shared" si="56"/>
        <v>12</v>
      </c>
      <c r="G106" s="114">
        <f>+References!B28</f>
        <v>250</v>
      </c>
      <c r="H106" s="68">
        <f t="shared" si="57"/>
        <v>3000</v>
      </c>
      <c r="I106" s="47">
        <f t="shared" si="58"/>
        <v>2328.3535455868027</v>
      </c>
      <c r="J106" s="67">
        <f>(References!$C$49*I106)</f>
        <v>15.367133400872886</v>
      </c>
      <c r="K106" s="67">
        <f>J106/References!$G$52</f>
        <v>15.8195731942278</v>
      </c>
      <c r="L106" s="67">
        <f t="shared" si="59"/>
        <v>1.3182977661856501</v>
      </c>
      <c r="M106" s="148">
        <v>31.51</v>
      </c>
      <c r="N106" s="67">
        <f t="shared" si="47"/>
        <v>32.828297766185649</v>
      </c>
      <c r="O106" s="67"/>
      <c r="P106" s="67"/>
      <c r="Q106" s="67"/>
      <c r="R106" s="67"/>
      <c r="S106" s="67"/>
      <c r="T106" s="67"/>
      <c r="U106" s="60"/>
      <c r="V106" s="60"/>
    </row>
    <row r="107" spans="1:22">
      <c r="A107" s="125"/>
      <c r="B107" s="43" t="s">
        <v>144</v>
      </c>
      <c r="C107" s="58" t="s">
        <v>163</v>
      </c>
      <c r="D107" s="146">
        <v>1</v>
      </c>
      <c r="E107" s="69">
        <v>1</v>
      </c>
      <c r="F107" s="113">
        <f t="shared" si="56"/>
        <v>12</v>
      </c>
      <c r="G107" s="114">
        <f>+References!B29</f>
        <v>324</v>
      </c>
      <c r="H107" s="68">
        <f t="shared" si="57"/>
        <v>3888</v>
      </c>
      <c r="I107" s="47">
        <f t="shared" si="58"/>
        <v>3017.5461950804965</v>
      </c>
      <c r="J107" s="67">
        <f>(References!$C$49*I107)</f>
        <v>19.915804887531262</v>
      </c>
      <c r="K107" s="67">
        <f>J107/References!$G$52</f>
        <v>20.502166859719232</v>
      </c>
      <c r="L107" s="67">
        <f t="shared" si="59"/>
        <v>1.7085139049766027</v>
      </c>
      <c r="M107" s="148">
        <v>45.51</v>
      </c>
      <c r="N107" s="67">
        <f t="shared" si="47"/>
        <v>47.218513904976604</v>
      </c>
      <c r="O107" s="67"/>
      <c r="P107" s="67"/>
      <c r="Q107" s="67"/>
      <c r="R107" s="67"/>
      <c r="S107" s="67"/>
      <c r="T107" s="67"/>
      <c r="U107" s="60"/>
      <c r="V107" s="60"/>
    </row>
    <row r="108" spans="1:22">
      <c r="A108" s="125"/>
      <c r="B108" s="43" t="s">
        <v>144</v>
      </c>
      <c r="C108" s="58" t="s">
        <v>164</v>
      </c>
      <c r="D108" s="146">
        <v>1</v>
      </c>
      <c r="E108" s="69">
        <v>1</v>
      </c>
      <c r="F108" s="113">
        <f t="shared" si="56"/>
        <v>12</v>
      </c>
      <c r="G108" s="114">
        <f>+References!B30</f>
        <v>473</v>
      </c>
      <c r="H108" s="68">
        <f t="shared" si="57"/>
        <v>5676</v>
      </c>
      <c r="I108" s="47">
        <f t="shared" si="58"/>
        <v>4405.2449082502308</v>
      </c>
      <c r="J108" s="67">
        <f>(References!$C$49*I108)</f>
        <v>29.0746163944515</v>
      </c>
      <c r="K108" s="67">
        <f>J108/References!$G$52</f>
        <v>29.930632483478998</v>
      </c>
      <c r="L108" s="67">
        <f t="shared" si="59"/>
        <v>2.4942193736232499</v>
      </c>
      <c r="M108" s="148">
        <v>63.02</v>
      </c>
      <c r="N108" s="67">
        <f t="shared" si="47"/>
        <v>65.514219373623249</v>
      </c>
      <c r="O108" s="67"/>
      <c r="P108" s="67"/>
      <c r="Q108" s="67"/>
      <c r="R108" s="67"/>
      <c r="S108" s="67"/>
      <c r="T108" s="67"/>
      <c r="U108" s="60"/>
      <c r="V108" s="60"/>
    </row>
    <row r="109" spans="1:22">
      <c r="A109" s="125"/>
      <c r="B109" s="43" t="s">
        <v>144</v>
      </c>
      <c r="C109" s="58" t="s">
        <v>165</v>
      </c>
      <c r="D109" s="146">
        <v>1</v>
      </c>
      <c r="E109" s="69">
        <v>1</v>
      </c>
      <c r="F109" s="113">
        <f t="shared" si="56"/>
        <v>12</v>
      </c>
      <c r="G109" s="114">
        <f>+References!B31</f>
        <v>613</v>
      </c>
      <c r="H109" s="68">
        <f t="shared" si="57"/>
        <v>7356</v>
      </c>
      <c r="I109" s="47">
        <f t="shared" si="58"/>
        <v>5709.122893778841</v>
      </c>
      <c r="J109" s="67">
        <f>(References!$C$49*I109)</f>
        <v>37.680211098940319</v>
      </c>
      <c r="K109" s="67">
        <f>J109/References!$G$52</f>
        <v>38.789593472246573</v>
      </c>
      <c r="L109" s="67">
        <f t="shared" si="59"/>
        <v>3.2324661226872142</v>
      </c>
      <c r="M109" s="148">
        <v>77.63</v>
      </c>
      <c r="N109" s="67">
        <f t="shared" si="47"/>
        <v>80.862466122687209</v>
      </c>
      <c r="O109" s="67"/>
      <c r="P109" s="67"/>
      <c r="Q109" s="67"/>
      <c r="R109" s="67"/>
      <c r="S109" s="67"/>
      <c r="T109" s="67"/>
      <c r="U109" s="60"/>
      <c r="V109" s="60"/>
    </row>
    <row r="110" spans="1:22">
      <c r="A110" s="125"/>
      <c r="B110" s="43" t="s">
        <v>144</v>
      </c>
      <c r="C110" s="58" t="s">
        <v>166</v>
      </c>
      <c r="D110" s="146">
        <v>1</v>
      </c>
      <c r="E110" s="69">
        <v>1</v>
      </c>
      <c r="F110" s="113">
        <f t="shared" si="56"/>
        <v>12</v>
      </c>
      <c r="G110" s="114">
        <f>+References!B32</f>
        <v>840</v>
      </c>
      <c r="H110" s="68">
        <f t="shared" si="57"/>
        <v>10080</v>
      </c>
      <c r="I110" s="47">
        <f t="shared" si="58"/>
        <v>7823.2679131716577</v>
      </c>
      <c r="J110" s="67">
        <f>(References!$C$49*I110)</f>
        <v>51.633568226932901</v>
      </c>
      <c r="K110" s="67">
        <f>J110/References!$G$52</f>
        <v>53.153765932605417</v>
      </c>
      <c r="L110" s="67">
        <f t="shared" si="59"/>
        <v>4.4294804943837844</v>
      </c>
      <c r="M110" s="148">
        <v>116.41</v>
      </c>
      <c r="N110" s="67">
        <f t="shared" si="47"/>
        <v>120.83948049438378</v>
      </c>
      <c r="O110" s="67"/>
      <c r="P110" s="67"/>
      <c r="Q110" s="67"/>
      <c r="R110" s="67"/>
      <c r="S110" s="67"/>
      <c r="T110" s="67"/>
      <c r="U110" s="60"/>
      <c r="V110" s="60"/>
    </row>
    <row r="111" spans="1:22">
      <c r="A111" s="125"/>
      <c r="B111" s="43" t="s">
        <v>144</v>
      </c>
      <c r="C111" s="58" t="s">
        <v>167</v>
      </c>
      <c r="D111" s="146">
        <v>1</v>
      </c>
      <c r="E111" s="69">
        <v>1</v>
      </c>
      <c r="F111" s="113">
        <f t="shared" si="56"/>
        <v>12</v>
      </c>
      <c r="G111" s="114">
        <f>+References!B33</f>
        <v>980</v>
      </c>
      <c r="H111" s="68">
        <f t="shared" si="57"/>
        <v>11760</v>
      </c>
      <c r="I111" s="47">
        <f t="shared" si="58"/>
        <v>9127.1458987002679</v>
      </c>
      <c r="J111" s="67">
        <f>(References!$C$49*I111)</f>
        <v>60.239162931421724</v>
      </c>
      <c r="K111" s="67">
        <f>J111/References!$G$52</f>
        <v>62.012726921372987</v>
      </c>
      <c r="L111" s="67">
        <f t="shared" si="59"/>
        <v>5.1677272434477493</v>
      </c>
      <c r="M111" s="148">
        <v>141.35</v>
      </c>
      <c r="N111" s="67">
        <f t="shared" si="47"/>
        <v>146.51772724344775</v>
      </c>
      <c r="O111" s="67"/>
      <c r="P111" s="67"/>
      <c r="Q111" s="67"/>
      <c r="R111" s="67"/>
      <c r="S111" s="67"/>
      <c r="T111" s="67"/>
      <c r="U111" s="60"/>
      <c r="V111" s="60"/>
    </row>
    <row r="112" spans="1:22">
      <c r="A112" s="125"/>
      <c r="B112" s="43" t="s">
        <v>168</v>
      </c>
      <c r="C112" s="60" t="s">
        <v>169</v>
      </c>
      <c r="D112" s="146">
        <v>1</v>
      </c>
      <c r="E112" s="69">
        <v>1</v>
      </c>
      <c r="F112" s="113">
        <f t="shared" ref="F112:F113" si="60">D112*E112*12</f>
        <v>12</v>
      </c>
      <c r="G112" s="114">
        <f>+References!B42</f>
        <v>125</v>
      </c>
      <c r="H112" s="68">
        <f t="shared" ref="H112:H113" si="61">G112*F112</f>
        <v>1500</v>
      </c>
      <c r="I112" s="47">
        <f t="shared" ref="I112:I113" si="62">$D$123*H112</f>
        <v>1164.1767727934014</v>
      </c>
      <c r="J112" s="67">
        <f>(References!$C$49*I112)</f>
        <v>7.683566700436443</v>
      </c>
      <c r="K112" s="67">
        <f>J112/References!$G$52</f>
        <v>7.9097865971139001</v>
      </c>
      <c r="L112" s="67">
        <f t="shared" ref="L112:L113" si="63">K112/F112</f>
        <v>0.65914888309282504</v>
      </c>
      <c r="M112" s="148">
        <v>15.57</v>
      </c>
      <c r="N112" s="67">
        <f t="shared" ref="N112:N113" si="64">L112+M112</f>
        <v>16.229148883092826</v>
      </c>
      <c r="O112" s="67"/>
      <c r="P112" s="67"/>
      <c r="Q112" s="67"/>
      <c r="R112" s="67"/>
      <c r="S112" s="67"/>
      <c r="T112" s="67"/>
      <c r="U112" s="60"/>
      <c r="V112" s="60"/>
    </row>
    <row r="113" spans="1:22">
      <c r="A113" s="125"/>
      <c r="B113" s="43" t="s">
        <v>168</v>
      </c>
      <c r="C113" s="60" t="s">
        <v>170</v>
      </c>
      <c r="D113" s="146">
        <v>1</v>
      </c>
      <c r="E113" s="69">
        <v>1</v>
      </c>
      <c r="F113" s="113">
        <f t="shared" si="60"/>
        <v>12</v>
      </c>
      <c r="G113" s="114">
        <f>+References!B42</f>
        <v>125</v>
      </c>
      <c r="H113" s="68">
        <f t="shared" si="61"/>
        <v>1500</v>
      </c>
      <c r="I113" s="47">
        <f t="shared" si="62"/>
        <v>1164.1767727934014</v>
      </c>
      <c r="J113" s="67">
        <f>(References!$C$49*I113)</f>
        <v>7.683566700436443</v>
      </c>
      <c r="K113" s="67">
        <f>J113/References!$G$52</f>
        <v>7.9097865971139001</v>
      </c>
      <c r="L113" s="67">
        <f t="shared" si="63"/>
        <v>0.65914888309282504</v>
      </c>
      <c r="M113" s="148">
        <v>15.57</v>
      </c>
      <c r="N113" s="67">
        <f t="shared" si="64"/>
        <v>16.229148883092826</v>
      </c>
      <c r="O113" s="67"/>
      <c r="P113" s="67"/>
      <c r="Q113" s="67"/>
      <c r="R113" s="67"/>
      <c r="S113" s="67"/>
      <c r="T113" s="67"/>
      <c r="U113" s="60"/>
      <c r="V113" s="60"/>
    </row>
    <row r="114" spans="1:22">
      <c r="A114" s="129"/>
      <c r="B114" s="130"/>
      <c r="C114" s="131"/>
      <c r="D114" s="132"/>
      <c r="E114" s="133"/>
      <c r="F114" s="134"/>
      <c r="G114" s="135"/>
      <c r="H114" s="136"/>
      <c r="I114" s="137"/>
      <c r="J114" s="138"/>
      <c r="K114" s="138"/>
      <c r="L114" s="138"/>
      <c r="M114" s="139"/>
      <c r="N114" s="138"/>
      <c r="O114" s="67"/>
      <c r="P114" s="67"/>
      <c r="Q114" s="67"/>
      <c r="R114" s="67"/>
      <c r="S114" s="67"/>
      <c r="T114" s="67"/>
      <c r="U114" s="60"/>
      <c r="V114" s="60"/>
    </row>
    <row r="115" spans="1:22">
      <c r="A115" s="63"/>
      <c r="C115" s="78"/>
      <c r="D115" s="39"/>
      <c r="E115" s="31"/>
      <c r="F115" s="57"/>
      <c r="G115" s="99"/>
      <c r="H115" s="57"/>
      <c r="J115" s="67"/>
      <c r="K115" s="80"/>
      <c r="L115" s="80"/>
      <c r="M115" s="80"/>
      <c r="N115" s="80"/>
      <c r="O115" s="60"/>
      <c r="P115" s="85"/>
      <c r="Q115" s="60"/>
      <c r="R115" s="60"/>
      <c r="S115" s="60"/>
      <c r="T115" s="110">
        <f>References!B55</f>
        <v>277499.32860855974</v>
      </c>
    </row>
    <row r="116" spans="1:22">
      <c r="A116" s="63"/>
      <c r="C116" s="66"/>
      <c r="P116" s="61"/>
      <c r="T116" s="44">
        <f>T115-T46</f>
        <v>0</v>
      </c>
    </row>
    <row r="117" spans="1:22">
      <c r="A117" s="63"/>
      <c r="C117" s="66"/>
      <c r="P117" s="61"/>
    </row>
    <row r="118" spans="1:22">
      <c r="A118" s="63"/>
      <c r="C118" s="259" t="s">
        <v>90</v>
      </c>
      <c r="D118" s="259"/>
      <c r="E118" s="77"/>
      <c r="F118" s="77"/>
      <c r="H118" s="140"/>
    </row>
    <row r="119" spans="1:22">
      <c r="A119" s="63"/>
      <c r="D119" s="55" t="s">
        <v>17</v>
      </c>
      <c r="E119" s="38"/>
      <c r="F119" s="38"/>
      <c r="H119" s="140"/>
      <c r="J119" s="42"/>
      <c r="O119" s="59"/>
    </row>
    <row r="120" spans="1:22">
      <c r="A120" s="63"/>
      <c r="C120" s="58" t="s">
        <v>33</v>
      </c>
      <c r="D120" s="150">
        <f>SUM(Disposal!S31,Disposal!S42)</f>
        <v>20421.427864420846</v>
      </c>
      <c r="E120" s="57"/>
      <c r="F120" s="57"/>
      <c r="G120" s="100"/>
      <c r="H120" s="79"/>
      <c r="J120" s="42"/>
      <c r="O120" s="59"/>
    </row>
    <row r="121" spans="1:22">
      <c r="A121" s="63"/>
      <c r="C121" s="58" t="s">
        <v>34</v>
      </c>
      <c r="D121" s="36">
        <f>D120*2000</f>
        <v>40842855.728841692</v>
      </c>
      <c r="E121" s="36"/>
      <c r="F121" s="36"/>
      <c r="H121" s="87"/>
      <c r="J121" s="42"/>
    </row>
    <row r="122" spans="1:22">
      <c r="A122" s="63"/>
      <c r="C122" s="58" t="s">
        <v>5</v>
      </c>
      <c r="D122" s="36">
        <f>F46</f>
        <v>1130723.8929999999</v>
      </c>
      <c r="E122" s="57"/>
      <c r="F122" s="57"/>
      <c r="H122" s="88"/>
      <c r="J122" s="42"/>
      <c r="O122" s="59"/>
    </row>
    <row r="123" spans="1:22">
      <c r="C123" s="43" t="s">
        <v>12</v>
      </c>
      <c r="D123" s="35">
        <f>D121/$H$46</f>
        <v>0.77611784852893428</v>
      </c>
      <c r="E123" s="35"/>
      <c r="F123" s="35"/>
      <c r="H123" s="30"/>
      <c r="J123" s="42"/>
      <c r="M123" s="41"/>
      <c r="N123" s="41"/>
      <c r="O123" s="40"/>
    </row>
    <row r="124" spans="1:22">
      <c r="G124" s="100"/>
      <c r="H124" s="32"/>
      <c r="J124" s="42"/>
      <c r="M124" s="44"/>
      <c r="N124" s="29"/>
      <c r="O124" s="61"/>
    </row>
    <row r="125" spans="1:22">
      <c r="D125" s="34"/>
      <c r="E125" s="33"/>
      <c r="G125" s="100"/>
      <c r="H125" s="32"/>
      <c r="J125" s="42"/>
      <c r="M125" s="44"/>
      <c r="N125" s="29"/>
      <c r="O125" s="61"/>
    </row>
    <row r="126" spans="1:22">
      <c r="D126" s="34"/>
      <c r="E126" s="33"/>
      <c r="G126" s="100"/>
      <c r="H126" s="32"/>
      <c r="J126" s="42"/>
      <c r="M126" s="44"/>
      <c r="N126" s="29"/>
      <c r="O126" s="61"/>
    </row>
    <row r="127" spans="1:22">
      <c r="D127" s="58"/>
      <c r="I127" s="58"/>
    </row>
    <row r="128" spans="1:22">
      <c r="D128" s="58"/>
      <c r="E128" s="42"/>
      <c r="I128" s="58"/>
    </row>
    <row r="129" spans="4:9">
      <c r="D129" s="58"/>
      <c r="I129" s="58"/>
    </row>
    <row r="130" spans="4:9">
      <c r="D130" s="58"/>
      <c r="I130" s="58"/>
    </row>
    <row r="131" spans="4:9">
      <c r="D131" s="58"/>
    </row>
  </sheetData>
  <mergeCells count="4">
    <mergeCell ref="C118:D118"/>
    <mergeCell ref="A34:A40"/>
    <mergeCell ref="A2:A9"/>
    <mergeCell ref="A15:A20"/>
  </mergeCells>
  <pageMargins left="0.2" right="0.22" top="0.63" bottom="0.34" header="0.19" footer="0.17"/>
  <pageSetup paperSize="5" scale="34" fitToHeight="0" orientation="landscape" r:id="rId1"/>
  <headerFooter>
    <oddHeader>&amp;C&amp;12
Disposal Fee Staff Calculations</oddHeader>
    <oddFooter>&amp;L&amp;F - &amp;A&amp;C&amp;D&amp;R&amp;P of &amp;N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5F681F-E952-4F57-BDF4-10A0A02E3262}">
  <dimension ref="A1:AB152"/>
  <sheetViews>
    <sheetView zoomScaleNormal="100" workbookViewId="0">
      <pane xSplit="1" topLeftCell="B1" activePane="topRight" state="frozen"/>
      <selection pane="topRight" activeCell="E13" sqref="E13"/>
    </sheetView>
  </sheetViews>
  <sheetFormatPr defaultRowHeight="14.5"/>
  <cols>
    <col min="1" max="1" width="68.54296875" bestFit="1" customWidth="1"/>
    <col min="2" max="2" width="16.26953125" bestFit="1" customWidth="1"/>
    <col min="3" max="3" width="8.81640625" style="166" bestFit="1" customWidth="1"/>
    <col min="4" max="4" width="19.26953125" style="167" bestFit="1" customWidth="1"/>
    <col min="5" max="5" width="10.7265625" style="167" bestFit="1" customWidth="1"/>
    <col min="6" max="6" width="18.81640625" style="167" customWidth="1"/>
    <col min="7" max="7" width="11.1796875" bestFit="1" customWidth="1"/>
    <col min="8" max="8" width="26.81640625" customWidth="1"/>
    <col min="257" max="257" width="68.54296875" bestFit="1" customWidth="1"/>
    <col min="258" max="258" width="12.54296875" bestFit="1" customWidth="1"/>
    <col min="259" max="259" width="8.81640625" bestFit="1" customWidth="1"/>
    <col min="260" max="260" width="19.26953125" bestFit="1" customWidth="1"/>
    <col min="261" max="261" width="10.7265625" bestFit="1" customWidth="1"/>
    <col min="262" max="262" width="18.81640625" customWidth="1"/>
    <col min="263" max="263" width="11.1796875" bestFit="1" customWidth="1"/>
    <col min="264" max="264" width="26.81640625" customWidth="1"/>
    <col min="513" max="513" width="68.54296875" bestFit="1" customWidth="1"/>
    <col min="514" max="514" width="12.54296875" bestFit="1" customWidth="1"/>
    <col min="515" max="515" width="8.81640625" bestFit="1" customWidth="1"/>
    <col min="516" max="516" width="19.26953125" bestFit="1" customWidth="1"/>
    <col min="517" max="517" width="10.7265625" bestFit="1" customWidth="1"/>
    <col min="518" max="518" width="18.81640625" customWidth="1"/>
    <col min="519" max="519" width="11.1796875" bestFit="1" customWidth="1"/>
    <col min="520" max="520" width="26.81640625" customWidth="1"/>
    <col min="769" max="769" width="68.54296875" bestFit="1" customWidth="1"/>
    <col min="770" max="770" width="12.54296875" bestFit="1" customWidth="1"/>
    <col min="771" max="771" width="8.81640625" bestFit="1" customWidth="1"/>
    <col min="772" max="772" width="19.26953125" bestFit="1" customWidth="1"/>
    <col min="773" max="773" width="10.7265625" bestFit="1" customWidth="1"/>
    <col min="774" max="774" width="18.81640625" customWidth="1"/>
    <col min="775" max="775" width="11.1796875" bestFit="1" customWidth="1"/>
    <col min="776" max="776" width="26.81640625" customWidth="1"/>
    <col min="1025" max="1025" width="68.54296875" bestFit="1" customWidth="1"/>
    <col min="1026" max="1026" width="12.54296875" bestFit="1" customWidth="1"/>
    <col min="1027" max="1027" width="8.81640625" bestFit="1" customWidth="1"/>
    <col min="1028" max="1028" width="19.26953125" bestFit="1" customWidth="1"/>
    <col min="1029" max="1029" width="10.7265625" bestFit="1" customWidth="1"/>
    <col min="1030" max="1030" width="18.81640625" customWidth="1"/>
    <col min="1031" max="1031" width="11.1796875" bestFit="1" customWidth="1"/>
    <col min="1032" max="1032" width="26.81640625" customWidth="1"/>
    <col min="1281" max="1281" width="68.54296875" bestFit="1" customWidth="1"/>
    <col min="1282" max="1282" width="12.54296875" bestFit="1" customWidth="1"/>
    <col min="1283" max="1283" width="8.81640625" bestFit="1" customWidth="1"/>
    <col min="1284" max="1284" width="19.26953125" bestFit="1" customWidth="1"/>
    <col min="1285" max="1285" width="10.7265625" bestFit="1" customWidth="1"/>
    <col min="1286" max="1286" width="18.81640625" customWidth="1"/>
    <col min="1287" max="1287" width="11.1796875" bestFit="1" customWidth="1"/>
    <col min="1288" max="1288" width="26.81640625" customWidth="1"/>
    <col min="1537" max="1537" width="68.54296875" bestFit="1" customWidth="1"/>
    <col min="1538" max="1538" width="12.54296875" bestFit="1" customWidth="1"/>
    <col min="1539" max="1539" width="8.81640625" bestFit="1" customWidth="1"/>
    <col min="1540" max="1540" width="19.26953125" bestFit="1" customWidth="1"/>
    <col min="1541" max="1541" width="10.7265625" bestFit="1" customWidth="1"/>
    <col min="1542" max="1542" width="18.81640625" customWidth="1"/>
    <col min="1543" max="1543" width="11.1796875" bestFit="1" customWidth="1"/>
    <col min="1544" max="1544" width="26.81640625" customWidth="1"/>
    <col min="1793" max="1793" width="68.54296875" bestFit="1" customWidth="1"/>
    <col min="1794" max="1794" width="12.54296875" bestFit="1" customWidth="1"/>
    <col min="1795" max="1795" width="8.81640625" bestFit="1" customWidth="1"/>
    <col min="1796" max="1796" width="19.26953125" bestFit="1" customWidth="1"/>
    <col min="1797" max="1797" width="10.7265625" bestFit="1" customWidth="1"/>
    <col min="1798" max="1798" width="18.81640625" customWidth="1"/>
    <col min="1799" max="1799" width="11.1796875" bestFit="1" customWidth="1"/>
    <col min="1800" max="1800" width="26.81640625" customWidth="1"/>
    <col min="2049" max="2049" width="68.54296875" bestFit="1" customWidth="1"/>
    <col min="2050" max="2050" width="12.54296875" bestFit="1" customWidth="1"/>
    <col min="2051" max="2051" width="8.81640625" bestFit="1" customWidth="1"/>
    <col min="2052" max="2052" width="19.26953125" bestFit="1" customWidth="1"/>
    <col min="2053" max="2053" width="10.7265625" bestFit="1" customWidth="1"/>
    <col min="2054" max="2054" width="18.81640625" customWidth="1"/>
    <col min="2055" max="2055" width="11.1796875" bestFit="1" customWidth="1"/>
    <col min="2056" max="2056" width="26.81640625" customWidth="1"/>
    <col min="2305" max="2305" width="68.54296875" bestFit="1" customWidth="1"/>
    <col min="2306" max="2306" width="12.54296875" bestFit="1" customWidth="1"/>
    <col min="2307" max="2307" width="8.81640625" bestFit="1" customWidth="1"/>
    <col min="2308" max="2308" width="19.26953125" bestFit="1" customWidth="1"/>
    <col min="2309" max="2309" width="10.7265625" bestFit="1" customWidth="1"/>
    <col min="2310" max="2310" width="18.81640625" customWidth="1"/>
    <col min="2311" max="2311" width="11.1796875" bestFit="1" customWidth="1"/>
    <col min="2312" max="2312" width="26.81640625" customWidth="1"/>
    <col min="2561" max="2561" width="68.54296875" bestFit="1" customWidth="1"/>
    <col min="2562" max="2562" width="12.54296875" bestFit="1" customWidth="1"/>
    <col min="2563" max="2563" width="8.81640625" bestFit="1" customWidth="1"/>
    <col min="2564" max="2564" width="19.26953125" bestFit="1" customWidth="1"/>
    <col min="2565" max="2565" width="10.7265625" bestFit="1" customWidth="1"/>
    <col min="2566" max="2566" width="18.81640625" customWidth="1"/>
    <col min="2567" max="2567" width="11.1796875" bestFit="1" customWidth="1"/>
    <col min="2568" max="2568" width="26.81640625" customWidth="1"/>
    <col min="2817" max="2817" width="68.54296875" bestFit="1" customWidth="1"/>
    <col min="2818" max="2818" width="12.54296875" bestFit="1" customWidth="1"/>
    <col min="2819" max="2819" width="8.81640625" bestFit="1" customWidth="1"/>
    <col min="2820" max="2820" width="19.26953125" bestFit="1" customWidth="1"/>
    <col min="2821" max="2821" width="10.7265625" bestFit="1" customWidth="1"/>
    <col min="2822" max="2822" width="18.81640625" customWidth="1"/>
    <col min="2823" max="2823" width="11.1796875" bestFit="1" customWidth="1"/>
    <col min="2824" max="2824" width="26.81640625" customWidth="1"/>
    <col min="3073" max="3073" width="68.54296875" bestFit="1" customWidth="1"/>
    <col min="3074" max="3074" width="12.54296875" bestFit="1" customWidth="1"/>
    <col min="3075" max="3075" width="8.81640625" bestFit="1" customWidth="1"/>
    <col min="3076" max="3076" width="19.26953125" bestFit="1" customWidth="1"/>
    <col min="3077" max="3077" width="10.7265625" bestFit="1" customWidth="1"/>
    <col min="3078" max="3078" width="18.81640625" customWidth="1"/>
    <col min="3079" max="3079" width="11.1796875" bestFit="1" customWidth="1"/>
    <col min="3080" max="3080" width="26.81640625" customWidth="1"/>
    <col min="3329" max="3329" width="68.54296875" bestFit="1" customWidth="1"/>
    <col min="3330" max="3330" width="12.54296875" bestFit="1" customWidth="1"/>
    <col min="3331" max="3331" width="8.81640625" bestFit="1" customWidth="1"/>
    <col min="3332" max="3332" width="19.26953125" bestFit="1" customWidth="1"/>
    <col min="3333" max="3333" width="10.7265625" bestFit="1" customWidth="1"/>
    <col min="3334" max="3334" width="18.81640625" customWidth="1"/>
    <col min="3335" max="3335" width="11.1796875" bestFit="1" customWidth="1"/>
    <col min="3336" max="3336" width="26.81640625" customWidth="1"/>
    <col min="3585" max="3585" width="68.54296875" bestFit="1" customWidth="1"/>
    <col min="3586" max="3586" width="12.54296875" bestFit="1" customWidth="1"/>
    <col min="3587" max="3587" width="8.81640625" bestFit="1" customWidth="1"/>
    <col min="3588" max="3588" width="19.26953125" bestFit="1" customWidth="1"/>
    <col min="3589" max="3589" width="10.7265625" bestFit="1" customWidth="1"/>
    <col min="3590" max="3590" width="18.81640625" customWidth="1"/>
    <col min="3591" max="3591" width="11.1796875" bestFit="1" customWidth="1"/>
    <col min="3592" max="3592" width="26.81640625" customWidth="1"/>
    <col min="3841" max="3841" width="68.54296875" bestFit="1" customWidth="1"/>
    <col min="3842" max="3842" width="12.54296875" bestFit="1" customWidth="1"/>
    <col min="3843" max="3843" width="8.81640625" bestFit="1" customWidth="1"/>
    <col min="3844" max="3844" width="19.26953125" bestFit="1" customWidth="1"/>
    <col min="3845" max="3845" width="10.7265625" bestFit="1" customWidth="1"/>
    <col min="3846" max="3846" width="18.81640625" customWidth="1"/>
    <col min="3847" max="3847" width="11.1796875" bestFit="1" customWidth="1"/>
    <col min="3848" max="3848" width="26.81640625" customWidth="1"/>
    <col min="4097" max="4097" width="68.54296875" bestFit="1" customWidth="1"/>
    <col min="4098" max="4098" width="12.54296875" bestFit="1" customWidth="1"/>
    <col min="4099" max="4099" width="8.81640625" bestFit="1" customWidth="1"/>
    <col min="4100" max="4100" width="19.26953125" bestFit="1" customWidth="1"/>
    <col min="4101" max="4101" width="10.7265625" bestFit="1" customWidth="1"/>
    <col min="4102" max="4102" width="18.81640625" customWidth="1"/>
    <col min="4103" max="4103" width="11.1796875" bestFit="1" customWidth="1"/>
    <col min="4104" max="4104" width="26.81640625" customWidth="1"/>
    <col min="4353" max="4353" width="68.54296875" bestFit="1" customWidth="1"/>
    <col min="4354" max="4354" width="12.54296875" bestFit="1" customWidth="1"/>
    <col min="4355" max="4355" width="8.81640625" bestFit="1" customWidth="1"/>
    <col min="4356" max="4356" width="19.26953125" bestFit="1" customWidth="1"/>
    <col min="4357" max="4357" width="10.7265625" bestFit="1" customWidth="1"/>
    <col min="4358" max="4358" width="18.81640625" customWidth="1"/>
    <col min="4359" max="4359" width="11.1796875" bestFit="1" customWidth="1"/>
    <col min="4360" max="4360" width="26.81640625" customWidth="1"/>
    <col min="4609" max="4609" width="68.54296875" bestFit="1" customWidth="1"/>
    <col min="4610" max="4610" width="12.54296875" bestFit="1" customWidth="1"/>
    <col min="4611" max="4611" width="8.81640625" bestFit="1" customWidth="1"/>
    <col min="4612" max="4612" width="19.26953125" bestFit="1" customWidth="1"/>
    <col min="4613" max="4613" width="10.7265625" bestFit="1" customWidth="1"/>
    <col min="4614" max="4614" width="18.81640625" customWidth="1"/>
    <col min="4615" max="4615" width="11.1796875" bestFit="1" customWidth="1"/>
    <col min="4616" max="4616" width="26.81640625" customWidth="1"/>
    <col min="4865" max="4865" width="68.54296875" bestFit="1" customWidth="1"/>
    <col min="4866" max="4866" width="12.54296875" bestFit="1" customWidth="1"/>
    <col min="4867" max="4867" width="8.81640625" bestFit="1" customWidth="1"/>
    <col min="4868" max="4868" width="19.26953125" bestFit="1" customWidth="1"/>
    <col min="4869" max="4869" width="10.7265625" bestFit="1" customWidth="1"/>
    <col min="4870" max="4870" width="18.81640625" customWidth="1"/>
    <col min="4871" max="4871" width="11.1796875" bestFit="1" customWidth="1"/>
    <col min="4872" max="4872" width="26.81640625" customWidth="1"/>
    <col min="5121" max="5121" width="68.54296875" bestFit="1" customWidth="1"/>
    <col min="5122" max="5122" width="12.54296875" bestFit="1" customWidth="1"/>
    <col min="5123" max="5123" width="8.81640625" bestFit="1" customWidth="1"/>
    <col min="5124" max="5124" width="19.26953125" bestFit="1" customWidth="1"/>
    <col min="5125" max="5125" width="10.7265625" bestFit="1" customWidth="1"/>
    <col min="5126" max="5126" width="18.81640625" customWidth="1"/>
    <col min="5127" max="5127" width="11.1796875" bestFit="1" customWidth="1"/>
    <col min="5128" max="5128" width="26.81640625" customWidth="1"/>
    <col min="5377" max="5377" width="68.54296875" bestFit="1" customWidth="1"/>
    <col min="5378" max="5378" width="12.54296875" bestFit="1" customWidth="1"/>
    <col min="5379" max="5379" width="8.81640625" bestFit="1" customWidth="1"/>
    <col min="5380" max="5380" width="19.26953125" bestFit="1" customWidth="1"/>
    <col min="5381" max="5381" width="10.7265625" bestFit="1" customWidth="1"/>
    <col min="5382" max="5382" width="18.81640625" customWidth="1"/>
    <col min="5383" max="5383" width="11.1796875" bestFit="1" customWidth="1"/>
    <col min="5384" max="5384" width="26.81640625" customWidth="1"/>
    <col min="5633" max="5633" width="68.54296875" bestFit="1" customWidth="1"/>
    <col min="5634" max="5634" width="12.54296875" bestFit="1" customWidth="1"/>
    <col min="5635" max="5635" width="8.81640625" bestFit="1" customWidth="1"/>
    <col min="5636" max="5636" width="19.26953125" bestFit="1" customWidth="1"/>
    <col min="5637" max="5637" width="10.7265625" bestFit="1" customWidth="1"/>
    <col min="5638" max="5638" width="18.81640625" customWidth="1"/>
    <col min="5639" max="5639" width="11.1796875" bestFit="1" customWidth="1"/>
    <col min="5640" max="5640" width="26.81640625" customWidth="1"/>
    <col min="5889" max="5889" width="68.54296875" bestFit="1" customWidth="1"/>
    <col min="5890" max="5890" width="12.54296875" bestFit="1" customWidth="1"/>
    <col min="5891" max="5891" width="8.81640625" bestFit="1" customWidth="1"/>
    <col min="5892" max="5892" width="19.26953125" bestFit="1" customWidth="1"/>
    <col min="5893" max="5893" width="10.7265625" bestFit="1" customWidth="1"/>
    <col min="5894" max="5894" width="18.81640625" customWidth="1"/>
    <col min="5895" max="5895" width="11.1796875" bestFit="1" customWidth="1"/>
    <col min="5896" max="5896" width="26.81640625" customWidth="1"/>
    <col min="6145" max="6145" width="68.54296875" bestFit="1" customWidth="1"/>
    <col min="6146" max="6146" width="12.54296875" bestFit="1" customWidth="1"/>
    <col min="6147" max="6147" width="8.81640625" bestFit="1" customWidth="1"/>
    <col min="6148" max="6148" width="19.26953125" bestFit="1" customWidth="1"/>
    <col min="6149" max="6149" width="10.7265625" bestFit="1" customWidth="1"/>
    <col min="6150" max="6150" width="18.81640625" customWidth="1"/>
    <col min="6151" max="6151" width="11.1796875" bestFit="1" customWidth="1"/>
    <col min="6152" max="6152" width="26.81640625" customWidth="1"/>
    <col min="6401" max="6401" width="68.54296875" bestFit="1" customWidth="1"/>
    <col min="6402" max="6402" width="12.54296875" bestFit="1" customWidth="1"/>
    <col min="6403" max="6403" width="8.81640625" bestFit="1" customWidth="1"/>
    <col min="6404" max="6404" width="19.26953125" bestFit="1" customWidth="1"/>
    <col min="6405" max="6405" width="10.7265625" bestFit="1" customWidth="1"/>
    <col min="6406" max="6406" width="18.81640625" customWidth="1"/>
    <col min="6407" max="6407" width="11.1796875" bestFit="1" customWidth="1"/>
    <col min="6408" max="6408" width="26.81640625" customWidth="1"/>
    <col min="6657" max="6657" width="68.54296875" bestFit="1" customWidth="1"/>
    <col min="6658" max="6658" width="12.54296875" bestFit="1" customWidth="1"/>
    <col min="6659" max="6659" width="8.81640625" bestFit="1" customWidth="1"/>
    <col min="6660" max="6660" width="19.26953125" bestFit="1" customWidth="1"/>
    <col min="6661" max="6661" width="10.7265625" bestFit="1" customWidth="1"/>
    <col min="6662" max="6662" width="18.81640625" customWidth="1"/>
    <col min="6663" max="6663" width="11.1796875" bestFit="1" customWidth="1"/>
    <col min="6664" max="6664" width="26.81640625" customWidth="1"/>
    <col min="6913" max="6913" width="68.54296875" bestFit="1" customWidth="1"/>
    <col min="6914" max="6914" width="12.54296875" bestFit="1" customWidth="1"/>
    <col min="6915" max="6915" width="8.81640625" bestFit="1" customWidth="1"/>
    <col min="6916" max="6916" width="19.26953125" bestFit="1" customWidth="1"/>
    <col min="6917" max="6917" width="10.7265625" bestFit="1" customWidth="1"/>
    <col min="6918" max="6918" width="18.81640625" customWidth="1"/>
    <col min="6919" max="6919" width="11.1796875" bestFit="1" customWidth="1"/>
    <col min="6920" max="6920" width="26.81640625" customWidth="1"/>
    <col min="7169" max="7169" width="68.54296875" bestFit="1" customWidth="1"/>
    <col min="7170" max="7170" width="12.54296875" bestFit="1" customWidth="1"/>
    <col min="7171" max="7171" width="8.81640625" bestFit="1" customWidth="1"/>
    <col min="7172" max="7172" width="19.26953125" bestFit="1" customWidth="1"/>
    <col min="7173" max="7173" width="10.7265625" bestFit="1" customWidth="1"/>
    <col min="7174" max="7174" width="18.81640625" customWidth="1"/>
    <col min="7175" max="7175" width="11.1796875" bestFit="1" customWidth="1"/>
    <col min="7176" max="7176" width="26.81640625" customWidth="1"/>
    <col min="7425" max="7425" width="68.54296875" bestFit="1" customWidth="1"/>
    <col min="7426" max="7426" width="12.54296875" bestFit="1" customWidth="1"/>
    <col min="7427" max="7427" width="8.81640625" bestFit="1" customWidth="1"/>
    <col min="7428" max="7428" width="19.26953125" bestFit="1" customWidth="1"/>
    <col min="7429" max="7429" width="10.7265625" bestFit="1" customWidth="1"/>
    <col min="7430" max="7430" width="18.81640625" customWidth="1"/>
    <col min="7431" max="7431" width="11.1796875" bestFit="1" customWidth="1"/>
    <col min="7432" max="7432" width="26.81640625" customWidth="1"/>
    <col min="7681" max="7681" width="68.54296875" bestFit="1" customWidth="1"/>
    <col min="7682" max="7682" width="12.54296875" bestFit="1" customWidth="1"/>
    <col min="7683" max="7683" width="8.81640625" bestFit="1" customWidth="1"/>
    <col min="7684" max="7684" width="19.26953125" bestFit="1" customWidth="1"/>
    <col min="7685" max="7685" width="10.7265625" bestFit="1" customWidth="1"/>
    <col min="7686" max="7686" width="18.81640625" customWidth="1"/>
    <col min="7687" max="7687" width="11.1796875" bestFit="1" customWidth="1"/>
    <col min="7688" max="7688" width="26.81640625" customWidth="1"/>
    <col min="7937" max="7937" width="68.54296875" bestFit="1" customWidth="1"/>
    <col min="7938" max="7938" width="12.54296875" bestFit="1" customWidth="1"/>
    <col min="7939" max="7939" width="8.81640625" bestFit="1" customWidth="1"/>
    <col min="7940" max="7940" width="19.26953125" bestFit="1" customWidth="1"/>
    <col min="7941" max="7941" width="10.7265625" bestFit="1" customWidth="1"/>
    <col min="7942" max="7942" width="18.81640625" customWidth="1"/>
    <col min="7943" max="7943" width="11.1796875" bestFit="1" customWidth="1"/>
    <col min="7944" max="7944" width="26.81640625" customWidth="1"/>
    <col min="8193" max="8193" width="68.54296875" bestFit="1" customWidth="1"/>
    <col min="8194" max="8194" width="12.54296875" bestFit="1" customWidth="1"/>
    <col min="8195" max="8195" width="8.81640625" bestFit="1" customWidth="1"/>
    <col min="8196" max="8196" width="19.26953125" bestFit="1" customWidth="1"/>
    <col min="8197" max="8197" width="10.7265625" bestFit="1" customWidth="1"/>
    <col min="8198" max="8198" width="18.81640625" customWidth="1"/>
    <col min="8199" max="8199" width="11.1796875" bestFit="1" customWidth="1"/>
    <col min="8200" max="8200" width="26.81640625" customWidth="1"/>
    <col min="8449" max="8449" width="68.54296875" bestFit="1" customWidth="1"/>
    <col min="8450" max="8450" width="12.54296875" bestFit="1" customWidth="1"/>
    <col min="8451" max="8451" width="8.81640625" bestFit="1" customWidth="1"/>
    <col min="8452" max="8452" width="19.26953125" bestFit="1" customWidth="1"/>
    <col min="8453" max="8453" width="10.7265625" bestFit="1" customWidth="1"/>
    <col min="8454" max="8454" width="18.81640625" customWidth="1"/>
    <col min="8455" max="8455" width="11.1796875" bestFit="1" customWidth="1"/>
    <col min="8456" max="8456" width="26.81640625" customWidth="1"/>
    <col min="8705" max="8705" width="68.54296875" bestFit="1" customWidth="1"/>
    <col min="8706" max="8706" width="12.54296875" bestFit="1" customWidth="1"/>
    <col min="8707" max="8707" width="8.81640625" bestFit="1" customWidth="1"/>
    <col min="8708" max="8708" width="19.26953125" bestFit="1" customWidth="1"/>
    <col min="8709" max="8709" width="10.7265625" bestFit="1" customWidth="1"/>
    <col min="8710" max="8710" width="18.81640625" customWidth="1"/>
    <col min="8711" max="8711" width="11.1796875" bestFit="1" customWidth="1"/>
    <col min="8712" max="8712" width="26.81640625" customWidth="1"/>
    <col min="8961" max="8961" width="68.54296875" bestFit="1" customWidth="1"/>
    <col min="8962" max="8962" width="12.54296875" bestFit="1" customWidth="1"/>
    <col min="8963" max="8963" width="8.81640625" bestFit="1" customWidth="1"/>
    <col min="8964" max="8964" width="19.26953125" bestFit="1" customWidth="1"/>
    <col min="8965" max="8965" width="10.7265625" bestFit="1" customWidth="1"/>
    <col min="8966" max="8966" width="18.81640625" customWidth="1"/>
    <col min="8967" max="8967" width="11.1796875" bestFit="1" customWidth="1"/>
    <col min="8968" max="8968" width="26.81640625" customWidth="1"/>
    <col min="9217" max="9217" width="68.54296875" bestFit="1" customWidth="1"/>
    <col min="9218" max="9218" width="12.54296875" bestFit="1" customWidth="1"/>
    <col min="9219" max="9219" width="8.81640625" bestFit="1" customWidth="1"/>
    <col min="9220" max="9220" width="19.26953125" bestFit="1" customWidth="1"/>
    <col min="9221" max="9221" width="10.7265625" bestFit="1" customWidth="1"/>
    <col min="9222" max="9222" width="18.81640625" customWidth="1"/>
    <col min="9223" max="9223" width="11.1796875" bestFit="1" customWidth="1"/>
    <col min="9224" max="9224" width="26.81640625" customWidth="1"/>
    <col min="9473" max="9473" width="68.54296875" bestFit="1" customWidth="1"/>
    <col min="9474" max="9474" width="12.54296875" bestFit="1" customWidth="1"/>
    <col min="9475" max="9475" width="8.81640625" bestFit="1" customWidth="1"/>
    <col min="9476" max="9476" width="19.26953125" bestFit="1" customWidth="1"/>
    <col min="9477" max="9477" width="10.7265625" bestFit="1" customWidth="1"/>
    <col min="9478" max="9478" width="18.81640625" customWidth="1"/>
    <col min="9479" max="9479" width="11.1796875" bestFit="1" customWidth="1"/>
    <col min="9480" max="9480" width="26.81640625" customWidth="1"/>
    <col min="9729" max="9729" width="68.54296875" bestFit="1" customWidth="1"/>
    <col min="9730" max="9730" width="12.54296875" bestFit="1" customWidth="1"/>
    <col min="9731" max="9731" width="8.81640625" bestFit="1" customWidth="1"/>
    <col min="9732" max="9732" width="19.26953125" bestFit="1" customWidth="1"/>
    <col min="9733" max="9733" width="10.7265625" bestFit="1" customWidth="1"/>
    <col min="9734" max="9734" width="18.81640625" customWidth="1"/>
    <col min="9735" max="9735" width="11.1796875" bestFit="1" customWidth="1"/>
    <col min="9736" max="9736" width="26.81640625" customWidth="1"/>
    <col min="9985" max="9985" width="68.54296875" bestFit="1" customWidth="1"/>
    <col min="9986" max="9986" width="12.54296875" bestFit="1" customWidth="1"/>
    <col min="9987" max="9987" width="8.81640625" bestFit="1" customWidth="1"/>
    <col min="9988" max="9988" width="19.26953125" bestFit="1" customWidth="1"/>
    <col min="9989" max="9989" width="10.7265625" bestFit="1" customWidth="1"/>
    <col min="9990" max="9990" width="18.81640625" customWidth="1"/>
    <col min="9991" max="9991" width="11.1796875" bestFit="1" customWidth="1"/>
    <col min="9992" max="9992" width="26.81640625" customWidth="1"/>
    <col min="10241" max="10241" width="68.54296875" bestFit="1" customWidth="1"/>
    <col min="10242" max="10242" width="12.54296875" bestFit="1" customWidth="1"/>
    <col min="10243" max="10243" width="8.81640625" bestFit="1" customWidth="1"/>
    <col min="10244" max="10244" width="19.26953125" bestFit="1" customWidth="1"/>
    <col min="10245" max="10245" width="10.7265625" bestFit="1" customWidth="1"/>
    <col min="10246" max="10246" width="18.81640625" customWidth="1"/>
    <col min="10247" max="10247" width="11.1796875" bestFit="1" customWidth="1"/>
    <col min="10248" max="10248" width="26.81640625" customWidth="1"/>
    <col min="10497" max="10497" width="68.54296875" bestFit="1" customWidth="1"/>
    <col min="10498" max="10498" width="12.54296875" bestFit="1" customWidth="1"/>
    <col min="10499" max="10499" width="8.81640625" bestFit="1" customWidth="1"/>
    <col min="10500" max="10500" width="19.26953125" bestFit="1" customWidth="1"/>
    <col min="10501" max="10501" width="10.7265625" bestFit="1" customWidth="1"/>
    <col min="10502" max="10502" width="18.81640625" customWidth="1"/>
    <col min="10503" max="10503" width="11.1796875" bestFit="1" customWidth="1"/>
    <col min="10504" max="10504" width="26.81640625" customWidth="1"/>
    <col min="10753" max="10753" width="68.54296875" bestFit="1" customWidth="1"/>
    <col min="10754" max="10754" width="12.54296875" bestFit="1" customWidth="1"/>
    <col min="10755" max="10755" width="8.81640625" bestFit="1" customWidth="1"/>
    <col min="10756" max="10756" width="19.26953125" bestFit="1" customWidth="1"/>
    <col min="10757" max="10757" width="10.7265625" bestFit="1" customWidth="1"/>
    <col min="10758" max="10758" width="18.81640625" customWidth="1"/>
    <col min="10759" max="10759" width="11.1796875" bestFit="1" customWidth="1"/>
    <col min="10760" max="10760" width="26.81640625" customWidth="1"/>
    <col min="11009" max="11009" width="68.54296875" bestFit="1" customWidth="1"/>
    <col min="11010" max="11010" width="12.54296875" bestFit="1" customWidth="1"/>
    <col min="11011" max="11011" width="8.81640625" bestFit="1" customWidth="1"/>
    <col min="11012" max="11012" width="19.26953125" bestFit="1" customWidth="1"/>
    <col min="11013" max="11013" width="10.7265625" bestFit="1" customWidth="1"/>
    <col min="11014" max="11014" width="18.81640625" customWidth="1"/>
    <col min="11015" max="11015" width="11.1796875" bestFit="1" customWidth="1"/>
    <col min="11016" max="11016" width="26.81640625" customWidth="1"/>
    <col min="11265" max="11265" width="68.54296875" bestFit="1" customWidth="1"/>
    <col min="11266" max="11266" width="12.54296875" bestFit="1" customWidth="1"/>
    <col min="11267" max="11267" width="8.81640625" bestFit="1" customWidth="1"/>
    <col min="11268" max="11268" width="19.26953125" bestFit="1" customWidth="1"/>
    <col min="11269" max="11269" width="10.7265625" bestFit="1" customWidth="1"/>
    <col min="11270" max="11270" width="18.81640625" customWidth="1"/>
    <col min="11271" max="11271" width="11.1796875" bestFit="1" customWidth="1"/>
    <col min="11272" max="11272" width="26.81640625" customWidth="1"/>
    <col min="11521" max="11521" width="68.54296875" bestFit="1" customWidth="1"/>
    <col min="11522" max="11522" width="12.54296875" bestFit="1" customWidth="1"/>
    <col min="11523" max="11523" width="8.81640625" bestFit="1" customWidth="1"/>
    <col min="11524" max="11524" width="19.26953125" bestFit="1" customWidth="1"/>
    <col min="11525" max="11525" width="10.7265625" bestFit="1" customWidth="1"/>
    <col min="11526" max="11526" width="18.81640625" customWidth="1"/>
    <col min="11527" max="11527" width="11.1796875" bestFit="1" customWidth="1"/>
    <col min="11528" max="11528" width="26.81640625" customWidth="1"/>
    <col min="11777" max="11777" width="68.54296875" bestFit="1" customWidth="1"/>
    <col min="11778" max="11778" width="12.54296875" bestFit="1" customWidth="1"/>
    <col min="11779" max="11779" width="8.81640625" bestFit="1" customWidth="1"/>
    <col min="11780" max="11780" width="19.26953125" bestFit="1" customWidth="1"/>
    <col min="11781" max="11781" width="10.7265625" bestFit="1" customWidth="1"/>
    <col min="11782" max="11782" width="18.81640625" customWidth="1"/>
    <col min="11783" max="11783" width="11.1796875" bestFit="1" customWidth="1"/>
    <col min="11784" max="11784" width="26.81640625" customWidth="1"/>
    <col min="12033" max="12033" width="68.54296875" bestFit="1" customWidth="1"/>
    <col min="12034" max="12034" width="12.54296875" bestFit="1" customWidth="1"/>
    <col min="12035" max="12035" width="8.81640625" bestFit="1" customWidth="1"/>
    <col min="12036" max="12036" width="19.26953125" bestFit="1" customWidth="1"/>
    <col min="12037" max="12037" width="10.7265625" bestFit="1" customWidth="1"/>
    <col min="12038" max="12038" width="18.81640625" customWidth="1"/>
    <col min="12039" max="12039" width="11.1796875" bestFit="1" customWidth="1"/>
    <col min="12040" max="12040" width="26.81640625" customWidth="1"/>
    <col min="12289" max="12289" width="68.54296875" bestFit="1" customWidth="1"/>
    <col min="12290" max="12290" width="12.54296875" bestFit="1" customWidth="1"/>
    <col min="12291" max="12291" width="8.81640625" bestFit="1" customWidth="1"/>
    <col min="12292" max="12292" width="19.26953125" bestFit="1" customWidth="1"/>
    <col min="12293" max="12293" width="10.7265625" bestFit="1" customWidth="1"/>
    <col min="12294" max="12294" width="18.81640625" customWidth="1"/>
    <col min="12295" max="12295" width="11.1796875" bestFit="1" customWidth="1"/>
    <col min="12296" max="12296" width="26.81640625" customWidth="1"/>
    <col min="12545" max="12545" width="68.54296875" bestFit="1" customWidth="1"/>
    <col min="12546" max="12546" width="12.54296875" bestFit="1" customWidth="1"/>
    <col min="12547" max="12547" width="8.81640625" bestFit="1" customWidth="1"/>
    <col min="12548" max="12548" width="19.26953125" bestFit="1" customWidth="1"/>
    <col min="12549" max="12549" width="10.7265625" bestFit="1" customWidth="1"/>
    <col min="12550" max="12550" width="18.81640625" customWidth="1"/>
    <col min="12551" max="12551" width="11.1796875" bestFit="1" customWidth="1"/>
    <col min="12552" max="12552" width="26.81640625" customWidth="1"/>
    <col min="12801" max="12801" width="68.54296875" bestFit="1" customWidth="1"/>
    <col min="12802" max="12802" width="12.54296875" bestFit="1" customWidth="1"/>
    <col min="12803" max="12803" width="8.81640625" bestFit="1" customWidth="1"/>
    <col min="12804" max="12804" width="19.26953125" bestFit="1" customWidth="1"/>
    <col min="12805" max="12805" width="10.7265625" bestFit="1" customWidth="1"/>
    <col min="12806" max="12806" width="18.81640625" customWidth="1"/>
    <col min="12807" max="12807" width="11.1796875" bestFit="1" customWidth="1"/>
    <col min="12808" max="12808" width="26.81640625" customWidth="1"/>
    <col min="13057" max="13057" width="68.54296875" bestFit="1" customWidth="1"/>
    <col min="13058" max="13058" width="12.54296875" bestFit="1" customWidth="1"/>
    <col min="13059" max="13059" width="8.81640625" bestFit="1" customWidth="1"/>
    <col min="13060" max="13060" width="19.26953125" bestFit="1" customWidth="1"/>
    <col min="13061" max="13061" width="10.7265625" bestFit="1" customWidth="1"/>
    <col min="13062" max="13062" width="18.81640625" customWidth="1"/>
    <col min="13063" max="13063" width="11.1796875" bestFit="1" customWidth="1"/>
    <col min="13064" max="13064" width="26.81640625" customWidth="1"/>
    <col min="13313" max="13313" width="68.54296875" bestFit="1" customWidth="1"/>
    <col min="13314" max="13314" width="12.54296875" bestFit="1" customWidth="1"/>
    <col min="13315" max="13315" width="8.81640625" bestFit="1" customWidth="1"/>
    <col min="13316" max="13316" width="19.26953125" bestFit="1" customWidth="1"/>
    <col min="13317" max="13317" width="10.7265625" bestFit="1" customWidth="1"/>
    <col min="13318" max="13318" width="18.81640625" customWidth="1"/>
    <col min="13319" max="13319" width="11.1796875" bestFit="1" customWidth="1"/>
    <col min="13320" max="13320" width="26.81640625" customWidth="1"/>
    <col min="13569" max="13569" width="68.54296875" bestFit="1" customWidth="1"/>
    <col min="13570" max="13570" width="12.54296875" bestFit="1" customWidth="1"/>
    <col min="13571" max="13571" width="8.81640625" bestFit="1" customWidth="1"/>
    <col min="13572" max="13572" width="19.26953125" bestFit="1" customWidth="1"/>
    <col min="13573" max="13573" width="10.7265625" bestFit="1" customWidth="1"/>
    <col min="13574" max="13574" width="18.81640625" customWidth="1"/>
    <col min="13575" max="13575" width="11.1796875" bestFit="1" customWidth="1"/>
    <col min="13576" max="13576" width="26.81640625" customWidth="1"/>
    <col min="13825" max="13825" width="68.54296875" bestFit="1" customWidth="1"/>
    <col min="13826" max="13826" width="12.54296875" bestFit="1" customWidth="1"/>
    <col min="13827" max="13827" width="8.81640625" bestFit="1" customWidth="1"/>
    <col min="13828" max="13828" width="19.26953125" bestFit="1" customWidth="1"/>
    <col min="13829" max="13829" width="10.7265625" bestFit="1" customWidth="1"/>
    <col min="13830" max="13830" width="18.81640625" customWidth="1"/>
    <col min="13831" max="13831" width="11.1796875" bestFit="1" customWidth="1"/>
    <col min="13832" max="13832" width="26.81640625" customWidth="1"/>
    <col min="14081" max="14081" width="68.54296875" bestFit="1" customWidth="1"/>
    <col min="14082" max="14082" width="12.54296875" bestFit="1" customWidth="1"/>
    <col min="14083" max="14083" width="8.81640625" bestFit="1" customWidth="1"/>
    <col min="14084" max="14084" width="19.26953125" bestFit="1" customWidth="1"/>
    <col min="14085" max="14085" width="10.7265625" bestFit="1" customWidth="1"/>
    <col min="14086" max="14086" width="18.81640625" customWidth="1"/>
    <col min="14087" max="14087" width="11.1796875" bestFit="1" customWidth="1"/>
    <col min="14088" max="14088" width="26.81640625" customWidth="1"/>
    <col min="14337" max="14337" width="68.54296875" bestFit="1" customWidth="1"/>
    <col min="14338" max="14338" width="12.54296875" bestFit="1" customWidth="1"/>
    <col min="14339" max="14339" width="8.81640625" bestFit="1" customWidth="1"/>
    <col min="14340" max="14340" width="19.26953125" bestFit="1" customWidth="1"/>
    <col min="14341" max="14341" width="10.7265625" bestFit="1" customWidth="1"/>
    <col min="14342" max="14342" width="18.81640625" customWidth="1"/>
    <col min="14343" max="14343" width="11.1796875" bestFit="1" customWidth="1"/>
    <col min="14344" max="14344" width="26.81640625" customWidth="1"/>
    <col min="14593" max="14593" width="68.54296875" bestFit="1" customWidth="1"/>
    <col min="14594" max="14594" width="12.54296875" bestFit="1" customWidth="1"/>
    <col min="14595" max="14595" width="8.81640625" bestFit="1" customWidth="1"/>
    <col min="14596" max="14596" width="19.26953125" bestFit="1" customWidth="1"/>
    <col min="14597" max="14597" width="10.7265625" bestFit="1" customWidth="1"/>
    <col min="14598" max="14598" width="18.81640625" customWidth="1"/>
    <col min="14599" max="14599" width="11.1796875" bestFit="1" customWidth="1"/>
    <col min="14600" max="14600" width="26.81640625" customWidth="1"/>
    <col min="14849" max="14849" width="68.54296875" bestFit="1" customWidth="1"/>
    <col min="14850" max="14850" width="12.54296875" bestFit="1" customWidth="1"/>
    <col min="14851" max="14851" width="8.81640625" bestFit="1" customWidth="1"/>
    <col min="14852" max="14852" width="19.26953125" bestFit="1" customWidth="1"/>
    <col min="14853" max="14853" width="10.7265625" bestFit="1" customWidth="1"/>
    <col min="14854" max="14854" width="18.81640625" customWidth="1"/>
    <col min="14855" max="14855" width="11.1796875" bestFit="1" customWidth="1"/>
    <col min="14856" max="14856" width="26.81640625" customWidth="1"/>
    <col min="15105" max="15105" width="68.54296875" bestFit="1" customWidth="1"/>
    <col min="15106" max="15106" width="12.54296875" bestFit="1" customWidth="1"/>
    <col min="15107" max="15107" width="8.81640625" bestFit="1" customWidth="1"/>
    <col min="15108" max="15108" width="19.26953125" bestFit="1" customWidth="1"/>
    <col min="15109" max="15109" width="10.7265625" bestFit="1" customWidth="1"/>
    <col min="15110" max="15110" width="18.81640625" customWidth="1"/>
    <col min="15111" max="15111" width="11.1796875" bestFit="1" customWidth="1"/>
    <col min="15112" max="15112" width="26.81640625" customWidth="1"/>
    <col min="15361" max="15361" width="68.54296875" bestFit="1" customWidth="1"/>
    <col min="15362" max="15362" width="12.54296875" bestFit="1" customWidth="1"/>
    <col min="15363" max="15363" width="8.81640625" bestFit="1" customWidth="1"/>
    <col min="15364" max="15364" width="19.26953125" bestFit="1" customWidth="1"/>
    <col min="15365" max="15365" width="10.7265625" bestFit="1" customWidth="1"/>
    <col min="15366" max="15366" width="18.81640625" customWidth="1"/>
    <col min="15367" max="15367" width="11.1796875" bestFit="1" customWidth="1"/>
    <col min="15368" max="15368" width="26.81640625" customWidth="1"/>
    <col min="15617" max="15617" width="68.54296875" bestFit="1" customWidth="1"/>
    <col min="15618" max="15618" width="12.54296875" bestFit="1" customWidth="1"/>
    <col min="15619" max="15619" width="8.81640625" bestFit="1" customWidth="1"/>
    <col min="15620" max="15620" width="19.26953125" bestFit="1" customWidth="1"/>
    <col min="15621" max="15621" width="10.7265625" bestFit="1" customWidth="1"/>
    <col min="15622" max="15622" width="18.81640625" customWidth="1"/>
    <col min="15623" max="15623" width="11.1796875" bestFit="1" customWidth="1"/>
    <col min="15624" max="15624" width="26.81640625" customWidth="1"/>
    <col min="15873" max="15873" width="68.54296875" bestFit="1" customWidth="1"/>
    <col min="15874" max="15874" width="12.54296875" bestFit="1" customWidth="1"/>
    <col min="15875" max="15875" width="8.81640625" bestFit="1" customWidth="1"/>
    <col min="15876" max="15876" width="19.26953125" bestFit="1" customWidth="1"/>
    <col min="15877" max="15877" width="10.7265625" bestFit="1" customWidth="1"/>
    <col min="15878" max="15878" width="18.81640625" customWidth="1"/>
    <col min="15879" max="15879" width="11.1796875" bestFit="1" customWidth="1"/>
    <col min="15880" max="15880" width="26.81640625" customWidth="1"/>
    <col min="16129" max="16129" width="68.54296875" bestFit="1" customWidth="1"/>
    <col min="16130" max="16130" width="12.54296875" bestFit="1" customWidth="1"/>
    <col min="16131" max="16131" width="8.81640625" bestFit="1" customWidth="1"/>
    <col min="16132" max="16132" width="19.26953125" bestFit="1" customWidth="1"/>
    <col min="16133" max="16133" width="10.7265625" bestFit="1" customWidth="1"/>
    <col min="16134" max="16134" width="18.81640625" customWidth="1"/>
    <col min="16135" max="16135" width="11.1796875" bestFit="1" customWidth="1"/>
    <col min="16136" max="16136" width="26.81640625" customWidth="1"/>
  </cols>
  <sheetData>
    <row r="1" spans="1:16">
      <c r="A1" s="165" t="s">
        <v>171</v>
      </c>
    </row>
    <row r="2" spans="1:16">
      <c r="A2" s="168" t="s">
        <v>172</v>
      </c>
      <c r="B2" s="169"/>
      <c r="C2" s="170"/>
      <c r="D2" s="171"/>
      <c r="E2" s="171"/>
      <c r="F2" s="171"/>
      <c r="G2" s="172"/>
      <c r="H2" s="172"/>
      <c r="I2" s="172"/>
      <c r="J2" s="172"/>
      <c r="K2" s="172"/>
      <c r="L2" s="172"/>
    </row>
    <row r="3" spans="1:16">
      <c r="A3" s="173" t="s">
        <v>173</v>
      </c>
      <c r="B3" s="172"/>
      <c r="C3" s="174"/>
      <c r="D3" s="175"/>
      <c r="E3" s="175" t="s">
        <v>174</v>
      </c>
      <c r="F3" s="171"/>
      <c r="G3" s="172"/>
      <c r="H3" s="172"/>
      <c r="I3" s="172"/>
      <c r="J3" s="176"/>
      <c r="K3" s="172"/>
      <c r="L3" s="172"/>
    </row>
    <row r="4" spans="1:16">
      <c r="A4" s="172"/>
      <c r="B4" s="172"/>
      <c r="C4" s="174" t="s">
        <v>175</v>
      </c>
      <c r="D4" s="175" t="s">
        <v>176</v>
      </c>
      <c r="E4" s="175" t="s">
        <v>177</v>
      </c>
      <c r="F4" s="174"/>
      <c r="G4" s="174"/>
      <c r="H4" s="174"/>
      <c r="I4" s="174"/>
      <c r="J4" s="174"/>
      <c r="K4" s="174"/>
      <c r="L4" s="174"/>
      <c r="M4" s="174"/>
      <c r="N4" s="174"/>
      <c r="O4" s="174"/>
      <c r="P4" s="174"/>
    </row>
    <row r="5" spans="1:16">
      <c r="A5" s="172"/>
      <c r="B5" s="172"/>
      <c r="C5" s="174" t="s">
        <v>178</v>
      </c>
      <c r="D5" s="175" t="s">
        <v>10</v>
      </c>
      <c r="E5" s="177">
        <v>44562</v>
      </c>
      <c r="F5" s="174"/>
      <c r="G5" s="174"/>
      <c r="H5" s="174"/>
      <c r="I5" s="174"/>
      <c r="J5" s="174"/>
      <c r="K5" s="174"/>
      <c r="L5" s="174"/>
      <c r="M5" s="174"/>
      <c r="N5" s="174"/>
      <c r="O5" s="174"/>
      <c r="P5" s="174"/>
    </row>
    <row r="6" spans="1:16">
      <c r="A6" s="168"/>
      <c r="B6" s="168"/>
      <c r="C6" s="178"/>
      <c r="D6" s="171"/>
      <c r="E6" s="171"/>
      <c r="F6" s="178"/>
      <c r="G6" s="178"/>
      <c r="H6" s="178"/>
      <c r="I6" s="178"/>
      <c r="J6" s="178"/>
      <c r="K6" s="178"/>
      <c r="L6" s="178"/>
      <c r="M6" s="178"/>
      <c r="N6" s="178"/>
      <c r="O6" s="178"/>
      <c r="P6" s="178"/>
    </row>
    <row r="7" spans="1:16">
      <c r="A7" s="168" t="s">
        <v>148</v>
      </c>
      <c r="B7" s="168"/>
      <c r="C7" s="178"/>
      <c r="D7" s="171"/>
      <c r="E7" s="171"/>
      <c r="F7" s="178"/>
      <c r="G7" s="178"/>
      <c r="H7" s="178"/>
      <c r="I7" s="178"/>
      <c r="J7" s="178"/>
      <c r="K7" s="178"/>
      <c r="L7" s="178"/>
      <c r="M7" s="178"/>
      <c r="N7" s="178"/>
      <c r="O7" s="178"/>
      <c r="P7" s="178"/>
    </row>
    <row r="8" spans="1:16">
      <c r="A8" s="179" t="s">
        <v>306</v>
      </c>
      <c r="B8" s="172"/>
      <c r="C8" s="178">
        <f>'Staff Calcs '!M2</f>
        <v>10.76</v>
      </c>
      <c r="D8" s="171">
        <f>'Staff Calcs '!L2</f>
        <v>0.45700989227769201</v>
      </c>
      <c r="E8" s="171">
        <f>C8+D8</f>
        <v>11.217009892277693</v>
      </c>
      <c r="F8" s="178"/>
      <c r="G8" s="178"/>
      <c r="H8" s="178"/>
      <c r="I8" s="178"/>
      <c r="J8" s="178"/>
      <c r="K8" s="178"/>
      <c r="L8" s="178"/>
      <c r="M8" s="178"/>
      <c r="N8" s="178"/>
      <c r="O8" s="178"/>
      <c r="P8" s="178"/>
    </row>
    <row r="9" spans="1:16">
      <c r="A9" s="179" t="s">
        <v>179</v>
      </c>
      <c r="B9" s="172"/>
      <c r="C9" s="178">
        <f>'Staff Calcs '!M3</f>
        <v>17.62</v>
      </c>
      <c r="D9" s="171">
        <f>'Staff Calcs '!L3</f>
        <v>0.77691681687207637</v>
      </c>
      <c r="E9" s="171">
        <f t="shared" ref="E9:E77" si="0">C9+D9</f>
        <v>18.396916816872078</v>
      </c>
      <c r="F9" s="178"/>
      <c r="G9" s="178"/>
      <c r="H9" s="178"/>
      <c r="I9" s="178"/>
      <c r="J9" s="178"/>
      <c r="K9" s="178"/>
      <c r="L9" s="178"/>
      <c r="M9" s="178"/>
      <c r="N9" s="178"/>
      <c r="O9" s="178"/>
      <c r="P9" s="178"/>
    </row>
    <row r="10" spans="1:16">
      <c r="A10" s="179" t="s">
        <v>180</v>
      </c>
      <c r="B10" s="172"/>
      <c r="C10" s="178">
        <f>'Staff Calcs '!M4</f>
        <v>28.38</v>
      </c>
      <c r="D10" s="171">
        <f>'Staff Calcs '!L4</f>
        <v>1.1653752253081147</v>
      </c>
      <c r="E10" s="171">
        <f t="shared" si="0"/>
        <v>29.545375225308113</v>
      </c>
      <c r="F10" s="178"/>
      <c r="G10" s="178"/>
      <c r="H10" s="178"/>
      <c r="I10" s="178"/>
      <c r="J10" s="178"/>
      <c r="K10" s="178"/>
      <c r="L10" s="178"/>
      <c r="M10" s="178"/>
      <c r="N10" s="178"/>
      <c r="O10" s="178"/>
      <c r="P10" s="178"/>
    </row>
    <row r="11" spans="1:16">
      <c r="A11" s="179" t="s">
        <v>181</v>
      </c>
      <c r="B11" s="172"/>
      <c r="C11" s="178">
        <f>'Staff Calcs '!M5</f>
        <v>40.81</v>
      </c>
      <c r="D11" s="171">
        <f>'Staff Calcs '!L5</f>
        <v>1.7594880852691144</v>
      </c>
      <c r="E11" s="171">
        <f t="shared" si="0"/>
        <v>42.569488085269114</v>
      </c>
      <c r="F11" s="178"/>
      <c r="G11" s="178"/>
      <c r="H11" s="178"/>
      <c r="I11" s="178"/>
      <c r="J11" s="178"/>
      <c r="K11" s="178"/>
      <c r="L11" s="178"/>
      <c r="M11" s="178"/>
      <c r="N11" s="178"/>
      <c r="O11" s="178"/>
      <c r="P11" s="178"/>
    </row>
    <row r="12" spans="1:16">
      <c r="A12" s="179" t="s">
        <v>182</v>
      </c>
      <c r="B12" s="172"/>
      <c r="C12" s="178">
        <f>'Staff Calcs '!M6</f>
        <v>54.33</v>
      </c>
      <c r="D12" s="171">
        <f>'Staff Calcs '!L6</f>
        <v>2.2164979775468061</v>
      </c>
      <c r="E12" s="171">
        <f t="shared" ref="E12" si="1">C12+D12</f>
        <v>56.546497977546807</v>
      </c>
      <c r="F12" s="178"/>
      <c r="G12" s="178"/>
      <c r="H12" s="178"/>
      <c r="I12" s="178"/>
      <c r="J12" s="178"/>
      <c r="K12" s="178"/>
      <c r="L12" s="178"/>
      <c r="M12" s="178"/>
      <c r="N12" s="178"/>
      <c r="O12" s="178"/>
      <c r="P12" s="178"/>
    </row>
    <row r="13" spans="1:16">
      <c r="A13" s="180" t="s">
        <v>117</v>
      </c>
      <c r="B13" s="181"/>
      <c r="C13" s="182">
        <f>'Staff Calcs '!M49</f>
        <v>63.1</v>
      </c>
      <c r="D13" s="182">
        <f>'Staff Calcs '!L49</f>
        <v>2.6735078698244981</v>
      </c>
      <c r="E13" s="256">
        <f t="shared" si="0"/>
        <v>65.773507869824499</v>
      </c>
      <c r="F13" s="178"/>
      <c r="G13" s="178"/>
      <c r="H13" s="178"/>
      <c r="I13" s="178"/>
      <c r="J13" s="178"/>
      <c r="K13" s="178"/>
      <c r="L13" s="178"/>
      <c r="M13" s="178"/>
      <c r="N13" s="178"/>
      <c r="O13" s="178"/>
      <c r="P13" s="178"/>
    </row>
    <row r="14" spans="1:16">
      <c r="A14" s="179" t="s">
        <v>183</v>
      </c>
      <c r="B14" s="172"/>
      <c r="C14" s="178">
        <f>'Staff Calcs '!M7</f>
        <v>16.239999999999998</v>
      </c>
      <c r="D14" s="171">
        <f>'Staff Calcs '!L7</f>
        <v>0.77691681687207637</v>
      </c>
      <c r="E14" s="171">
        <f t="shared" si="0"/>
        <v>17.016916816872076</v>
      </c>
      <c r="F14" s="178"/>
      <c r="G14" s="178"/>
      <c r="H14" s="178"/>
      <c r="I14" s="178"/>
      <c r="J14" s="178"/>
      <c r="K14" s="178"/>
      <c r="L14" s="178"/>
      <c r="M14" s="178"/>
      <c r="N14" s="178"/>
      <c r="O14" s="178"/>
      <c r="P14" s="178"/>
    </row>
    <row r="15" spans="1:16">
      <c r="A15" s="179" t="s">
        <v>184</v>
      </c>
      <c r="B15" s="172"/>
      <c r="C15" s="178">
        <f>'Staff Calcs '!M8</f>
        <v>25.5</v>
      </c>
      <c r="D15" s="171">
        <f>'Staff Calcs '!L8</f>
        <v>1.0739732468525762</v>
      </c>
      <c r="E15" s="171">
        <f t="shared" ref="E15:E17" si="2">C15+D15</f>
        <v>26.573973246852574</v>
      </c>
      <c r="F15" s="178"/>
      <c r="G15" s="178"/>
      <c r="H15" s="178"/>
      <c r="I15" s="178"/>
      <c r="J15" s="178"/>
      <c r="K15" s="178"/>
      <c r="L15" s="178"/>
      <c r="M15" s="178"/>
      <c r="N15" s="178"/>
      <c r="O15" s="178"/>
      <c r="P15" s="178"/>
    </row>
    <row r="16" spans="1:16">
      <c r="A16" s="179" t="s">
        <v>185</v>
      </c>
      <c r="B16" s="172"/>
      <c r="C16" s="178">
        <f>'Staff Calcs '!M9</f>
        <v>34.950000000000003</v>
      </c>
      <c r="D16" s="171">
        <f>'Staff Calcs '!L9</f>
        <v>1.5538336337441527</v>
      </c>
      <c r="E16" s="171">
        <f t="shared" si="2"/>
        <v>36.503833633744158</v>
      </c>
      <c r="F16" s="178"/>
      <c r="G16" s="178"/>
      <c r="H16" s="178"/>
      <c r="I16" s="178"/>
      <c r="J16" s="178"/>
      <c r="K16" s="178"/>
      <c r="L16" s="178"/>
      <c r="M16" s="178"/>
      <c r="N16" s="178"/>
      <c r="O16" s="178"/>
      <c r="P16" s="178"/>
    </row>
    <row r="17" spans="1:28">
      <c r="A17" s="179" t="s">
        <v>96</v>
      </c>
      <c r="B17" s="172"/>
      <c r="C17" s="178">
        <f>'Staff Calcs '!M10</f>
        <v>7.37</v>
      </c>
      <c r="D17" s="171">
        <f>'Staff Calcs '!L10</f>
        <v>0.1792884962012484</v>
      </c>
      <c r="E17" s="171">
        <f t="shared" si="2"/>
        <v>7.5492884962012488</v>
      </c>
      <c r="F17" s="178"/>
      <c r="G17" s="178"/>
      <c r="H17" s="178"/>
      <c r="I17" s="178"/>
      <c r="J17" s="178"/>
      <c r="K17" s="178"/>
      <c r="L17" s="178"/>
      <c r="M17" s="178"/>
      <c r="N17" s="178"/>
      <c r="O17" s="178"/>
      <c r="P17" s="178"/>
    </row>
    <row r="18" spans="1:28">
      <c r="A18" s="172"/>
      <c r="B18" s="172"/>
      <c r="C18" s="178"/>
      <c r="D18" s="171"/>
      <c r="E18" s="171"/>
      <c r="F18" s="178"/>
      <c r="G18" s="178"/>
      <c r="H18" s="178"/>
      <c r="I18" s="178"/>
      <c r="J18" s="178"/>
      <c r="K18" s="178"/>
      <c r="L18" s="178"/>
      <c r="M18" s="178"/>
      <c r="N18" s="178"/>
      <c r="O18" s="178"/>
      <c r="P18" s="178"/>
    </row>
    <row r="19" spans="1:28">
      <c r="A19" s="168" t="s">
        <v>149</v>
      </c>
      <c r="B19" s="168"/>
      <c r="C19" s="178"/>
      <c r="D19" s="171"/>
      <c r="E19" s="171"/>
      <c r="F19" s="178"/>
      <c r="G19" s="178"/>
      <c r="H19" s="178"/>
      <c r="I19" s="178"/>
      <c r="J19" s="178"/>
      <c r="K19" s="178"/>
      <c r="L19" s="178"/>
      <c r="M19" s="178"/>
      <c r="N19" s="178"/>
      <c r="O19" s="178"/>
      <c r="P19" s="178"/>
    </row>
    <row r="20" spans="1:28">
      <c r="A20" s="180" t="s">
        <v>125</v>
      </c>
      <c r="B20" s="181" t="s">
        <v>186</v>
      </c>
      <c r="C20" s="182">
        <f>'Staff Calcs '!M50</f>
        <v>3.03</v>
      </c>
      <c r="D20" s="182">
        <f>'Staff Calcs '!L50</f>
        <v>0.17928849620124843</v>
      </c>
      <c r="E20" s="182">
        <f t="shared" si="0"/>
        <v>3.209288496201248</v>
      </c>
      <c r="F20" s="178"/>
      <c r="G20" s="178"/>
      <c r="H20" s="178"/>
      <c r="I20" s="178"/>
      <c r="J20" s="178"/>
      <c r="K20" s="178"/>
      <c r="L20" s="178"/>
      <c r="M20" s="178"/>
      <c r="N20" s="178"/>
      <c r="O20" s="178"/>
      <c r="P20" s="178"/>
      <c r="Q20" s="178"/>
      <c r="R20" s="178"/>
      <c r="S20" s="178"/>
      <c r="T20" s="178"/>
      <c r="U20" s="178"/>
      <c r="V20" s="178"/>
      <c r="W20" s="178"/>
      <c r="X20" s="178"/>
      <c r="Y20" s="178"/>
      <c r="Z20" s="178"/>
      <c r="AA20" s="178"/>
      <c r="AB20" s="178"/>
    </row>
    <row r="21" spans="1:28">
      <c r="A21" s="172"/>
      <c r="B21" s="172"/>
      <c r="C21" s="178"/>
      <c r="D21" s="171"/>
      <c r="E21" s="171"/>
      <c r="F21" s="178"/>
      <c r="G21" s="178"/>
      <c r="H21" s="178"/>
      <c r="I21" s="178"/>
      <c r="J21" s="178"/>
      <c r="K21" s="178"/>
      <c r="L21" s="178"/>
      <c r="M21" s="178"/>
      <c r="N21" s="178"/>
      <c r="O21" s="178"/>
      <c r="P21" s="178"/>
      <c r="Q21" s="178"/>
      <c r="R21" s="178"/>
      <c r="S21" s="178"/>
      <c r="T21" s="178"/>
      <c r="U21" s="178"/>
      <c r="V21" s="178"/>
      <c r="W21" s="178"/>
      <c r="X21" s="178"/>
      <c r="Y21" s="178"/>
      <c r="Z21" s="178"/>
      <c r="AA21" s="178"/>
      <c r="AB21" s="178"/>
    </row>
    <row r="22" spans="1:28">
      <c r="A22" s="168" t="s">
        <v>150</v>
      </c>
      <c r="B22" s="172"/>
      <c r="C22" s="178"/>
      <c r="D22" s="171"/>
      <c r="E22" s="171"/>
      <c r="F22" s="178"/>
      <c r="G22" s="178"/>
      <c r="H22" s="178"/>
      <c r="I22" s="178"/>
      <c r="J22" s="178"/>
      <c r="K22" s="178"/>
      <c r="L22" s="178"/>
      <c r="M22" s="178"/>
      <c r="N22" s="178"/>
      <c r="O22" s="178"/>
      <c r="P22" s="178"/>
      <c r="Q22" s="178"/>
      <c r="R22" s="178"/>
      <c r="S22" s="178"/>
      <c r="T22" s="178"/>
      <c r="U22" s="178"/>
      <c r="V22" s="178"/>
      <c r="W22" s="178"/>
      <c r="X22" s="178"/>
      <c r="Y22" s="178"/>
      <c r="Z22" s="178"/>
      <c r="AA22" s="178"/>
      <c r="AB22" s="178"/>
    </row>
    <row r="23" spans="1:28">
      <c r="A23" s="183" t="s">
        <v>126</v>
      </c>
      <c r="B23" s="181" t="s">
        <v>186</v>
      </c>
      <c r="C23" s="182">
        <f>'Staff Calcs '!M51</f>
        <v>4.6399999999999997</v>
      </c>
      <c r="D23" s="182">
        <f>'Staff Calcs '!L51</f>
        <v>0.105463821294852</v>
      </c>
      <c r="E23" s="182">
        <f t="shared" si="0"/>
        <v>4.7454638212948517</v>
      </c>
      <c r="F23" s="178"/>
      <c r="G23" s="178"/>
      <c r="H23" s="178"/>
      <c r="I23" s="178"/>
      <c r="J23" s="178"/>
      <c r="K23" s="178"/>
      <c r="L23" s="178"/>
      <c r="M23" s="178"/>
      <c r="N23" s="178"/>
      <c r="O23" s="178"/>
      <c r="P23" s="178"/>
      <c r="Q23" s="178"/>
      <c r="R23" s="178"/>
      <c r="S23" s="178"/>
      <c r="T23" s="178"/>
      <c r="U23" s="178"/>
      <c r="V23" s="178"/>
      <c r="W23" s="178"/>
      <c r="X23" s="178"/>
      <c r="Y23" s="178"/>
      <c r="Z23" s="178"/>
      <c r="AA23" s="178"/>
      <c r="AB23" s="178"/>
    </row>
    <row r="24" spans="1:28">
      <c r="A24" s="184" t="s">
        <v>124</v>
      </c>
      <c r="B24" s="172" t="s">
        <v>186</v>
      </c>
      <c r="C24" s="178">
        <f>'Staff Calcs '!M34</f>
        <v>3.21</v>
      </c>
      <c r="D24" s="178">
        <f>'Staff Calcs '!L34</f>
        <v>0.1792884962012484</v>
      </c>
      <c r="E24" s="171">
        <f t="shared" si="0"/>
        <v>3.3892884962012482</v>
      </c>
      <c r="F24" s="178"/>
      <c r="G24" s="178"/>
      <c r="H24" s="178"/>
      <c r="I24" s="178"/>
      <c r="J24" s="178"/>
      <c r="K24" s="178"/>
      <c r="L24" s="178"/>
      <c r="M24" s="178"/>
      <c r="N24" s="178"/>
      <c r="O24" s="178"/>
      <c r="P24" s="178"/>
      <c r="Q24" s="178"/>
      <c r="R24" s="178"/>
      <c r="S24" s="178"/>
      <c r="T24" s="178"/>
      <c r="U24" s="178"/>
      <c r="V24" s="178"/>
      <c r="W24" s="178"/>
      <c r="X24" s="178"/>
      <c r="Y24" s="178"/>
      <c r="Z24" s="178"/>
      <c r="AA24" s="178"/>
      <c r="AB24" s="178"/>
    </row>
    <row r="25" spans="1:28">
      <c r="A25" s="184" t="s">
        <v>108</v>
      </c>
      <c r="B25" s="172" t="s">
        <v>186</v>
      </c>
      <c r="C25" s="178">
        <f>'Staff Calcs '!M35</f>
        <v>4.6399999999999997</v>
      </c>
      <c r="D25" s="178">
        <f>'Staff Calcs '!L35</f>
        <v>0.17928849620124843</v>
      </c>
      <c r="E25" s="171">
        <f t="shared" si="0"/>
        <v>4.8192884962012483</v>
      </c>
      <c r="F25" s="178"/>
      <c r="G25" s="178"/>
      <c r="H25" s="178"/>
      <c r="I25" s="178"/>
      <c r="J25" s="178"/>
      <c r="K25" s="178"/>
      <c r="L25" s="178"/>
      <c r="M25" s="178"/>
      <c r="N25" s="178"/>
      <c r="O25" s="178"/>
      <c r="P25" s="178"/>
      <c r="Q25" s="178"/>
      <c r="R25" s="178"/>
      <c r="S25" s="178"/>
      <c r="T25" s="178"/>
      <c r="U25" s="178"/>
      <c r="V25" s="178"/>
      <c r="W25" s="178"/>
      <c r="X25" s="178"/>
      <c r="Y25" s="178"/>
      <c r="Z25" s="178"/>
      <c r="AA25" s="178"/>
      <c r="AB25" s="178"/>
    </row>
    <row r="26" spans="1:28">
      <c r="A26" s="183" t="s">
        <v>127</v>
      </c>
      <c r="B26" s="181" t="s">
        <v>186</v>
      </c>
      <c r="C26" s="182">
        <f>'Staff Calcs '!M52</f>
        <v>7.61</v>
      </c>
      <c r="D26" s="182">
        <f>'Staff Calcs '!L52</f>
        <v>0.2478399800429022</v>
      </c>
      <c r="E26" s="182">
        <f t="shared" si="0"/>
        <v>7.8578399800429022</v>
      </c>
      <c r="F26" s="178"/>
      <c r="G26" s="178"/>
      <c r="H26" s="178"/>
      <c r="I26" s="178"/>
      <c r="J26" s="178"/>
      <c r="K26" s="178"/>
      <c r="L26" s="178"/>
      <c r="M26" s="178"/>
      <c r="N26" s="178"/>
      <c r="O26" s="178"/>
      <c r="P26" s="178"/>
      <c r="Q26" s="178"/>
      <c r="R26" s="178"/>
      <c r="S26" s="178"/>
      <c r="T26" s="178"/>
      <c r="U26" s="178"/>
      <c r="V26" s="178"/>
      <c r="W26" s="178"/>
      <c r="X26" s="178"/>
      <c r="Y26" s="178"/>
      <c r="Z26" s="178"/>
      <c r="AA26" s="178"/>
      <c r="AB26" s="178"/>
    </row>
    <row r="27" spans="1:28">
      <c r="A27" s="184" t="s">
        <v>109</v>
      </c>
      <c r="B27" s="172" t="s">
        <v>186</v>
      </c>
      <c r="C27" s="178">
        <f>'Staff Calcs '!M36</f>
        <v>11.31</v>
      </c>
      <c r="D27" s="178">
        <f>'Staff Calcs '!L36</f>
        <v>0.35857699240249685</v>
      </c>
      <c r="E27" s="171">
        <f>C27+D27</f>
        <v>11.668576992402498</v>
      </c>
      <c r="F27" s="178"/>
      <c r="G27" s="178"/>
      <c r="H27" s="178"/>
      <c r="I27" s="178"/>
      <c r="J27" s="178"/>
      <c r="K27" s="178"/>
      <c r="L27" s="178"/>
      <c r="M27" s="178"/>
      <c r="N27" s="178"/>
      <c r="O27" s="178"/>
      <c r="P27" s="178"/>
      <c r="Q27" s="178"/>
      <c r="R27" s="178"/>
      <c r="S27" s="178"/>
      <c r="T27" s="178"/>
      <c r="U27" s="178"/>
      <c r="V27" s="178"/>
      <c r="W27" s="178"/>
      <c r="X27" s="178"/>
      <c r="Y27" s="178"/>
      <c r="Z27" s="178"/>
      <c r="AA27" s="178"/>
      <c r="AB27" s="178"/>
    </row>
    <row r="28" spans="1:28">
      <c r="A28" s="184" t="s">
        <v>110</v>
      </c>
      <c r="B28" s="172" t="s">
        <v>186</v>
      </c>
      <c r="C28" s="178">
        <f>'Staff Calcs '!M37</f>
        <v>24.28</v>
      </c>
      <c r="D28" s="178">
        <f>'Staff Calcs '!L37</f>
        <v>0.92280843632995491</v>
      </c>
      <c r="E28" s="171">
        <f t="shared" si="0"/>
        <v>25.202808436329956</v>
      </c>
      <c r="F28" s="178"/>
      <c r="G28" s="178"/>
      <c r="H28" s="178"/>
      <c r="I28" s="178"/>
      <c r="J28" s="178"/>
      <c r="K28" s="178"/>
      <c r="L28" s="178"/>
      <c r="M28" s="178"/>
      <c r="N28" s="178"/>
      <c r="O28" s="178"/>
      <c r="P28" s="178"/>
      <c r="Q28" s="178"/>
      <c r="R28" s="178"/>
      <c r="S28" s="178"/>
      <c r="T28" s="178"/>
      <c r="U28" s="178"/>
      <c r="V28" s="178"/>
      <c r="W28" s="178"/>
      <c r="X28" s="178"/>
      <c r="Y28" s="178"/>
      <c r="Z28" s="178"/>
      <c r="AA28" s="178"/>
      <c r="AB28" s="178"/>
    </row>
    <row r="29" spans="1:28">
      <c r="A29" s="184" t="s">
        <v>111</v>
      </c>
      <c r="B29" s="172" t="s">
        <v>186</v>
      </c>
      <c r="C29" s="178">
        <f>'Staff Calcs '!M38</f>
        <v>32.950000000000003</v>
      </c>
      <c r="D29" s="178">
        <f>'Staff Calcs '!L38</f>
        <v>1.3182977661856501</v>
      </c>
      <c r="E29" s="171">
        <f t="shared" si="0"/>
        <v>34.268297766185654</v>
      </c>
      <c r="F29" s="178"/>
      <c r="G29" s="178"/>
      <c r="H29" s="178"/>
      <c r="I29" s="178"/>
      <c r="J29" s="178"/>
      <c r="K29" s="178"/>
      <c r="L29" s="178"/>
      <c r="M29" s="178"/>
      <c r="N29" s="178"/>
      <c r="O29" s="178"/>
      <c r="P29" s="178"/>
      <c r="Q29" s="178"/>
      <c r="R29" s="178"/>
      <c r="S29" s="178"/>
      <c r="T29" s="178"/>
      <c r="U29" s="178"/>
      <c r="V29" s="178"/>
      <c r="W29" s="178"/>
      <c r="X29" s="178"/>
      <c r="Y29" s="178"/>
      <c r="Z29" s="178"/>
      <c r="AA29" s="178"/>
      <c r="AB29" s="178"/>
    </row>
    <row r="30" spans="1:28">
      <c r="A30" s="184" t="s">
        <v>112</v>
      </c>
      <c r="B30" s="172" t="s">
        <v>186</v>
      </c>
      <c r="C30" s="178">
        <f>'Staff Calcs '!M39</f>
        <v>45.53</v>
      </c>
      <c r="D30" s="178">
        <f>'Staff Calcs '!L39</f>
        <v>1.7085139049766023</v>
      </c>
      <c r="E30" s="171">
        <f t="shared" si="0"/>
        <v>47.238513904976607</v>
      </c>
      <c r="F30" s="178"/>
      <c r="G30" s="178"/>
      <c r="H30" s="178"/>
      <c r="I30" s="178"/>
      <c r="J30" s="178"/>
      <c r="K30" s="178"/>
      <c r="L30" s="178"/>
      <c r="M30" s="178"/>
      <c r="N30" s="178"/>
      <c r="O30" s="178"/>
      <c r="P30" s="178"/>
      <c r="Q30" s="178"/>
      <c r="R30" s="178"/>
      <c r="S30" s="178"/>
      <c r="T30" s="178"/>
      <c r="U30" s="178"/>
      <c r="V30" s="178"/>
      <c r="W30" s="178"/>
      <c r="X30" s="178"/>
      <c r="Y30" s="178"/>
      <c r="Z30" s="178"/>
      <c r="AA30" s="178"/>
      <c r="AB30" s="178"/>
    </row>
    <row r="31" spans="1:28">
      <c r="A31" s="184" t="s">
        <v>113</v>
      </c>
      <c r="B31" s="172" t="s">
        <v>186</v>
      </c>
      <c r="C31" s="178">
        <f>'Staff Calcs '!M40</f>
        <v>65.02</v>
      </c>
      <c r="D31" s="178">
        <f>'Staff Calcs '!L40</f>
        <v>2.4942193736232503</v>
      </c>
      <c r="E31" s="171">
        <f t="shared" si="0"/>
        <v>67.514219373623249</v>
      </c>
      <c r="F31" s="178"/>
      <c r="G31" s="178"/>
      <c r="H31" s="178"/>
      <c r="I31" s="178"/>
      <c r="J31" s="178"/>
      <c r="K31" s="178"/>
      <c r="L31" s="178"/>
      <c r="M31" s="178"/>
      <c r="N31" s="178"/>
      <c r="O31" s="178"/>
      <c r="P31" s="178"/>
      <c r="Q31" s="178"/>
      <c r="R31" s="178"/>
      <c r="S31" s="178"/>
      <c r="T31" s="178"/>
      <c r="U31" s="178"/>
      <c r="V31" s="178"/>
      <c r="W31" s="178"/>
      <c r="X31" s="178"/>
      <c r="Y31" s="178"/>
      <c r="Z31" s="178"/>
      <c r="AA31" s="178"/>
      <c r="AB31" s="178"/>
    </row>
    <row r="32" spans="1:28">
      <c r="A32" s="184" t="s">
        <v>114</v>
      </c>
      <c r="B32" s="172" t="s">
        <v>186</v>
      </c>
      <c r="C32" s="178">
        <f>'Staff Calcs '!M41</f>
        <v>81.680000000000007</v>
      </c>
      <c r="D32" s="178">
        <f>'Staff Calcs '!L41</f>
        <v>3.2324661226872133</v>
      </c>
      <c r="E32" s="171">
        <f t="shared" si="0"/>
        <v>84.912466122687221</v>
      </c>
      <c r="F32" s="178"/>
      <c r="G32" s="178"/>
      <c r="H32" s="178"/>
      <c r="I32" s="178"/>
      <c r="J32" s="178"/>
      <c r="K32" s="178"/>
      <c r="L32" s="178"/>
      <c r="M32" s="178"/>
      <c r="N32" s="178"/>
      <c r="O32" s="178"/>
      <c r="P32" s="178"/>
      <c r="Q32" s="178"/>
      <c r="R32" s="178"/>
      <c r="S32" s="178"/>
      <c r="T32" s="178"/>
      <c r="U32" s="178"/>
      <c r="V32" s="178"/>
      <c r="W32" s="178"/>
      <c r="X32" s="178"/>
      <c r="Y32" s="178"/>
      <c r="Z32" s="178"/>
      <c r="AA32" s="178"/>
      <c r="AB32" s="178"/>
    </row>
    <row r="33" spans="1:28">
      <c r="A33" s="184" t="s">
        <v>115</v>
      </c>
      <c r="B33" s="172" t="s">
        <v>186</v>
      </c>
      <c r="C33" s="178">
        <f>'Staff Calcs '!M42</f>
        <v>121.35</v>
      </c>
      <c r="D33" s="178">
        <f>'Staff Calcs '!L42</f>
        <v>4.4294804943837844</v>
      </c>
      <c r="E33" s="171">
        <f t="shared" si="0"/>
        <v>125.77948049438378</v>
      </c>
      <c r="F33" s="178"/>
      <c r="G33" s="178"/>
      <c r="H33" s="178"/>
      <c r="I33" s="178"/>
      <c r="J33" s="178"/>
      <c r="K33" s="178"/>
      <c r="L33" s="178"/>
      <c r="M33" s="178"/>
      <c r="N33" s="178"/>
      <c r="O33" s="178"/>
      <c r="P33" s="178"/>
      <c r="Q33" s="178"/>
      <c r="R33" s="178"/>
      <c r="S33" s="178"/>
      <c r="T33" s="178"/>
      <c r="U33" s="178"/>
      <c r="V33" s="178"/>
      <c r="W33" s="178"/>
      <c r="X33" s="178"/>
      <c r="Y33" s="178"/>
      <c r="Z33" s="178"/>
      <c r="AA33" s="178"/>
      <c r="AB33" s="178"/>
    </row>
    <row r="34" spans="1:28">
      <c r="A34" s="184" t="s">
        <v>116</v>
      </c>
      <c r="B34" s="172" t="s">
        <v>186</v>
      </c>
      <c r="C34" s="178">
        <f>'Staff Calcs '!M43</f>
        <v>153.43</v>
      </c>
      <c r="D34" s="178">
        <f>'Staff Calcs '!L43</f>
        <v>5.1677272434477475</v>
      </c>
      <c r="E34" s="171">
        <f t="shared" si="0"/>
        <v>158.59772724344776</v>
      </c>
      <c r="F34" s="178"/>
      <c r="G34" s="178"/>
      <c r="H34" s="178"/>
      <c r="I34" s="178"/>
      <c r="J34" s="178"/>
      <c r="K34" s="178"/>
      <c r="L34" s="178"/>
      <c r="M34" s="178"/>
      <c r="N34" s="178"/>
      <c r="O34" s="178"/>
      <c r="P34" s="178"/>
      <c r="Q34" s="178"/>
      <c r="R34" s="178"/>
      <c r="S34" s="178"/>
      <c r="T34" s="178"/>
      <c r="U34" s="178"/>
      <c r="V34" s="178"/>
      <c r="W34" s="178"/>
      <c r="X34" s="178"/>
      <c r="Y34" s="178"/>
      <c r="Z34" s="178"/>
      <c r="AA34" s="178"/>
      <c r="AB34" s="178"/>
    </row>
    <row r="35" spans="1:28">
      <c r="A35" s="172"/>
      <c r="B35" s="172"/>
      <c r="C35" s="178"/>
      <c r="D35" s="171"/>
      <c r="E35" s="171"/>
      <c r="F35" s="178"/>
      <c r="G35" s="178"/>
      <c r="H35" s="178"/>
      <c r="I35" s="178"/>
      <c r="J35" s="178"/>
      <c r="K35" s="178"/>
      <c r="L35" s="178"/>
      <c r="M35" s="178"/>
      <c r="N35" s="178"/>
      <c r="O35" s="178"/>
      <c r="P35" s="178"/>
    </row>
    <row r="36" spans="1:28">
      <c r="A36" s="183" t="s">
        <v>128</v>
      </c>
      <c r="B36" s="181" t="s">
        <v>186</v>
      </c>
      <c r="C36" s="182">
        <f>'Staff Calcs '!M53</f>
        <v>9.65</v>
      </c>
      <c r="D36" s="182">
        <f>'Staff Calcs '!L53</f>
        <v>0.105463821294852</v>
      </c>
      <c r="E36" s="182">
        <f t="shared" si="0"/>
        <v>9.7554638212948532</v>
      </c>
      <c r="F36" s="178"/>
      <c r="G36" s="178"/>
      <c r="H36" s="178"/>
      <c r="I36" s="178"/>
      <c r="J36" s="178"/>
      <c r="K36" s="178"/>
      <c r="L36" s="178"/>
      <c r="M36" s="178"/>
      <c r="N36" s="178"/>
      <c r="O36" s="178"/>
      <c r="P36" s="178"/>
    </row>
    <row r="37" spans="1:28">
      <c r="A37" s="183" t="s">
        <v>130</v>
      </c>
      <c r="B37" s="181" t="s">
        <v>186</v>
      </c>
      <c r="C37" s="182">
        <f>'Staff Calcs '!M54</f>
        <v>9.65</v>
      </c>
      <c r="D37" s="182">
        <f>'Staff Calcs '!L54</f>
        <v>0.17928849620124843</v>
      </c>
      <c r="E37" s="182">
        <f t="shared" si="0"/>
        <v>9.829288496201249</v>
      </c>
      <c r="F37" s="178"/>
      <c r="G37" s="178"/>
      <c r="H37" s="178"/>
      <c r="I37" s="178"/>
      <c r="J37" s="178"/>
      <c r="K37" s="178"/>
      <c r="L37" s="178"/>
      <c r="M37" s="178"/>
      <c r="N37" s="178"/>
      <c r="O37" s="178"/>
      <c r="P37" s="178"/>
    </row>
    <row r="38" spans="1:28">
      <c r="A38" s="183" t="s">
        <v>129</v>
      </c>
      <c r="B38" s="181" t="s">
        <v>186</v>
      </c>
      <c r="C38" s="182">
        <f>'Staff Calcs '!M55</f>
        <v>11.24</v>
      </c>
      <c r="D38" s="182">
        <f>'Staff Calcs '!L55</f>
        <v>0.2478399800429022</v>
      </c>
      <c r="E38" s="182">
        <f t="shared" si="0"/>
        <v>11.487839980042903</v>
      </c>
      <c r="F38" s="178"/>
      <c r="G38" s="178"/>
      <c r="H38" s="178"/>
      <c r="I38" s="178"/>
      <c r="J38" s="178"/>
      <c r="K38" s="178"/>
      <c r="L38" s="178"/>
      <c r="M38" s="178"/>
      <c r="N38" s="178"/>
      <c r="O38" s="178"/>
      <c r="P38" s="178"/>
    </row>
    <row r="39" spans="1:28">
      <c r="A39" s="183" t="s">
        <v>131</v>
      </c>
      <c r="B39" s="181" t="s">
        <v>186</v>
      </c>
      <c r="C39" s="182">
        <f>'Staff Calcs '!M56</f>
        <v>13.99</v>
      </c>
      <c r="D39" s="182">
        <f>'Staff Calcs '!L56</f>
        <v>0.35857699240249685</v>
      </c>
      <c r="E39" s="182">
        <f t="shared" si="0"/>
        <v>14.348576992402498</v>
      </c>
      <c r="F39" s="178"/>
      <c r="G39" s="178"/>
      <c r="H39" s="178"/>
      <c r="I39" s="178"/>
      <c r="J39" s="178"/>
      <c r="K39" s="178"/>
      <c r="L39" s="178"/>
      <c r="M39" s="178"/>
      <c r="N39" s="178"/>
      <c r="O39" s="178"/>
      <c r="P39" s="178"/>
    </row>
    <row r="40" spans="1:28">
      <c r="A40" s="183" t="s">
        <v>118</v>
      </c>
      <c r="B40" s="181" t="s">
        <v>186</v>
      </c>
      <c r="C40" s="182">
        <f>'Staff Calcs '!M57</f>
        <v>25.89</v>
      </c>
      <c r="D40" s="182">
        <f>'Staff Calcs '!L57</f>
        <v>0.92280843632995513</v>
      </c>
      <c r="E40" s="182">
        <f t="shared" si="0"/>
        <v>26.812808436329956</v>
      </c>
      <c r="F40" s="178"/>
      <c r="G40" s="178"/>
      <c r="H40" s="178"/>
      <c r="I40" s="178"/>
      <c r="J40" s="178"/>
      <c r="K40" s="178"/>
      <c r="L40" s="178"/>
      <c r="M40" s="178"/>
      <c r="N40" s="178"/>
      <c r="O40" s="178"/>
      <c r="P40" s="178"/>
    </row>
    <row r="41" spans="1:28">
      <c r="A41" s="183" t="s">
        <v>132</v>
      </c>
      <c r="B41" s="181" t="s">
        <v>186</v>
      </c>
      <c r="C41" s="182">
        <f>'Staff Calcs '!M58</f>
        <v>34.950000000000003</v>
      </c>
      <c r="D41" s="182">
        <f>'Staff Calcs '!L58</f>
        <v>1.3182977661856501</v>
      </c>
      <c r="E41" s="182">
        <f t="shared" si="0"/>
        <v>36.268297766185654</v>
      </c>
      <c r="F41" s="178"/>
      <c r="G41" s="178"/>
      <c r="H41" s="178"/>
      <c r="I41" s="178"/>
      <c r="J41" s="178"/>
      <c r="K41" s="178"/>
      <c r="L41" s="178"/>
      <c r="M41" s="178"/>
      <c r="N41" s="178"/>
      <c r="O41" s="178"/>
      <c r="P41" s="178"/>
    </row>
    <row r="42" spans="1:28">
      <c r="A42" s="183" t="s">
        <v>119</v>
      </c>
      <c r="B42" s="181" t="s">
        <v>186</v>
      </c>
      <c r="C42" s="182">
        <f>'Staff Calcs '!M59</f>
        <v>49.24</v>
      </c>
      <c r="D42" s="182">
        <f>'Staff Calcs '!L59</f>
        <v>1.7085139049766027</v>
      </c>
      <c r="E42" s="182">
        <f t="shared" si="0"/>
        <v>50.948513904976608</v>
      </c>
      <c r="F42" s="178"/>
      <c r="G42" s="178"/>
      <c r="H42" s="178"/>
      <c r="I42" s="178"/>
      <c r="J42" s="178"/>
      <c r="K42" s="178"/>
      <c r="L42" s="178"/>
      <c r="M42" s="178"/>
      <c r="N42" s="178"/>
      <c r="O42" s="178"/>
      <c r="P42" s="178"/>
    </row>
    <row r="43" spans="1:28">
      <c r="A43" s="183" t="s">
        <v>120</v>
      </c>
      <c r="B43" s="181" t="s">
        <v>186</v>
      </c>
      <c r="C43" s="182">
        <f>'Staff Calcs '!M60</f>
        <v>68.599999999999994</v>
      </c>
      <c r="D43" s="182">
        <f>'Staff Calcs '!L60</f>
        <v>2.4942193736232499</v>
      </c>
      <c r="E43" s="182">
        <f t="shared" si="0"/>
        <v>71.094219373623247</v>
      </c>
      <c r="F43" s="178"/>
      <c r="G43" s="178"/>
      <c r="H43" s="178"/>
      <c r="I43" s="178"/>
      <c r="J43" s="178"/>
      <c r="K43" s="178"/>
      <c r="L43" s="178"/>
      <c r="M43" s="178"/>
      <c r="N43" s="178"/>
      <c r="O43" s="178"/>
      <c r="P43" s="178"/>
    </row>
    <row r="44" spans="1:28">
      <c r="A44" s="183" t="s">
        <v>121</v>
      </c>
      <c r="B44" s="181" t="s">
        <v>186</v>
      </c>
      <c r="C44" s="182">
        <f>'Staff Calcs '!M61</f>
        <v>85.09</v>
      </c>
      <c r="D44" s="182">
        <f>'Staff Calcs '!L61</f>
        <v>3.2324661226872142</v>
      </c>
      <c r="E44" s="182">
        <f t="shared" si="0"/>
        <v>88.322466122687217</v>
      </c>
      <c r="F44" s="178"/>
      <c r="G44" s="178"/>
      <c r="H44" s="178"/>
      <c r="I44" s="178"/>
      <c r="J44" s="178"/>
      <c r="K44" s="178"/>
      <c r="L44" s="178"/>
      <c r="M44" s="178"/>
      <c r="N44" s="178"/>
      <c r="O44" s="178"/>
      <c r="P44" s="178"/>
    </row>
    <row r="45" spans="1:28">
      <c r="A45" s="183" t="s">
        <v>122</v>
      </c>
      <c r="B45" s="181" t="s">
        <v>186</v>
      </c>
      <c r="C45" s="182">
        <f>'Staff Calcs '!M62</f>
        <v>127.59</v>
      </c>
      <c r="D45" s="182">
        <f>'Staff Calcs '!L62</f>
        <v>4.4294804943837844</v>
      </c>
      <c r="E45" s="182">
        <f t="shared" si="0"/>
        <v>132.0194804943838</v>
      </c>
      <c r="F45" s="178"/>
      <c r="G45" s="178"/>
      <c r="H45" s="178"/>
      <c r="I45" s="178"/>
      <c r="J45" s="178"/>
      <c r="K45" s="178"/>
      <c r="L45" s="178"/>
      <c r="M45" s="178"/>
      <c r="N45" s="178"/>
      <c r="O45" s="178"/>
      <c r="P45" s="178"/>
    </row>
    <row r="46" spans="1:28">
      <c r="A46" s="183" t="s">
        <v>123</v>
      </c>
      <c r="B46" s="181" t="s">
        <v>186</v>
      </c>
      <c r="C46" s="182">
        <f>'Staff Calcs '!M63</f>
        <v>156.27000000000001</v>
      </c>
      <c r="D46" s="182">
        <f>'Staff Calcs '!L63</f>
        <v>5.1677272434477493</v>
      </c>
      <c r="E46" s="182">
        <f t="shared" si="0"/>
        <v>161.43772724344777</v>
      </c>
      <c r="F46" s="178"/>
      <c r="G46" s="178"/>
      <c r="H46" s="178"/>
      <c r="I46" s="178"/>
      <c r="J46" s="178"/>
      <c r="K46" s="178"/>
      <c r="L46" s="178"/>
      <c r="M46" s="178"/>
      <c r="N46" s="178"/>
      <c r="O46" s="178"/>
      <c r="P46" s="178"/>
    </row>
    <row r="47" spans="1:28">
      <c r="A47" s="184"/>
      <c r="B47" s="172"/>
      <c r="C47" s="178"/>
      <c r="D47" s="178"/>
      <c r="E47" s="178">
        <f t="shared" si="0"/>
        <v>0</v>
      </c>
      <c r="F47" s="178"/>
      <c r="G47" s="178"/>
      <c r="H47" s="178"/>
      <c r="I47" s="178"/>
      <c r="J47" s="178"/>
      <c r="K47" s="178"/>
      <c r="L47" s="178"/>
      <c r="M47" s="178"/>
      <c r="N47" s="178"/>
      <c r="O47" s="178"/>
      <c r="P47" s="178"/>
    </row>
    <row r="48" spans="1:28">
      <c r="A48" s="183" t="s">
        <v>187</v>
      </c>
      <c r="B48" s="181" t="s">
        <v>186</v>
      </c>
      <c r="C48" s="182">
        <f>'Staff Calcs '!M98</f>
        <v>25.89</v>
      </c>
      <c r="D48" s="182">
        <f>'Staff Calcs '!L98</f>
        <v>0.92280843632995513</v>
      </c>
      <c r="E48" s="182">
        <f t="shared" si="0"/>
        <v>26.812808436329956</v>
      </c>
      <c r="F48" s="178"/>
      <c r="G48" s="178"/>
      <c r="H48" s="178"/>
      <c r="I48" s="178"/>
      <c r="J48" s="178"/>
      <c r="K48" s="178"/>
      <c r="L48" s="178"/>
      <c r="M48" s="178"/>
      <c r="N48" s="178"/>
      <c r="O48" s="178"/>
      <c r="P48" s="178"/>
    </row>
    <row r="49" spans="1:16">
      <c r="A49" s="183" t="s">
        <v>188</v>
      </c>
      <c r="B49" s="181" t="s">
        <v>186</v>
      </c>
      <c r="C49" s="182">
        <f>'Staff Calcs '!M99</f>
        <v>34.950000000000003</v>
      </c>
      <c r="D49" s="182">
        <f>'Staff Calcs '!L99</f>
        <v>1.3182977661856501</v>
      </c>
      <c r="E49" s="182">
        <f t="shared" si="0"/>
        <v>36.268297766185654</v>
      </c>
      <c r="F49" s="178"/>
      <c r="G49" s="178"/>
      <c r="H49" s="178"/>
      <c r="I49" s="178"/>
      <c r="J49" s="178"/>
      <c r="K49" s="178"/>
      <c r="L49" s="178"/>
      <c r="M49" s="178"/>
      <c r="N49" s="178"/>
      <c r="O49" s="178"/>
      <c r="P49" s="178"/>
    </row>
    <row r="50" spans="1:16">
      <c r="A50" s="183" t="s">
        <v>189</v>
      </c>
      <c r="B50" s="181" t="s">
        <v>186</v>
      </c>
      <c r="C50" s="182">
        <f>'Staff Calcs '!M100</f>
        <v>49.23</v>
      </c>
      <c r="D50" s="182">
        <f>'Staff Calcs '!L100</f>
        <v>1.7085139049766027</v>
      </c>
      <c r="E50" s="182">
        <f t="shared" si="0"/>
        <v>50.938513904976602</v>
      </c>
      <c r="F50" s="178"/>
      <c r="G50" s="178"/>
      <c r="H50" s="178"/>
      <c r="I50" s="178"/>
      <c r="J50" s="178"/>
      <c r="K50" s="178"/>
      <c r="L50" s="178"/>
      <c r="M50" s="178"/>
      <c r="N50" s="178"/>
      <c r="O50" s="178"/>
      <c r="P50" s="178"/>
    </row>
    <row r="51" spans="1:16">
      <c r="A51" s="183" t="s">
        <v>190</v>
      </c>
      <c r="B51" s="181" t="s">
        <v>186</v>
      </c>
      <c r="C51" s="182">
        <f>'Staff Calcs '!M101</f>
        <v>68.599999999999994</v>
      </c>
      <c r="D51" s="182">
        <f>'Staff Calcs '!L101</f>
        <v>2.4942193736232499</v>
      </c>
      <c r="E51" s="182">
        <f t="shared" si="0"/>
        <v>71.094219373623247</v>
      </c>
      <c r="F51" s="178"/>
      <c r="G51" s="178"/>
      <c r="H51" s="178"/>
      <c r="I51" s="178"/>
      <c r="J51" s="178"/>
      <c r="K51" s="178"/>
      <c r="L51" s="178"/>
      <c r="M51" s="178"/>
      <c r="N51" s="178"/>
      <c r="O51" s="178"/>
      <c r="P51" s="178"/>
    </row>
    <row r="52" spans="1:16">
      <c r="A52" s="183" t="s">
        <v>191</v>
      </c>
      <c r="B52" s="181" t="s">
        <v>186</v>
      </c>
      <c r="C52" s="182">
        <f>'Staff Calcs '!M102</f>
        <v>85.09</v>
      </c>
      <c r="D52" s="182">
        <f>'Staff Calcs '!L102</f>
        <v>3.2324661226872142</v>
      </c>
      <c r="E52" s="182">
        <f t="shared" si="0"/>
        <v>88.322466122687217</v>
      </c>
      <c r="F52" s="178"/>
      <c r="G52" s="178"/>
      <c r="H52" s="178"/>
      <c r="I52" s="178"/>
      <c r="J52" s="178"/>
      <c r="K52" s="178"/>
      <c r="L52" s="178"/>
      <c r="M52" s="178"/>
      <c r="N52" s="178"/>
      <c r="O52" s="178"/>
      <c r="P52" s="178"/>
    </row>
    <row r="53" spans="1:16">
      <c r="A53" s="183" t="s">
        <v>192</v>
      </c>
      <c r="B53" s="181" t="s">
        <v>186</v>
      </c>
      <c r="C53" s="182">
        <f>'Staff Calcs '!M103</f>
        <v>127.59</v>
      </c>
      <c r="D53" s="182">
        <f>'Staff Calcs '!L103</f>
        <v>4.4294804943837844</v>
      </c>
      <c r="E53" s="182">
        <f t="shared" si="0"/>
        <v>132.0194804943838</v>
      </c>
      <c r="F53" s="178"/>
      <c r="G53" s="178"/>
      <c r="H53" s="178"/>
      <c r="I53" s="178"/>
      <c r="J53" s="178"/>
      <c r="K53" s="178"/>
      <c r="L53" s="178"/>
      <c r="M53" s="178"/>
      <c r="N53" s="178"/>
      <c r="O53" s="178"/>
      <c r="P53" s="178"/>
    </row>
    <row r="54" spans="1:16">
      <c r="A54" s="183" t="s">
        <v>193</v>
      </c>
      <c r="B54" s="181" t="s">
        <v>186</v>
      </c>
      <c r="C54" s="182">
        <f>'Staff Calcs '!M104</f>
        <v>156.27000000000001</v>
      </c>
      <c r="D54" s="182">
        <f>'Staff Calcs '!L104</f>
        <v>5.1677272434477493</v>
      </c>
      <c r="E54" s="182">
        <f t="shared" si="0"/>
        <v>161.43772724344777</v>
      </c>
      <c r="F54" s="178"/>
      <c r="G54" s="178"/>
      <c r="H54" s="178"/>
      <c r="I54" s="178"/>
      <c r="J54" s="178"/>
      <c r="K54" s="178"/>
      <c r="L54" s="178"/>
      <c r="M54" s="178"/>
      <c r="N54" s="178"/>
      <c r="O54" s="178"/>
      <c r="P54" s="178"/>
    </row>
    <row r="55" spans="1:16">
      <c r="A55" s="172"/>
      <c r="B55" s="172"/>
      <c r="C55" s="178"/>
      <c r="D55" s="171"/>
      <c r="E55" s="171"/>
      <c r="F55" s="178"/>
      <c r="G55" s="178"/>
      <c r="H55" s="178"/>
      <c r="I55" s="178"/>
      <c r="J55" s="178"/>
      <c r="K55" s="178"/>
      <c r="L55" s="178"/>
      <c r="M55" s="178"/>
      <c r="N55" s="178"/>
      <c r="O55" s="178"/>
      <c r="P55" s="178"/>
    </row>
    <row r="56" spans="1:16">
      <c r="A56" s="168" t="s">
        <v>142</v>
      </c>
      <c r="B56" s="172"/>
      <c r="C56" s="178"/>
      <c r="D56" s="171"/>
      <c r="E56" s="171"/>
      <c r="F56" s="178"/>
      <c r="G56" s="178"/>
      <c r="H56" s="178"/>
      <c r="I56" s="178"/>
      <c r="J56" s="178"/>
      <c r="K56" s="178"/>
      <c r="L56" s="178"/>
      <c r="M56" s="178"/>
      <c r="N56" s="178"/>
      <c r="O56" s="178"/>
      <c r="P56" s="178"/>
    </row>
    <row r="57" spans="1:16">
      <c r="A57" s="181" t="s">
        <v>133</v>
      </c>
      <c r="B57" s="181" t="s">
        <v>186</v>
      </c>
      <c r="C57" s="182">
        <f>'Staff Calcs '!M64</f>
        <v>132.79</v>
      </c>
      <c r="D57" s="182">
        <f>'Staff Calcs '!L64</f>
        <v>2.5416780932059333</v>
      </c>
      <c r="E57" s="182">
        <f t="shared" ref="E57:E58" si="3">C57+D57</f>
        <v>135.33167809320594</v>
      </c>
      <c r="F57" s="178"/>
      <c r="G57" s="178"/>
      <c r="H57" s="178"/>
      <c r="I57" s="178"/>
      <c r="J57" s="178"/>
      <c r="K57" s="178"/>
      <c r="L57" s="178"/>
      <c r="M57" s="178"/>
      <c r="N57" s="178"/>
      <c r="O57" s="178"/>
      <c r="P57" s="178"/>
    </row>
    <row r="58" spans="1:16">
      <c r="A58" s="181" t="s">
        <v>134</v>
      </c>
      <c r="B58" s="181" t="s">
        <v>186</v>
      </c>
      <c r="C58" s="182">
        <f>'Staff Calcs '!M65</f>
        <v>188.65</v>
      </c>
      <c r="D58" s="182">
        <f>'Staff Calcs '!L65</f>
        <v>4.7036864297503991</v>
      </c>
      <c r="E58" s="182">
        <f t="shared" si="3"/>
        <v>193.35368642975041</v>
      </c>
      <c r="F58" s="178"/>
      <c r="G58" s="178"/>
      <c r="H58" s="178"/>
      <c r="I58" s="178"/>
      <c r="J58" s="178"/>
      <c r="K58" s="178"/>
      <c r="L58" s="178"/>
      <c r="M58" s="178"/>
      <c r="N58" s="178"/>
      <c r="O58" s="178"/>
      <c r="P58" s="178"/>
    </row>
    <row r="59" spans="1:16">
      <c r="A59" s="181" t="s">
        <v>135</v>
      </c>
      <c r="B59" s="181" t="s">
        <v>186</v>
      </c>
      <c r="C59" s="182">
        <f>'Staff Calcs '!M66</f>
        <v>235.72</v>
      </c>
      <c r="D59" s="182">
        <f>'Staff Calcs '!L66</f>
        <v>6.8604215752301236</v>
      </c>
      <c r="E59" s="182">
        <f t="shared" si="0"/>
        <v>242.58042157523013</v>
      </c>
      <c r="F59" s="178"/>
      <c r="G59" s="178"/>
      <c r="H59" s="178"/>
      <c r="I59" s="178"/>
      <c r="J59" s="178"/>
      <c r="K59" s="178"/>
      <c r="L59" s="178"/>
      <c r="M59" s="178"/>
      <c r="N59" s="178"/>
      <c r="O59" s="178"/>
      <c r="P59" s="178"/>
    </row>
    <row r="60" spans="1:16">
      <c r="A60" s="181" t="s">
        <v>136</v>
      </c>
      <c r="B60" s="181" t="s">
        <v>186</v>
      </c>
      <c r="C60" s="182">
        <f>'Staff Calcs '!M67</f>
        <v>279.87</v>
      </c>
      <c r="D60" s="182">
        <f>'Staff Calcs '!L67</f>
        <v>8.8906001351560242</v>
      </c>
      <c r="E60" s="182">
        <f t="shared" si="0"/>
        <v>288.76060013515604</v>
      </c>
      <c r="F60" s="178"/>
      <c r="G60" s="178"/>
      <c r="H60" s="178"/>
      <c r="I60" s="178"/>
      <c r="J60" s="178"/>
      <c r="K60" s="178"/>
      <c r="L60" s="178"/>
      <c r="M60" s="178"/>
      <c r="N60" s="178"/>
      <c r="O60" s="178"/>
      <c r="P60" s="178"/>
    </row>
    <row r="61" spans="1:16">
      <c r="A61" s="181" t="s">
        <v>137</v>
      </c>
      <c r="B61" s="181" t="s">
        <v>186</v>
      </c>
      <c r="C61" s="182">
        <f>'Staff Calcs '!M68</f>
        <v>324.45</v>
      </c>
      <c r="D61" s="182">
        <f>'Staff Calcs '!L68</f>
        <v>10.788948918463362</v>
      </c>
      <c r="E61" s="182">
        <f t="shared" si="0"/>
        <v>335.23894891846334</v>
      </c>
      <c r="F61" s="178"/>
      <c r="G61" s="178"/>
      <c r="H61" s="178"/>
      <c r="I61" s="178"/>
      <c r="J61" s="178"/>
      <c r="K61" s="178"/>
      <c r="L61" s="178"/>
      <c r="M61" s="178"/>
      <c r="N61" s="178"/>
      <c r="O61" s="178"/>
      <c r="P61" s="178"/>
    </row>
    <row r="62" spans="1:16">
      <c r="A62" s="181" t="s">
        <v>138</v>
      </c>
      <c r="B62" s="181" t="s">
        <v>186</v>
      </c>
      <c r="C62" s="182">
        <f>'Staff Calcs '!M69</f>
        <v>408.2</v>
      </c>
      <c r="D62" s="182">
        <f>'Staff Calcs '!L69</f>
        <v>12.181071359555409</v>
      </c>
      <c r="E62" s="182">
        <f t="shared" si="0"/>
        <v>420.38107135955539</v>
      </c>
      <c r="F62" s="178"/>
      <c r="G62" s="178"/>
      <c r="H62" s="178"/>
      <c r="I62" s="178"/>
      <c r="J62" s="178"/>
      <c r="K62" s="178"/>
      <c r="L62" s="178"/>
      <c r="M62" s="178"/>
      <c r="N62" s="178"/>
      <c r="O62" s="178"/>
      <c r="P62" s="178"/>
    </row>
    <row r="63" spans="1:16">
      <c r="A63" s="181"/>
      <c r="B63" s="181"/>
      <c r="C63" s="182"/>
      <c r="D63" s="182"/>
      <c r="E63" s="182"/>
      <c r="F63" s="178"/>
      <c r="G63" s="178"/>
      <c r="H63" s="178"/>
      <c r="I63" s="178"/>
      <c r="J63" s="178"/>
      <c r="K63" s="178"/>
      <c r="L63" s="178"/>
      <c r="M63" s="178"/>
      <c r="N63" s="178"/>
      <c r="O63" s="178"/>
      <c r="P63" s="178"/>
    </row>
    <row r="64" spans="1:16">
      <c r="A64" s="181" t="s">
        <v>199</v>
      </c>
      <c r="B64" s="181" t="s">
        <v>186</v>
      </c>
      <c r="C64" s="182">
        <f>C57</f>
        <v>132.79</v>
      </c>
      <c r="D64" s="182">
        <f>D57</f>
        <v>2.5416780932059333</v>
      </c>
      <c r="E64" s="182">
        <f t="shared" ref="E64:E65" si="4">C64+D64</f>
        <v>135.33167809320594</v>
      </c>
      <c r="F64" s="178"/>
      <c r="G64" s="178"/>
      <c r="H64" s="178"/>
      <c r="I64" s="178"/>
      <c r="J64" s="178"/>
      <c r="K64" s="178"/>
      <c r="L64" s="178"/>
      <c r="M64" s="178"/>
      <c r="N64" s="178"/>
      <c r="O64" s="178"/>
      <c r="P64" s="178"/>
    </row>
    <row r="65" spans="1:16">
      <c r="A65" s="181" t="s">
        <v>200</v>
      </c>
      <c r="B65" s="181" t="s">
        <v>186</v>
      </c>
      <c r="C65" s="182">
        <f t="shared" ref="C65:D69" si="5">C58</f>
        <v>188.65</v>
      </c>
      <c r="D65" s="182">
        <f t="shared" si="5"/>
        <v>4.7036864297503991</v>
      </c>
      <c r="E65" s="182">
        <f t="shared" si="4"/>
        <v>193.35368642975041</v>
      </c>
      <c r="F65" s="178"/>
      <c r="G65" s="178"/>
      <c r="H65" s="178"/>
      <c r="I65" s="178"/>
      <c r="J65" s="178"/>
      <c r="K65" s="178"/>
      <c r="L65" s="178"/>
      <c r="M65" s="178"/>
      <c r="N65" s="178"/>
      <c r="O65" s="178"/>
      <c r="P65" s="178"/>
    </row>
    <row r="66" spans="1:16">
      <c r="A66" s="181" t="s">
        <v>194</v>
      </c>
      <c r="B66" s="181" t="s">
        <v>186</v>
      </c>
      <c r="C66" s="182">
        <f t="shared" si="5"/>
        <v>235.72</v>
      </c>
      <c r="D66" s="182">
        <f t="shared" si="5"/>
        <v>6.8604215752301236</v>
      </c>
      <c r="E66" s="182">
        <f t="shared" ref="E66:E69" si="6">C66+D66</f>
        <v>242.58042157523013</v>
      </c>
      <c r="F66" s="178"/>
      <c r="G66" s="178"/>
      <c r="H66" s="178"/>
      <c r="I66" s="178"/>
      <c r="J66" s="178"/>
      <c r="K66" s="178"/>
      <c r="L66" s="178"/>
      <c r="M66" s="178"/>
      <c r="N66" s="178"/>
      <c r="O66" s="178"/>
      <c r="P66" s="178"/>
    </row>
    <row r="67" spans="1:16">
      <c r="A67" s="181" t="s">
        <v>195</v>
      </c>
      <c r="B67" s="181" t="s">
        <v>186</v>
      </c>
      <c r="C67" s="182">
        <f t="shared" si="5"/>
        <v>279.87</v>
      </c>
      <c r="D67" s="182">
        <f t="shared" si="5"/>
        <v>8.8906001351560242</v>
      </c>
      <c r="E67" s="182">
        <f t="shared" si="6"/>
        <v>288.76060013515604</v>
      </c>
      <c r="F67" s="178"/>
      <c r="G67" s="178"/>
      <c r="H67" s="178"/>
      <c r="I67" s="178"/>
      <c r="J67" s="178"/>
      <c r="K67" s="178"/>
      <c r="L67" s="178"/>
      <c r="M67" s="178"/>
      <c r="N67" s="178"/>
      <c r="O67" s="178"/>
      <c r="P67" s="178"/>
    </row>
    <row r="68" spans="1:16">
      <c r="A68" s="181" t="s">
        <v>196</v>
      </c>
      <c r="B68" s="181" t="s">
        <v>186</v>
      </c>
      <c r="C68" s="182">
        <f t="shared" si="5"/>
        <v>324.45</v>
      </c>
      <c r="D68" s="182">
        <f t="shared" si="5"/>
        <v>10.788948918463362</v>
      </c>
      <c r="E68" s="182">
        <f t="shared" si="6"/>
        <v>335.23894891846334</v>
      </c>
      <c r="F68" s="178"/>
      <c r="G68" s="178"/>
      <c r="H68" s="178"/>
      <c r="I68" s="178"/>
      <c r="J68" s="178"/>
      <c r="K68" s="178"/>
      <c r="L68" s="178"/>
      <c r="M68" s="178"/>
      <c r="N68" s="178"/>
      <c r="O68" s="178"/>
      <c r="P68" s="178"/>
    </row>
    <row r="69" spans="1:16">
      <c r="A69" s="181" t="s">
        <v>197</v>
      </c>
      <c r="B69" s="181" t="s">
        <v>186</v>
      </c>
      <c r="C69" s="182">
        <f t="shared" si="5"/>
        <v>408.2</v>
      </c>
      <c r="D69" s="182">
        <f t="shared" si="5"/>
        <v>12.181071359555409</v>
      </c>
      <c r="E69" s="182">
        <f t="shared" si="6"/>
        <v>420.38107135955539</v>
      </c>
      <c r="F69" s="178"/>
      <c r="G69" s="178"/>
      <c r="H69" s="178"/>
      <c r="I69" s="178"/>
      <c r="J69" s="178"/>
      <c r="K69" s="178"/>
      <c r="L69" s="178"/>
      <c r="M69" s="178"/>
      <c r="N69" s="178"/>
      <c r="O69" s="178"/>
      <c r="P69" s="178"/>
    </row>
    <row r="70" spans="1:16">
      <c r="A70" s="172"/>
      <c r="B70" s="172"/>
      <c r="C70" s="178"/>
      <c r="D70" s="171"/>
      <c r="E70" s="171"/>
      <c r="F70" s="178"/>
      <c r="G70" s="178"/>
      <c r="H70" s="178"/>
      <c r="I70" s="178"/>
      <c r="J70" s="178"/>
      <c r="K70" s="178"/>
      <c r="L70" s="178"/>
      <c r="M70" s="178"/>
      <c r="N70" s="178"/>
      <c r="O70" s="178"/>
      <c r="P70" s="178"/>
    </row>
    <row r="71" spans="1:16">
      <c r="A71" s="168" t="s">
        <v>143</v>
      </c>
      <c r="B71" s="172"/>
      <c r="C71" s="178"/>
      <c r="D71" s="171"/>
      <c r="E71" s="171"/>
      <c r="F71" s="178"/>
      <c r="G71" s="178"/>
      <c r="H71" s="178"/>
      <c r="I71" s="178"/>
      <c r="J71" s="178"/>
      <c r="K71" s="178"/>
      <c r="L71" s="178"/>
      <c r="M71" s="178"/>
      <c r="N71" s="178"/>
      <c r="O71" s="178"/>
      <c r="P71" s="178"/>
    </row>
    <row r="72" spans="1:16">
      <c r="A72" s="181" t="s">
        <v>133</v>
      </c>
      <c r="B72" s="181" t="s">
        <v>186</v>
      </c>
      <c r="C72" s="182">
        <f>'Staff Calcs '!M70</f>
        <v>147.36000000000001</v>
      </c>
      <c r="D72" s="182">
        <f>'Staff Calcs '!L70</f>
        <v>2.5416780932059333</v>
      </c>
      <c r="E72" s="182">
        <f t="shared" si="0"/>
        <v>149.90167809320596</v>
      </c>
      <c r="F72" s="178"/>
      <c r="G72" s="178"/>
      <c r="H72" s="178"/>
      <c r="I72" s="178"/>
      <c r="J72" s="178"/>
      <c r="K72" s="178"/>
      <c r="L72" s="178"/>
      <c r="M72" s="178"/>
      <c r="N72" s="178"/>
      <c r="O72" s="178"/>
      <c r="P72" s="178"/>
    </row>
    <row r="73" spans="1:16">
      <c r="A73" s="181" t="s">
        <v>134</v>
      </c>
      <c r="B73" s="181" t="s">
        <v>186</v>
      </c>
      <c r="C73" s="182">
        <f>'Staff Calcs '!M71</f>
        <v>226.41</v>
      </c>
      <c r="D73" s="182">
        <f>'Staff Calcs '!L71</f>
        <v>4.7036864297503991</v>
      </c>
      <c r="E73" s="182">
        <f t="shared" si="0"/>
        <v>231.1136864297504</v>
      </c>
      <c r="F73" s="178"/>
      <c r="G73" s="178"/>
      <c r="H73" s="178"/>
      <c r="I73" s="178"/>
      <c r="J73" s="178"/>
      <c r="K73" s="178"/>
      <c r="L73" s="178"/>
      <c r="M73" s="178"/>
      <c r="N73" s="178"/>
      <c r="O73" s="178"/>
      <c r="P73" s="178"/>
    </row>
    <row r="74" spans="1:16">
      <c r="A74" s="181" t="s">
        <v>135</v>
      </c>
      <c r="B74" s="181" t="s">
        <v>186</v>
      </c>
      <c r="C74" s="182">
        <f>'Staff Calcs '!M72</f>
        <v>288.89999999999998</v>
      </c>
      <c r="D74" s="182">
        <f>'Staff Calcs '!L72</f>
        <v>6.8604215752301236</v>
      </c>
      <c r="E74" s="182">
        <f t="shared" si="0"/>
        <v>295.76042157523011</v>
      </c>
      <c r="F74" s="178"/>
      <c r="G74" s="178"/>
      <c r="H74" s="178"/>
      <c r="I74" s="178"/>
      <c r="J74" s="178"/>
      <c r="K74" s="178"/>
      <c r="L74" s="178"/>
      <c r="M74" s="178"/>
      <c r="N74" s="178"/>
      <c r="O74" s="178"/>
      <c r="P74" s="178"/>
    </row>
    <row r="75" spans="1:16">
      <c r="A75" s="181" t="s">
        <v>136</v>
      </c>
      <c r="B75" s="181" t="s">
        <v>186</v>
      </c>
      <c r="C75" s="182">
        <f>'Staff Calcs '!M73</f>
        <v>351.21</v>
      </c>
      <c r="D75" s="182">
        <f>'Staff Calcs '!L73</f>
        <v>8.8906001351560242</v>
      </c>
      <c r="E75" s="182">
        <f t="shared" si="0"/>
        <v>360.10060013515601</v>
      </c>
      <c r="F75" s="178"/>
      <c r="G75" s="178"/>
      <c r="H75" s="178"/>
      <c r="I75" s="178"/>
      <c r="J75" s="178"/>
      <c r="K75" s="178"/>
      <c r="L75" s="178"/>
      <c r="M75" s="178"/>
      <c r="N75" s="178"/>
      <c r="O75" s="178"/>
      <c r="P75" s="178"/>
    </row>
    <row r="76" spans="1:16">
      <c r="A76" s="181" t="s">
        <v>137</v>
      </c>
      <c r="B76" s="181" t="s">
        <v>186</v>
      </c>
      <c r="C76" s="182">
        <f>'Staff Calcs '!M74</f>
        <v>413.3</v>
      </c>
      <c r="D76" s="182">
        <f>'Staff Calcs '!L74</f>
        <v>10.788948918463362</v>
      </c>
      <c r="E76" s="182">
        <f t="shared" si="0"/>
        <v>424.08894891846336</v>
      </c>
      <c r="F76" s="178"/>
      <c r="G76" s="178"/>
      <c r="H76" s="178"/>
      <c r="I76" s="178"/>
      <c r="J76" s="178"/>
      <c r="K76" s="178"/>
      <c r="L76" s="178"/>
      <c r="M76" s="178"/>
      <c r="N76" s="178"/>
      <c r="O76" s="178"/>
      <c r="P76" s="178"/>
    </row>
    <row r="77" spans="1:16">
      <c r="A77" s="181" t="s">
        <v>138</v>
      </c>
      <c r="B77" s="181" t="s">
        <v>186</v>
      </c>
      <c r="C77" s="182">
        <f>'Staff Calcs '!M75</f>
        <v>474.55</v>
      </c>
      <c r="D77" s="182">
        <f>'Staff Calcs '!L75</f>
        <v>12.181071359555409</v>
      </c>
      <c r="E77" s="182">
        <f t="shared" si="0"/>
        <v>486.73107135955541</v>
      </c>
      <c r="F77" s="178"/>
      <c r="G77" s="178"/>
      <c r="H77" s="178"/>
      <c r="I77" s="178"/>
      <c r="J77" s="178"/>
      <c r="K77" s="178"/>
      <c r="L77" s="178"/>
      <c r="M77" s="178"/>
      <c r="N77" s="178"/>
      <c r="O77" s="178"/>
      <c r="P77" s="178"/>
    </row>
    <row r="78" spans="1:16">
      <c r="A78" s="172"/>
      <c r="B78" s="172"/>
      <c r="C78" s="178"/>
      <c r="D78" s="171"/>
      <c r="E78" s="171"/>
      <c r="F78" s="178"/>
      <c r="G78" s="178"/>
      <c r="H78" s="178"/>
      <c r="I78" s="178"/>
      <c r="J78" s="178"/>
      <c r="K78" s="178"/>
      <c r="L78" s="178"/>
      <c r="M78" s="178"/>
      <c r="N78" s="178"/>
      <c r="O78" s="178"/>
      <c r="P78" s="178"/>
    </row>
    <row r="79" spans="1:16">
      <c r="A79" s="185" t="s">
        <v>168</v>
      </c>
      <c r="B79" s="172"/>
      <c r="C79" s="178"/>
      <c r="D79" s="171"/>
      <c r="E79" s="171"/>
      <c r="F79" s="178"/>
      <c r="G79" s="178"/>
      <c r="H79" s="178"/>
      <c r="I79" s="178"/>
      <c r="J79" s="178"/>
      <c r="K79" s="178"/>
      <c r="L79" s="178"/>
      <c r="M79" s="178"/>
      <c r="N79" s="178"/>
      <c r="O79" s="178"/>
      <c r="P79" s="178"/>
    </row>
    <row r="80" spans="1:16">
      <c r="A80" s="181" t="s">
        <v>169</v>
      </c>
      <c r="B80" s="181"/>
      <c r="C80" s="182">
        <f>'Staff Calcs '!M112</f>
        <v>15.57</v>
      </c>
      <c r="D80" s="182">
        <f>'Staff Calcs '!L112</f>
        <v>0.65914888309282504</v>
      </c>
      <c r="E80" s="182">
        <f t="shared" ref="E80:E81" si="7">C80+D80</f>
        <v>16.229148883092826</v>
      </c>
      <c r="F80" s="178"/>
      <c r="G80" s="178"/>
      <c r="H80" s="178"/>
      <c r="I80" s="178"/>
      <c r="J80" s="178"/>
      <c r="K80" s="178"/>
      <c r="L80" s="178"/>
      <c r="M80" s="178"/>
      <c r="N80" s="178"/>
      <c r="O80" s="178"/>
      <c r="P80" s="178"/>
    </row>
    <row r="81" spans="1:23">
      <c r="A81" s="181" t="s">
        <v>198</v>
      </c>
      <c r="B81" s="181"/>
      <c r="C81" s="182">
        <f>'Staff Calcs '!M113</f>
        <v>15.57</v>
      </c>
      <c r="D81" s="182">
        <f>'Staff Calcs '!L113</f>
        <v>0.65914888309282504</v>
      </c>
      <c r="E81" s="182">
        <f t="shared" si="7"/>
        <v>16.229148883092826</v>
      </c>
      <c r="F81" s="178"/>
      <c r="G81" s="178"/>
      <c r="H81" s="178"/>
      <c r="I81" s="178"/>
      <c r="J81" s="178"/>
      <c r="K81" s="178"/>
      <c r="L81" s="178"/>
      <c r="M81" s="178"/>
      <c r="N81" s="178"/>
      <c r="O81" s="178"/>
      <c r="P81" s="178"/>
    </row>
    <row r="82" spans="1:23">
      <c r="A82" s="172"/>
      <c r="B82" s="172"/>
      <c r="C82" s="178"/>
      <c r="D82" s="171"/>
      <c r="E82" s="171"/>
      <c r="F82" s="178"/>
      <c r="G82" s="178"/>
      <c r="H82" s="178"/>
      <c r="I82" s="178"/>
      <c r="J82" s="178"/>
      <c r="K82" s="178"/>
      <c r="L82" s="178"/>
      <c r="M82" s="178"/>
      <c r="N82" s="178"/>
      <c r="O82" s="178"/>
      <c r="P82" s="178"/>
    </row>
    <row r="83" spans="1:23">
      <c r="A83" s="172"/>
      <c r="B83" s="172"/>
      <c r="C83" s="178"/>
      <c r="D83" s="171"/>
      <c r="E83" s="171"/>
      <c r="F83" s="178"/>
      <c r="G83" s="178"/>
      <c r="H83" s="178"/>
      <c r="I83" s="178"/>
      <c r="J83" s="178"/>
      <c r="K83" s="178"/>
      <c r="L83" s="178"/>
      <c r="M83" s="178"/>
      <c r="N83" s="178"/>
      <c r="O83" s="178"/>
      <c r="P83" s="178"/>
    </row>
    <row r="84" spans="1:23">
      <c r="A84" s="168" t="s">
        <v>144</v>
      </c>
      <c r="B84" s="172"/>
      <c r="C84" s="178"/>
      <c r="D84" s="171"/>
      <c r="E84" s="171"/>
      <c r="F84" s="178"/>
      <c r="G84" s="178"/>
      <c r="H84" s="178"/>
      <c r="I84" s="178"/>
      <c r="J84" s="178"/>
      <c r="K84" s="178"/>
      <c r="L84" s="178"/>
      <c r="M84" s="178"/>
      <c r="N84" s="178"/>
      <c r="O84" s="178"/>
      <c r="P84" s="178"/>
    </row>
    <row r="85" spans="1:23">
      <c r="A85" s="184" t="s">
        <v>108</v>
      </c>
      <c r="B85" s="172" t="s">
        <v>186</v>
      </c>
      <c r="C85" s="178">
        <f>'Staff Calcs '!M15</f>
        <v>4.3</v>
      </c>
      <c r="D85" s="178">
        <f>'Staff Calcs '!L15</f>
        <v>0.1529225408775354</v>
      </c>
      <c r="E85" s="171">
        <f t="shared" ref="E85:E152" si="8">C85+D85</f>
        <v>4.4529225408775348</v>
      </c>
      <c r="F85" s="178"/>
      <c r="G85" s="178"/>
      <c r="H85" s="178"/>
      <c r="I85" s="178"/>
      <c r="J85" s="178"/>
      <c r="K85" s="178"/>
      <c r="L85" s="178"/>
      <c r="M85" s="178"/>
      <c r="N85" s="178"/>
      <c r="O85" s="178"/>
      <c r="P85" s="178"/>
      <c r="Q85" s="178"/>
      <c r="R85" s="178"/>
      <c r="S85" s="178"/>
      <c r="T85" s="178"/>
      <c r="U85" s="178"/>
      <c r="V85" s="178"/>
      <c r="W85" s="178"/>
    </row>
    <row r="86" spans="1:23">
      <c r="A86" s="183" t="s">
        <v>127</v>
      </c>
      <c r="B86" s="181" t="s">
        <v>186</v>
      </c>
      <c r="C86" s="182">
        <f>'Staff Calcs '!M76</f>
        <v>7.02</v>
      </c>
      <c r="D86" s="182">
        <f>'Staff Calcs '!L76</f>
        <v>0.2478399800429022</v>
      </c>
      <c r="E86" s="182">
        <f t="shared" si="8"/>
        <v>7.2678399800429014</v>
      </c>
      <c r="F86" s="178"/>
      <c r="G86" s="178"/>
      <c r="H86" s="178"/>
      <c r="I86" s="178"/>
      <c r="J86" s="178"/>
      <c r="K86" s="178"/>
      <c r="L86" s="178"/>
      <c r="M86" s="178"/>
      <c r="N86" s="178"/>
      <c r="O86" s="178"/>
      <c r="P86" s="178"/>
      <c r="Q86" s="178"/>
      <c r="R86" s="178"/>
      <c r="S86" s="178"/>
      <c r="T86" s="178"/>
      <c r="U86" s="178"/>
      <c r="V86" s="178"/>
      <c r="W86" s="178"/>
    </row>
    <row r="87" spans="1:23">
      <c r="A87" s="184" t="s">
        <v>109</v>
      </c>
      <c r="B87" s="172" t="s">
        <v>186</v>
      </c>
      <c r="C87" s="178">
        <f>'Staff Calcs '!M16</f>
        <v>10.49</v>
      </c>
      <c r="D87" s="178">
        <f>'Staff Calcs '!L16</f>
        <v>0.35857699240249685</v>
      </c>
      <c r="E87" s="171">
        <f t="shared" si="8"/>
        <v>10.848576992402498</v>
      </c>
      <c r="F87" s="178"/>
      <c r="G87" s="178"/>
      <c r="H87" s="178"/>
      <c r="I87" s="178"/>
      <c r="J87" s="178"/>
      <c r="K87" s="178"/>
      <c r="L87" s="178"/>
      <c r="M87" s="178"/>
      <c r="N87" s="178"/>
      <c r="O87" s="178"/>
      <c r="P87" s="178"/>
      <c r="Q87" s="178"/>
      <c r="R87" s="178"/>
      <c r="S87" s="178"/>
      <c r="T87" s="178"/>
      <c r="U87" s="178"/>
      <c r="V87" s="178"/>
      <c r="W87" s="178"/>
    </row>
    <row r="88" spans="1:23">
      <c r="A88" s="184" t="s">
        <v>110</v>
      </c>
      <c r="B88" s="172" t="s">
        <v>186</v>
      </c>
      <c r="C88" s="178">
        <f>'Staff Calcs '!M17</f>
        <v>22.43</v>
      </c>
      <c r="D88" s="178">
        <f>'Staff Calcs '!L17</f>
        <v>0.92280843632995502</v>
      </c>
      <c r="E88" s="171">
        <f t="shared" si="8"/>
        <v>23.352808436329955</v>
      </c>
      <c r="F88" s="178"/>
      <c r="G88" s="178"/>
      <c r="H88" s="178"/>
      <c r="I88" s="178"/>
      <c r="J88" s="178"/>
      <c r="K88" s="178"/>
      <c r="L88" s="178"/>
      <c r="M88" s="178"/>
      <c r="N88" s="178"/>
      <c r="O88" s="178"/>
      <c r="P88" s="178"/>
      <c r="Q88" s="178"/>
      <c r="R88" s="178"/>
      <c r="S88" s="178"/>
      <c r="T88" s="178"/>
      <c r="U88" s="178"/>
      <c r="V88" s="178"/>
      <c r="W88" s="178"/>
    </row>
    <row r="89" spans="1:23">
      <c r="A89" s="184" t="s">
        <v>111</v>
      </c>
      <c r="B89" s="172" t="s">
        <v>186</v>
      </c>
      <c r="C89" s="178">
        <f>'Staff Calcs '!M18</f>
        <v>30.17</v>
      </c>
      <c r="D89" s="178">
        <f>'Staff Calcs '!L18</f>
        <v>1.3182977661856501</v>
      </c>
      <c r="E89" s="171">
        <f t="shared" si="8"/>
        <v>31.488297766185653</v>
      </c>
      <c r="F89" s="178"/>
      <c r="G89" s="178"/>
      <c r="H89" s="178"/>
      <c r="I89" s="178"/>
      <c r="J89" s="178"/>
      <c r="K89" s="178"/>
      <c r="L89" s="178"/>
      <c r="M89" s="178"/>
      <c r="N89" s="178"/>
      <c r="O89" s="178"/>
      <c r="P89" s="178"/>
      <c r="Q89" s="178"/>
      <c r="R89" s="178"/>
      <c r="S89" s="178"/>
      <c r="T89" s="178"/>
      <c r="U89" s="178"/>
      <c r="V89" s="178"/>
      <c r="W89" s="178"/>
    </row>
    <row r="90" spans="1:23">
      <c r="A90" s="184" t="s">
        <v>112</v>
      </c>
      <c r="B90" s="172" t="s">
        <v>186</v>
      </c>
      <c r="C90" s="178">
        <f>'Staff Calcs '!M19</f>
        <v>41.8</v>
      </c>
      <c r="D90" s="178">
        <f>'Staff Calcs '!L19</f>
        <v>1.7085139049766029</v>
      </c>
      <c r="E90" s="171">
        <f t="shared" si="8"/>
        <v>43.508513904976603</v>
      </c>
      <c r="F90" s="178"/>
      <c r="G90" s="178"/>
      <c r="H90" s="178"/>
      <c r="I90" s="178"/>
      <c r="J90" s="178"/>
      <c r="K90" s="178"/>
      <c r="L90" s="178"/>
      <c r="M90" s="178"/>
      <c r="N90" s="178"/>
      <c r="O90" s="178"/>
      <c r="P90" s="178"/>
      <c r="Q90" s="178"/>
      <c r="R90" s="178"/>
      <c r="S90" s="178"/>
      <c r="T90" s="178"/>
      <c r="U90" s="178"/>
      <c r="V90" s="178"/>
      <c r="W90" s="178"/>
    </row>
    <row r="91" spans="1:23">
      <c r="A91" s="184" t="s">
        <v>113</v>
      </c>
      <c r="B91" s="172" t="s">
        <v>186</v>
      </c>
      <c r="C91" s="178">
        <f>'Staff Calcs '!M20</f>
        <v>59.42</v>
      </c>
      <c r="D91" s="178">
        <f>'Staff Calcs '!L20</f>
        <v>2.4942193736232499</v>
      </c>
      <c r="E91" s="171">
        <f t="shared" si="8"/>
        <v>61.914219373623254</v>
      </c>
      <c r="F91" s="178"/>
      <c r="G91" s="178"/>
      <c r="H91" s="178"/>
      <c r="I91" s="178"/>
      <c r="J91" s="178"/>
      <c r="K91" s="178"/>
      <c r="L91" s="178"/>
      <c r="M91" s="178"/>
      <c r="N91" s="178"/>
      <c r="O91" s="178"/>
      <c r="P91" s="178"/>
      <c r="Q91" s="178"/>
      <c r="R91" s="178"/>
      <c r="S91" s="178"/>
      <c r="T91" s="178"/>
      <c r="U91" s="178"/>
      <c r="V91" s="178"/>
      <c r="W91" s="178"/>
    </row>
    <row r="92" spans="1:23">
      <c r="A92" s="184" t="s">
        <v>114</v>
      </c>
      <c r="B92" s="172" t="s">
        <v>186</v>
      </c>
      <c r="C92" s="178">
        <f>'Staff Calcs '!M21</f>
        <v>74.23</v>
      </c>
      <c r="D92" s="178">
        <f>'Staff Calcs '!L21</f>
        <v>3.2324661226872138</v>
      </c>
      <c r="E92" s="171">
        <f t="shared" si="8"/>
        <v>77.462466122687218</v>
      </c>
      <c r="F92" s="178"/>
      <c r="G92" s="178"/>
      <c r="H92" s="178"/>
      <c r="I92" s="178"/>
      <c r="J92" s="178"/>
      <c r="K92" s="178"/>
      <c r="L92" s="178"/>
      <c r="M92" s="178"/>
      <c r="N92" s="178"/>
      <c r="O92" s="178"/>
      <c r="P92" s="178"/>
      <c r="Q92" s="178"/>
      <c r="R92" s="178"/>
      <c r="S92" s="178"/>
      <c r="T92" s="178"/>
      <c r="U92" s="178"/>
      <c r="V92" s="178"/>
      <c r="W92" s="178"/>
    </row>
    <row r="93" spans="1:23">
      <c r="A93" s="184" t="s">
        <v>115</v>
      </c>
      <c r="B93" s="172" t="s">
        <v>186</v>
      </c>
      <c r="C93" s="178">
        <f>'Staff Calcs '!M22</f>
        <v>110.16</v>
      </c>
      <c r="D93" s="178">
        <f>'Staff Calcs '!L22</f>
        <v>4.4294804943837836</v>
      </c>
      <c r="E93" s="171">
        <f t="shared" si="8"/>
        <v>114.58948049438378</v>
      </c>
      <c r="F93" s="178"/>
      <c r="G93" s="178"/>
      <c r="H93" s="178"/>
      <c r="I93" s="178"/>
      <c r="J93" s="178"/>
      <c r="K93" s="178"/>
      <c r="L93" s="178"/>
      <c r="M93" s="178"/>
      <c r="N93" s="178"/>
      <c r="O93" s="178"/>
      <c r="P93" s="178"/>
      <c r="Q93" s="178"/>
      <c r="R93" s="178"/>
      <c r="S93" s="178"/>
      <c r="T93" s="178"/>
      <c r="U93" s="178"/>
      <c r="V93" s="178"/>
      <c r="W93" s="178"/>
    </row>
    <row r="94" spans="1:23">
      <c r="A94" s="184" t="s">
        <v>116</v>
      </c>
      <c r="B94" s="172" t="s">
        <v>186</v>
      </c>
      <c r="C94" s="178">
        <f>'Staff Calcs '!M23</f>
        <v>138.53</v>
      </c>
      <c r="D94" s="178">
        <f>'Staff Calcs '!L23</f>
        <v>5.1677272434477484</v>
      </c>
      <c r="E94" s="171">
        <f t="shared" si="8"/>
        <v>143.69772724344776</v>
      </c>
      <c r="F94" s="178"/>
      <c r="G94" s="178"/>
      <c r="H94" s="178"/>
      <c r="I94" s="178"/>
      <c r="J94" s="178"/>
      <c r="K94" s="178"/>
      <c r="L94" s="178"/>
      <c r="M94" s="178"/>
      <c r="N94" s="178"/>
      <c r="O94" s="178"/>
      <c r="P94" s="178"/>
      <c r="Q94" s="178"/>
      <c r="R94" s="178"/>
      <c r="S94" s="178"/>
      <c r="T94" s="178"/>
      <c r="U94" s="178"/>
      <c r="V94" s="178"/>
      <c r="W94" s="178"/>
    </row>
    <row r="95" spans="1:23">
      <c r="A95" s="184"/>
      <c r="B95" s="172"/>
      <c r="C95" s="178"/>
      <c r="D95" s="171"/>
      <c r="E95" s="171"/>
      <c r="F95" s="178"/>
      <c r="G95" s="178"/>
      <c r="H95" s="178"/>
      <c r="I95" s="178"/>
      <c r="J95" s="178"/>
      <c r="K95" s="178"/>
      <c r="L95" s="178"/>
      <c r="M95" s="178"/>
      <c r="N95" s="178"/>
      <c r="O95" s="178"/>
      <c r="P95" s="178"/>
    </row>
    <row r="96" spans="1:23">
      <c r="A96" s="183" t="s">
        <v>139</v>
      </c>
      <c r="B96" s="181" t="s">
        <v>186</v>
      </c>
      <c r="C96" s="182">
        <f>'Staff Calcs '!M77</f>
        <v>9.32</v>
      </c>
      <c r="D96" s="182">
        <f>'Staff Calcs '!L77</f>
        <v>0.1529225408775354</v>
      </c>
      <c r="E96" s="182">
        <f t="shared" si="8"/>
        <v>9.4729225408775353</v>
      </c>
      <c r="F96" s="178"/>
      <c r="G96" s="178"/>
      <c r="H96" s="178"/>
      <c r="I96" s="178"/>
      <c r="J96" s="178"/>
      <c r="K96" s="178"/>
      <c r="L96" s="178"/>
      <c r="M96" s="178"/>
      <c r="N96" s="178"/>
      <c r="O96" s="178"/>
      <c r="P96" s="178"/>
    </row>
    <row r="97" spans="1:16">
      <c r="A97" s="183" t="s">
        <v>129</v>
      </c>
      <c r="B97" s="181" t="s">
        <v>186</v>
      </c>
      <c r="C97" s="182">
        <f>'Staff Calcs '!M78</f>
        <v>10.65</v>
      </c>
      <c r="D97" s="182">
        <f>'Staff Calcs '!L78</f>
        <v>0.2478399800429022</v>
      </c>
      <c r="E97" s="182">
        <f t="shared" si="8"/>
        <v>10.897839980042903</v>
      </c>
      <c r="F97" s="178"/>
      <c r="G97" s="178"/>
      <c r="H97" s="178"/>
      <c r="I97" s="178"/>
      <c r="J97" s="178"/>
      <c r="K97" s="178"/>
      <c r="L97" s="178"/>
      <c r="M97" s="178"/>
      <c r="N97" s="178"/>
      <c r="O97" s="178"/>
      <c r="P97" s="178"/>
    </row>
    <row r="98" spans="1:16">
      <c r="A98" s="183" t="s">
        <v>140</v>
      </c>
      <c r="B98" s="181" t="s">
        <v>186</v>
      </c>
      <c r="C98" s="182">
        <f>'Staff Calcs '!M79</f>
        <v>13.1</v>
      </c>
      <c r="D98" s="182">
        <f>'Staff Calcs '!L79</f>
        <v>0.35857699240249685</v>
      </c>
      <c r="E98" s="182">
        <f t="shared" si="8"/>
        <v>13.458576992402497</v>
      </c>
      <c r="F98" s="178"/>
      <c r="G98" s="178"/>
      <c r="H98" s="178"/>
      <c r="I98" s="178"/>
      <c r="J98" s="178"/>
      <c r="K98" s="178"/>
      <c r="L98" s="178"/>
      <c r="M98" s="178"/>
      <c r="N98" s="178"/>
      <c r="O98" s="178"/>
      <c r="P98" s="178"/>
    </row>
    <row r="99" spans="1:16">
      <c r="A99" s="184" t="s">
        <v>118</v>
      </c>
      <c r="B99" s="172" t="s">
        <v>186</v>
      </c>
      <c r="C99" s="178">
        <f>'Staff Calcs '!M24</f>
        <v>24.02</v>
      </c>
      <c r="D99" s="178">
        <f>'Staff Calcs '!L24</f>
        <v>0.92280843632995502</v>
      </c>
      <c r="E99" s="171">
        <f t="shared" si="8"/>
        <v>24.942808436329955</v>
      </c>
      <c r="F99" s="178"/>
      <c r="G99" s="178"/>
      <c r="H99" s="178"/>
      <c r="I99" s="178"/>
      <c r="J99" s="178"/>
      <c r="K99" s="178"/>
      <c r="L99" s="178"/>
      <c r="M99" s="178"/>
      <c r="N99" s="178"/>
      <c r="O99" s="178"/>
      <c r="P99" s="178"/>
    </row>
    <row r="100" spans="1:16">
      <c r="A100" s="183" t="s">
        <v>132</v>
      </c>
      <c r="B100" s="181" t="s">
        <v>186</v>
      </c>
      <c r="C100" s="182">
        <f>'Staff Calcs '!M80</f>
        <v>31.51</v>
      </c>
      <c r="D100" s="182">
        <f>'Staff Calcs '!L80</f>
        <v>0.92280843632995513</v>
      </c>
      <c r="E100" s="182">
        <f t="shared" si="8"/>
        <v>32.432808436329957</v>
      </c>
      <c r="F100" s="178"/>
      <c r="G100" s="178"/>
      <c r="H100" s="178"/>
      <c r="I100" s="178"/>
      <c r="J100" s="178"/>
      <c r="K100" s="178"/>
      <c r="L100" s="178"/>
      <c r="M100" s="178"/>
      <c r="N100" s="178"/>
      <c r="O100" s="178"/>
      <c r="P100" s="178"/>
    </row>
    <row r="101" spans="1:16">
      <c r="A101" s="184" t="s">
        <v>119</v>
      </c>
      <c r="B101" s="172" t="s">
        <v>186</v>
      </c>
      <c r="C101" s="178">
        <f>'Staff Calcs '!M25</f>
        <v>45.51</v>
      </c>
      <c r="D101" s="178">
        <f>'Staff Calcs '!L25</f>
        <v>1.7085139049766025</v>
      </c>
      <c r="E101" s="171">
        <f t="shared" si="8"/>
        <v>47.218513904976604</v>
      </c>
      <c r="F101" s="178"/>
      <c r="G101" s="178"/>
      <c r="H101" s="178"/>
      <c r="I101" s="178"/>
      <c r="J101" s="178"/>
      <c r="K101" s="178"/>
      <c r="L101" s="178"/>
      <c r="M101" s="178"/>
      <c r="N101" s="178"/>
      <c r="O101" s="178"/>
      <c r="P101" s="178"/>
    </row>
    <row r="102" spans="1:16">
      <c r="A102" s="184" t="s">
        <v>120</v>
      </c>
      <c r="B102" s="172" t="s">
        <v>186</v>
      </c>
      <c r="C102" s="178">
        <f>'Staff Calcs '!M26</f>
        <v>63.02</v>
      </c>
      <c r="D102" s="178">
        <f>'Staff Calcs '!L26</f>
        <v>2.4942193736232503</v>
      </c>
      <c r="E102" s="171">
        <f t="shared" si="8"/>
        <v>65.514219373623249</v>
      </c>
      <c r="F102" s="178"/>
      <c r="G102" s="178"/>
      <c r="H102" s="178"/>
      <c r="I102" s="178"/>
      <c r="J102" s="178"/>
      <c r="K102" s="178"/>
      <c r="L102" s="178"/>
      <c r="M102" s="178"/>
      <c r="N102" s="178"/>
      <c r="O102" s="178"/>
      <c r="P102" s="178"/>
    </row>
    <row r="103" spans="1:16">
      <c r="A103" s="184" t="s">
        <v>121</v>
      </c>
      <c r="B103" s="172" t="s">
        <v>186</v>
      </c>
      <c r="C103" s="178">
        <f>'Staff Calcs '!M27</f>
        <v>77.63</v>
      </c>
      <c r="D103" s="178">
        <f>'Staff Calcs '!L27</f>
        <v>3.2324661226872138</v>
      </c>
      <c r="E103" s="171">
        <f t="shared" si="8"/>
        <v>80.862466122687209</v>
      </c>
      <c r="F103" s="178"/>
      <c r="G103" s="178"/>
      <c r="H103" s="178"/>
      <c r="I103" s="178"/>
      <c r="J103" s="178"/>
      <c r="K103" s="178"/>
      <c r="L103" s="178"/>
      <c r="M103" s="178"/>
      <c r="N103" s="178"/>
      <c r="O103" s="178"/>
      <c r="P103" s="178"/>
    </row>
    <row r="104" spans="1:16">
      <c r="A104" s="184" t="s">
        <v>122</v>
      </c>
      <c r="B104" s="172" t="s">
        <v>186</v>
      </c>
      <c r="C104" s="178">
        <f>'Staff Calcs '!M28</f>
        <v>116.41</v>
      </c>
      <c r="D104" s="178">
        <f>'Staff Calcs '!L28</f>
        <v>4.4294804943837844</v>
      </c>
      <c r="E104" s="171">
        <f t="shared" si="8"/>
        <v>120.83948049438378</v>
      </c>
      <c r="F104" s="178"/>
      <c r="G104" s="178"/>
      <c r="H104" s="178"/>
      <c r="I104" s="178"/>
      <c r="J104" s="178"/>
      <c r="K104" s="178"/>
      <c r="L104" s="178"/>
      <c r="M104" s="178"/>
      <c r="N104" s="178"/>
      <c r="O104" s="178"/>
      <c r="P104" s="178"/>
    </row>
    <row r="105" spans="1:16">
      <c r="A105" s="184" t="s">
        <v>123</v>
      </c>
      <c r="B105" s="172" t="s">
        <v>186</v>
      </c>
      <c r="C105" s="178">
        <f>'Staff Calcs '!M29</f>
        <v>141.35</v>
      </c>
      <c r="D105" s="178">
        <f>'Staff Calcs '!L29</f>
        <v>5.1677272434477475</v>
      </c>
      <c r="E105" s="171">
        <f t="shared" si="8"/>
        <v>146.51772724344775</v>
      </c>
      <c r="F105" s="178"/>
      <c r="G105" s="178"/>
      <c r="H105" s="178"/>
      <c r="I105" s="178"/>
      <c r="J105" s="178"/>
      <c r="K105" s="178"/>
      <c r="L105" s="178"/>
      <c r="M105" s="178"/>
      <c r="N105" s="178"/>
      <c r="O105" s="178"/>
      <c r="P105" s="178"/>
    </row>
    <row r="106" spans="1:16">
      <c r="A106" s="172"/>
      <c r="B106" s="172"/>
      <c r="C106" s="178"/>
      <c r="D106" s="178"/>
      <c r="E106" s="171"/>
      <c r="F106" s="178"/>
      <c r="G106" s="178"/>
      <c r="H106" s="178"/>
      <c r="I106" s="178"/>
      <c r="J106" s="178"/>
      <c r="K106" s="178"/>
      <c r="L106" s="178"/>
      <c r="M106" s="178"/>
      <c r="N106" s="178"/>
      <c r="O106" s="178"/>
      <c r="P106" s="178"/>
    </row>
    <row r="107" spans="1:16">
      <c r="A107" s="183" t="s">
        <v>154</v>
      </c>
      <c r="B107" s="181" t="s">
        <v>186</v>
      </c>
      <c r="C107" s="182">
        <f>'Staff Calcs '!M105</f>
        <v>24.02</v>
      </c>
      <c r="D107" s="182">
        <f>'Staff Calcs '!L105</f>
        <v>0.92280843632995513</v>
      </c>
      <c r="E107" s="182">
        <f t="shared" ref="E107:E113" si="9">C107+D107</f>
        <v>24.942808436329955</v>
      </c>
      <c r="F107" s="178"/>
      <c r="G107" s="178"/>
      <c r="H107" s="178"/>
      <c r="I107" s="178"/>
      <c r="J107" s="178"/>
      <c r="K107" s="178"/>
      <c r="L107" s="178"/>
      <c r="M107" s="178"/>
      <c r="N107" s="178"/>
      <c r="O107" s="178"/>
      <c r="P107" s="178"/>
    </row>
    <row r="108" spans="1:16">
      <c r="A108" s="183" t="s">
        <v>155</v>
      </c>
      <c r="B108" s="181" t="s">
        <v>186</v>
      </c>
      <c r="C108" s="182">
        <f>'Staff Calcs '!M106</f>
        <v>31.51</v>
      </c>
      <c r="D108" s="182">
        <f>'Staff Calcs '!L106</f>
        <v>1.3182977661856501</v>
      </c>
      <c r="E108" s="182">
        <f t="shared" si="9"/>
        <v>32.828297766185649</v>
      </c>
      <c r="F108" s="178"/>
      <c r="G108" s="178"/>
      <c r="H108" s="178"/>
      <c r="I108" s="178"/>
      <c r="J108" s="178"/>
      <c r="K108" s="178"/>
      <c r="L108" s="178"/>
      <c r="M108" s="178"/>
      <c r="N108" s="178"/>
      <c r="O108" s="178"/>
      <c r="P108" s="178"/>
    </row>
    <row r="109" spans="1:16">
      <c r="A109" s="183" t="s">
        <v>156</v>
      </c>
      <c r="B109" s="181" t="s">
        <v>186</v>
      </c>
      <c r="C109" s="182">
        <f>'Staff Calcs '!M107</f>
        <v>45.51</v>
      </c>
      <c r="D109" s="182">
        <f>'Staff Calcs '!L107</f>
        <v>1.7085139049766027</v>
      </c>
      <c r="E109" s="182">
        <f t="shared" si="9"/>
        <v>47.218513904976604</v>
      </c>
      <c r="F109" s="178"/>
      <c r="G109" s="178"/>
      <c r="H109" s="178"/>
      <c r="I109" s="178"/>
      <c r="J109" s="178"/>
      <c r="K109" s="178"/>
      <c r="L109" s="178"/>
      <c r="M109" s="178"/>
      <c r="N109" s="178"/>
      <c r="O109" s="178"/>
      <c r="P109" s="178"/>
    </row>
    <row r="110" spans="1:16">
      <c r="A110" s="183" t="s">
        <v>157</v>
      </c>
      <c r="B110" s="181" t="s">
        <v>186</v>
      </c>
      <c r="C110" s="182">
        <f>'Staff Calcs '!M108</f>
        <v>63.02</v>
      </c>
      <c r="D110" s="182">
        <f>'Staff Calcs '!L108</f>
        <v>2.4942193736232499</v>
      </c>
      <c r="E110" s="182">
        <f t="shared" si="9"/>
        <v>65.514219373623249</v>
      </c>
      <c r="F110" s="178"/>
      <c r="G110" s="178"/>
      <c r="H110" s="178"/>
      <c r="I110" s="178"/>
      <c r="J110" s="178"/>
      <c r="K110" s="178"/>
      <c r="L110" s="178"/>
      <c r="M110" s="178"/>
      <c r="N110" s="178"/>
      <c r="O110" s="178"/>
      <c r="P110" s="178"/>
    </row>
    <row r="111" spans="1:16">
      <c r="A111" s="183" t="s">
        <v>158</v>
      </c>
      <c r="B111" s="181" t="s">
        <v>186</v>
      </c>
      <c r="C111" s="182">
        <f>'Staff Calcs '!M109</f>
        <v>77.63</v>
      </c>
      <c r="D111" s="182">
        <f>'Staff Calcs '!L109</f>
        <v>3.2324661226872142</v>
      </c>
      <c r="E111" s="182">
        <f t="shared" si="9"/>
        <v>80.862466122687209</v>
      </c>
      <c r="F111" s="178"/>
      <c r="G111" s="178"/>
      <c r="H111" s="178"/>
      <c r="I111" s="178"/>
      <c r="J111" s="178"/>
      <c r="K111" s="178"/>
      <c r="L111" s="178"/>
      <c r="M111" s="178"/>
      <c r="N111" s="178"/>
      <c r="O111" s="178"/>
      <c r="P111" s="178"/>
    </row>
    <row r="112" spans="1:16">
      <c r="A112" s="183" t="s">
        <v>159</v>
      </c>
      <c r="B112" s="181" t="s">
        <v>186</v>
      </c>
      <c r="C112" s="182">
        <f>'Staff Calcs '!M110</f>
        <v>116.41</v>
      </c>
      <c r="D112" s="182">
        <f>'Staff Calcs '!L110</f>
        <v>4.4294804943837844</v>
      </c>
      <c r="E112" s="182">
        <f t="shared" si="9"/>
        <v>120.83948049438378</v>
      </c>
      <c r="F112" s="178"/>
      <c r="G112" s="178"/>
      <c r="H112" s="178"/>
      <c r="I112" s="178"/>
      <c r="J112" s="178"/>
      <c r="K112" s="178"/>
      <c r="L112" s="178"/>
      <c r="M112" s="178"/>
      <c r="N112" s="178"/>
      <c r="O112" s="178"/>
      <c r="P112" s="178"/>
    </row>
    <row r="113" spans="1:20">
      <c r="A113" s="183" t="s">
        <v>160</v>
      </c>
      <c r="B113" s="181" t="s">
        <v>186</v>
      </c>
      <c r="C113" s="182">
        <f>'Staff Calcs '!M111</f>
        <v>141.35</v>
      </c>
      <c r="D113" s="182">
        <f>'Staff Calcs '!L111</f>
        <v>5.1677272434477493</v>
      </c>
      <c r="E113" s="182">
        <f t="shared" si="9"/>
        <v>146.51772724344775</v>
      </c>
      <c r="F113" s="178"/>
      <c r="G113" s="178"/>
      <c r="H113" s="178"/>
      <c r="I113" s="178"/>
      <c r="J113" s="178"/>
      <c r="K113" s="178"/>
      <c r="L113" s="178"/>
      <c r="M113" s="178"/>
      <c r="N113" s="178"/>
      <c r="O113" s="178"/>
      <c r="P113" s="178"/>
    </row>
    <row r="114" spans="1:20">
      <c r="A114" s="172"/>
      <c r="B114" s="172"/>
      <c r="D114" s="171"/>
      <c r="E114" s="171"/>
      <c r="F114" s="166"/>
      <c r="G114" s="166"/>
      <c r="H114" s="166"/>
      <c r="I114" s="166"/>
      <c r="J114" s="166"/>
      <c r="K114" s="166"/>
      <c r="L114" s="166"/>
      <c r="M114" s="166"/>
      <c r="N114" s="166"/>
      <c r="O114" s="166"/>
      <c r="P114" s="166"/>
    </row>
    <row r="115" spans="1:20">
      <c r="A115" s="255" t="s">
        <v>145</v>
      </c>
      <c r="B115" s="172"/>
      <c r="C115" s="178"/>
      <c r="D115" s="171"/>
      <c r="E115" s="171"/>
      <c r="F115" s="178"/>
      <c r="G115" s="178"/>
      <c r="H115" s="178"/>
      <c r="I115" s="178"/>
      <c r="J115" s="178"/>
      <c r="K115" s="178"/>
      <c r="L115" s="178"/>
      <c r="M115" s="178"/>
      <c r="N115" s="178"/>
      <c r="O115" s="178"/>
      <c r="P115" s="178"/>
    </row>
    <row r="116" spans="1:20">
      <c r="A116" s="184" t="s">
        <v>108</v>
      </c>
      <c r="B116" s="172" t="s">
        <v>186</v>
      </c>
      <c r="C116" s="178">
        <f>'Staff Calcs '!M30</f>
        <v>4.3</v>
      </c>
      <c r="D116" s="178">
        <f>'Staff Calcs '!L30</f>
        <v>0.1529225408775354</v>
      </c>
      <c r="E116" s="171">
        <f t="shared" si="8"/>
        <v>4.4529225408775348</v>
      </c>
      <c r="F116" s="178"/>
      <c r="G116" s="178"/>
      <c r="H116" s="178"/>
      <c r="I116" s="178"/>
      <c r="J116" s="178"/>
      <c r="K116" s="178"/>
      <c r="L116" s="178"/>
      <c r="M116" s="178"/>
      <c r="N116" s="178"/>
      <c r="O116" s="178"/>
      <c r="P116" s="178"/>
    </row>
    <row r="117" spans="1:20">
      <c r="A117" s="183" t="s">
        <v>127</v>
      </c>
      <c r="B117" s="181" t="s">
        <v>186</v>
      </c>
      <c r="C117" s="182">
        <f>'Staff Calcs '!M81</f>
        <v>7.02</v>
      </c>
      <c r="D117" s="182">
        <f>'Staff Calcs '!L81</f>
        <v>0.2478399800429022</v>
      </c>
      <c r="E117" s="182">
        <f t="shared" si="8"/>
        <v>7.2678399800429014</v>
      </c>
      <c r="F117" s="178"/>
      <c r="G117" s="178"/>
      <c r="H117" s="178"/>
      <c r="I117" s="178"/>
      <c r="J117" s="178"/>
      <c r="K117" s="178"/>
      <c r="L117" s="178"/>
      <c r="M117" s="178"/>
      <c r="N117" s="178"/>
      <c r="O117" s="178"/>
      <c r="P117" s="178"/>
      <c r="Q117" s="178"/>
      <c r="R117" s="178"/>
      <c r="S117" s="178"/>
      <c r="T117" s="178"/>
    </row>
    <row r="118" spans="1:20">
      <c r="A118" s="183" t="s">
        <v>109</v>
      </c>
      <c r="B118" s="181" t="s">
        <v>186</v>
      </c>
      <c r="C118" s="182">
        <f>'Staff Calcs '!M82</f>
        <v>10.49</v>
      </c>
      <c r="D118" s="182">
        <f>'Staff Calcs '!L82</f>
        <v>0.35857699240249685</v>
      </c>
      <c r="E118" s="182">
        <f t="shared" si="8"/>
        <v>10.848576992402498</v>
      </c>
      <c r="F118" s="178"/>
      <c r="G118" s="178"/>
      <c r="H118" s="178"/>
      <c r="I118" s="178"/>
      <c r="J118" s="178"/>
      <c r="K118" s="178"/>
      <c r="L118" s="178"/>
      <c r="M118" s="178"/>
      <c r="N118" s="178"/>
      <c r="O118" s="178"/>
      <c r="P118" s="178"/>
      <c r="Q118" s="178"/>
      <c r="R118" s="178"/>
      <c r="S118" s="178"/>
      <c r="T118" s="178"/>
    </row>
    <row r="119" spans="1:20">
      <c r="A119" s="168"/>
      <c r="B119" s="172"/>
      <c r="C119" s="178"/>
      <c r="D119" s="171"/>
      <c r="E119" s="171">
        <f t="shared" si="8"/>
        <v>0</v>
      </c>
      <c r="F119" s="178"/>
      <c r="G119" s="178"/>
      <c r="H119" s="178"/>
      <c r="I119" s="178"/>
      <c r="J119" s="178"/>
      <c r="K119" s="178"/>
      <c r="L119" s="178"/>
      <c r="M119" s="178"/>
      <c r="N119" s="178"/>
      <c r="O119" s="178"/>
      <c r="P119" s="178"/>
    </row>
    <row r="120" spans="1:20">
      <c r="A120" s="183" t="s">
        <v>139</v>
      </c>
      <c r="B120" s="181" t="s">
        <v>186</v>
      </c>
      <c r="C120" s="182">
        <f>'Staff Calcs '!M83</f>
        <v>9.33</v>
      </c>
      <c r="D120" s="182">
        <f>'Staff Calcs '!L83</f>
        <v>0.1529225408775354</v>
      </c>
      <c r="E120" s="182">
        <f t="shared" si="8"/>
        <v>9.4829225408775351</v>
      </c>
      <c r="F120" s="178"/>
      <c r="G120" s="178"/>
      <c r="H120" s="178"/>
      <c r="I120" s="178"/>
      <c r="J120" s="178"/>
      <c r="K120" s="178"/>
      <c r="L120" s="178"/>
      <c r="M120" s="178"/>
      <c r="N120" s="178"/>
      <c r="O120" s="178"/>
      <c r="P120" s="178"/>
    </row>
    <row r="121" spans="1:20">
      <c r="A121" s="183" t="s">
        <v>129</v>
      </c>
      <c r="B121" s="181" t="s">
        <v>186</v>
      </c>
      <c r="C121" s="182">
        <f>'Staff Calcs '!M84</f>
        <v>10.65</v>
      </c>
      <c r="D121" s="182">
        <f>'Staff Calcs '!L84</f>
        <v>0.2478399800429022</v>
      </c>
      <c r="E121" s="182">
        <f t="shared" si="8"/>
        <v>10.897839980042903</v>
      </c>
      <c r="F121" s="178"/>
      <c r="G121" s="178"/>
      <c r="H121" s="178"/>
      <c r="I121" s="178"/>
      <c r="J121" s="178"/>
      <c r="K121" s="178"/>
      <c r="L121" s="178"/>
      <c r="M121" s="178"/>
      <c r="N121" s="178"/>
      <c r="O121" s="178"/>
      <c r="P121" s="178"/>
    </row>
    <row r="122" spans="1:20">
      <c r="A122" s="183" t="s">
        <v>140</v>
      </c>
      <c r="B122" s="181" t="s">
        <v>186</v>
      </c>
      <c r="C122" s="182">
        <f>'Staff Calcs '!M85</f>
        <v>13.11</v>
      </c>
      <c r="D122" s="182">
        <f>'Staff Calcs '!L85</f>
        <v>0.35857699240249685</v>
      </c>
      <c r="E122" s="182">
        <f t="shared" si="8"/>
        <v>13.468576992402497</v>
      </c>
      <c r="F122" s="178"/>
      <c r="G122" s="178"/>
      <c r="H122" s="178"/>
      <c r="I122" s="178"/>
      <c r="J122" s="178"/>
      <c r="K122" s="178"/>
      <c r="L122" s="178"/>
      <c r="M122" s="178"/>
      <c r="N122" s="178"/>
      <c r="O122" s="178"/>
      <c r="P122" s="178"/>
    </row>
    <row r="123" spans="1:20">
      <c r="A123" s="168"/>
      <c r="B123" s="172"/>
      <c r="C123" s="178"/>
      <c r="D123" s="171"/>
      <c r="E123" s="171"/>
      <c r="F123" s="178"/>
      <c r="G123" s="178"/>
      <c r="H123" s="178"/>
      <c r="I123" s="178"/>
      <c r="J123" s="178"/>
      <c r="K123" s="178"/>
      <c r="L123" s="178"/>
      <c r="M123" s="178"/>
      <c r="N123" s="178"/>
      <c r="O123" s="178"/>
      <c r="P123" s="178"/>
    </row>
    <row r="124" spans="1:20">
      <c r="A124" s="168" t="s">
        <v>147</v>
      </c>
      <c r="B124" s="172"/>
      <c r="C124" s="178"/>
      <c r="D124" s="171"/>
      <c r="E124" s="171"/>
      <c r="F124" s="178"/>
      <c r="G124" s="178"/>
      <c r="H124" s="178"/>
      <c r="I124" s="178"/>
      <c r="J124" s="178"/>
      <c r="K124" s="178"/>
      <c r="L124" s="178"/>
      <c r="M124" s="178"/>
      <c r="N124" s="178"/>
      <c r="O124" s="178"/>
      <c r="P124" s="178"/>
    </row>
    <row r="125" spans="1:20">
      <c r="A125" s="181" t="s">
        <v>133</v>
      </c>
      <c r="B125" s="181" t="s">
        <v>186</v>
      </c>
      <c r="C125" s="182">
        <f>'Staff Calcs '!M86</f>
        <v>126.29</v>
      </c>
      <c r="D125" s="182">
        <f>'Staff Calcs '!L86</f>
        <v>2.5416780932059333</v>
      </c>
      <c r="E125" s="182">
        <f t="shared" ref="E125:E126" si="10">C125+D125</f>
        <v>128.83167809320594</v>
      </c>
      <c r="F125" s="178"/>
      <c r="G125" s="178"/>
      <c r="H125" s="178"/>
      <c r="I125" s="178"/>
      <c r="J125" s="178"/>
      <c r="K125" s="178"/>
      <c r="L125" s="178"/>
      <c r="M125" s="178"/>
      <c r="N125" s="178"/>
      <c r="O125" s="178"/>
      <c r="P125" s="178"/>
    </row>
    <row r="126" spans="1:20">
      <c r="A126" s="181" t="s">
        <v>134</v>
      </c>
      <c r="B126" s="181" t="s">
        <v>186</v>
      </c>
      <c r="C126" s="182">
        <f>'Staff Calcs '!M87</f>
        <v>175.61</v>
      </c>
      <c r="D126" s="182">
        <f>'Staff Calcs '!L87</f>
        <v>4.7036864297503991</v>
      </c>
      <c r="E126" s="182">
        <f t="shared" si="10"/>
        <v>180.31368642975042</v>
      </c>
      <c r="F126" s="178"/>
      <c r="G126" s="178"/>
      <c r="H126" s="178"/>
      <c r="I126" s="178"/>
      <c r="J126" s="178"/>
      <c r="K126" s="178"/>
      <c r="L126" s="178"/>
      <c r="M126" s="178"/>
      <c r="N126" s="178"/>
      <c r="O126" s="178"/>
      <c r="P126" s="178"/>
    </row>
    <row r="127" spans="1:20">
      <c r="A127" s="181" t="s">
        <v>135</v>
      </c>
      <c r="B127" s="181" t="s">
        <v>186</v>
      </c>
      <c r="C127" s="182">
        <f>'Staff Calcs '!M88</f>
        <v>216.14</v>
      </c>
      <c r="D127" s="182">
        <f>'Staff Calcs '!L88</f>
        <v>6.8604215752301236</v>
      </c>
      <c r="E127" s="182">
        <f t="shared" si="8"/>
        <v>223.00042157523012</v>
      </c>
      <c r="F127" s="178"/>
      <c r="G127" s="178"/>
      <c r="H127" s="178"/>
      <c r="I127" s="178"/>
      <c r="J127" s="178"/>
      <c r="K127" s="178"/>
      <c r="L127" s="178"/>
      <c r="M127" s="178"/>
      <c r="N127" s="178"/>
      <c r="O127" s="178"/>
      <c r="P127" s="178"/>
      <c r="Q127" s="178"/>
      <c r="R127" s="178"/>
    </row>
    <row r="128" spans="1:20">
      <c r="A128" s="181" t="s">
        <v>136</v>
      </c>
      <c r="B128" s="181" t="s">
        <v>186</v>
      </c>
      <c r="C128" s="182">
        <f>'Staff Calcs '!M89</f>
        <v>253.77</v>
      </c>
      <c r="D128" s="182">
        <f>'Staff Calcs '!L89</f>
        <v>8.8906001351560242</v>
      </c>
      <c r="E128" s="182">
        <f t="shared" si="8"/>
        <v>262.66060013515602</v>
      </c>
      <c r="F128" s="178"/>
      <c r="G128" s="178"/>
      <c r="H128" s="178"/>
      <c r="I128" s="178"/>
      <c r="J128" s="178"/>
      <c r="K128" s="178"/>
      <c r="L128" s="178"/>
      <c r="M128" s="178"/>
      <c r="N128" s="178"/>
      <c r="O128" s="178"/>
      <c r="P128" s="178"/>
      <c r="Q128" s="178"/>
      <c r="R128" s="178"/>
    </row>
    <row r="129" spans="1:18">
      <c r="A129" s="181" t="s">
        <v>137</v>
      </c>
      <c r="B129" s="181" t="s">
        <v>186</v>
      </c>
      <c r="C129" s="182">
        <f>'Staff Calcs '!M90</f>
        <v>291.83</v>
      </c>
      <c r="D129" s="182">
        <f>'Staff Calcs '!L90</f>
        <v>10.788948918463362</v>
      </c>
      <c r="E129" s="182">
        <f t="shared" si="8"/>
        <v>302.61894891846333</v>
      </c>
      <c r="F129" s="178"/>
      <c r="G129" s="178"/>
      <c r="H129" s="178"/>
      <c r="I129" s="178"/>
      <c r="J129" s="178"/>
      <c r="K129" s="178"/>
      <c r="L129" s="178"/>
      <c r="M129" s="178"/>
      <c r="N129" s="178"/>
      <c r="O129" s="178"/>
      <c r="P129" s="178"/>
      <c r="Q129" s="178"/>
      <c r="R129" s="178"/>
    </row>
    <row r="130" spans="1:18">
      <c r="A130" s="181" t="s">
        <v>138</v>
      </c>
      <c r="B130" s="181" t="s">
        <v>186</v>
      </c>
      <c r="C130" s="182">
        <f>'Staff Calcs '!M91</f>
        <v>369.06</v>
      </c>
      <c r="D130" s="182">
        <f>'Staff Calcs '!L91</f>
        <v>12.181071359555409</v>
      </c>
      <c r="E130" s="182">
        <f t="shared" si="8"/>
        <v>381.24107135955541</v>
      </c>
      <c r="F130" s="178"/>
      <c r="G130" s="178"/>
      <c r="H130" s="178"/>
      <c r="I130" s="178"/>
      <c r="J130" s="178"/>
      <c r="K130" s="178"/>
      <c r="L130" s="178"/>
      <c r="M130" s="178"/>
      <c r="N130" s="178"/>
      <c r="O130" s="178"/>
      <c r="P130" s="178"/>
      <c r="Q130" s="178"/>
      <c r="R130" s="178"/>
    </row>
    <row r="131" spans="1:18">
      <c r="A131" s="168"/>
      <c r="B131" s="172"/>
      <c r="C131" s="178"/>
      <c r="D131" s="171"/>
      <c r="E131" s="171">
        <f t="shared" si="8"/>
        <v>0</v>
      </c>
      <c r="F131" s="178"/>
      <c r="G131" s="178"/>
      <c r="H131" s="178"/>
      <c r="I131" s="178"/>
      <c r="J131" s="178"/>
      <c r="K131" s="178"/>
      <c r="L131" s="178"/>
      <c r="M131" s="178"/>
      <c r="N131" s="178"/>
      <c r="O131" s="178"/>
      <c r="P131" s="178"/>
    </row>
    <row r="132" spans="1:18">
      <c r="A132" s="181" t="s">
        <v>199</v>
      </c>
      <c r="B132" s="181" t="s">
        <v>186</v>
      </c>
      <c r="C132" s="182">
        <f>C125</f>
        <v>126.29</v>
      </c>
      <c r="D132" s="182">
        <f>D125</f>
        <v>2.5416780932059333</v>
      </c>
      <c r="E132" s="182">
        <f t="shared" ref="E132:E133" si="11">C132+D132</f>
        <v>128.83167809320594</v>
      </c>
      <c r="F132" s="178"/>
      <c r="G132" s="178"/>
      <c r="H132" s="178"/>
      <c r="I132" s="178"/>
      <c r="J132" s="178"/>
      <c r="K132" s="178"/>
      <c r="L132" s="178"/>
      <c r="M132" s="178"/>
      <c r="N132" s="178"/>
      <c r="O132" s="178"/>
      <c r="P132" s="178"/>
    </row>
    <row r="133" spans="1:18">
      <c r="A133" s="181" t="s">
        <v>200</v>
      </c>
      <c r="B133" s="181" t="s">
        <v>186</v>
      </c>
      <c r="C133" s="182">
        <f t="shared" ref="C133:D133" si="12">C126</f>
        <v>175.61</v>
      </c>
      <c r="D133" s="182">
        <f t="shared" si="12"/>
        <v>4.7036864297503991</v>
      </c>
      <c r="E133" s="182">
        <f t="shared" si="11"/>
        <v>180.31368642975042</v>
      </c>
      <c r="F133" s="178"/>
      <c r="G133" s="178"/>
      <c r="H133" s="178"/>
      <c r="I133" s="178"/>
      <c r="J133" s="178"/>
      <c r="K133" s="178"/>
      <c r="L133" s="178"/>
      <c r="M133" s="178"/>
      <c r="N133" s="178"/>
      <c r="O133" s="178"/>
      <c r="P133" s="178"/>
    </row>
    <row r="134" spans="1:18">
      <c r="A134" s="181" t="s">
        <v>194</v>
      </c>
      <c r="B134" s="181" t="s">
        <v>186</v>
      </c>
      <c r="C134" s="182">
        <f t="shared" ref="C134:D134" si="13">C127</f>
        <v>216.14</v>
      </c>
      <c r="D134" s="182">
        <f t="shared" si="13"/>
        <v>6.8604215752301236</v>
      </c>
      <c r="E134" s="182">
        <f t="shared" si="8"/>
        <v>223.00042157523012</v>
      </c>
      <c r="F134" s="178"/>
      <c r="G134" s="178"/>
      <c r="H134" s="178"/>
      <c r="I134" s="178"/>
      <c r="J134" s="178"/>
      <c r="K134" s="178"/>
      <c r="L134" s="178"/>
      <c r="M134" s="178"/>
      <c r="N134" s="178"/>
      <c r="O134" s="178"/>
      <c r="P134" s="178"/>
      <c r="Q134" s="178"/>
      <c r="R134" s="178"/>
    </row>
    <row r="135" spans="1:18">
      <c r="A135" s="181" t="s">
        <v>195</v>
      </c>
      <c r="B135" s="181" t="s">
        <v>186</v>
      </c>
      <c r="C135" s="182">
        <f t="shared" ref="C135:D135" si="14">C128</f>
        <v>253.77</v>
      </c>
      <c r="D135" s="182">
        <f t="shared" si="14"/>
        <v>8.8906001351560242</v>
      </c>
      <c r="E135" s="182">
        <f t="shared" si="8"/>
        <v>262.66060013515602</v>
      </c>
      <c r="F135" s="178"/>
      <c r="G135" s="178"/>
      <c r="H135" s="178"/>
      <c r="I135" s="178"/>
      <c r="J135" s="178"/>
      <c r="K135" s="178"/>
      <c r="L135" s="178"/>
      <c r="M135" s="178"/>
      <c r="N135" s="178"/>
      <c r="O135" s="178"/>
      <c r="P135" s="178"/>
      <c r="Q135" s="178"/>
      <c r="R135" s="178"/>
    </row>
    <row r="136" spans="1:18">
      <c r="A136" s="181" t="s">
        <v>196</v>
      </c>
      <c r="B136" s="181" t="s">
        <v>186</v>
      </c>
      <c r="C136" s="182">
        <f t="shared" ref="C136:D136" si="15">C129</f>
        <v>291.83</v>
      </c>
      <c r="D136" s="182">
        <f t="shared" si="15"/>
        <v>10.788948918463362</v>
      </c>
      <c r="E136" s="182">
        <f t="shared" si="8"/>
        <v>302.61894891846333</v>
      </c>
      <c r="F136" s="178"/>
      <c r="G136" s="178"/>
      <c r="H136" s="178"/>
      <c r="I136" s="178"/>
      <c r="J136" s="178"/>
      <c r="K136" s="178"/>
      <c r="L136" s="178"/>
      <c r="M136" s="178"/>
      <c r="N136" s="178"/>
      <c r="O136" s="178"/>
      <c r="P136" s="178"/>
      <c r="Q136" s="178"/>
      <c r="R136" s="178"/>
    </row>
    <row r="137" spans="1:18">
      <c r="A137" s="181" t="s">
        <v>197</v>
      </c>
      <c r="B137" s="181" t="s">
        <v>186</v>
      </c>
      <c r="C137" s="182">
        <f t="shared" ref="C137:D137" si="16">C130</f>
        <v>369.06</v>
      </c>
      <c r="D137" s="182">
        <f t="shared" si="16"/>
        <v>12.181071359555409</v>
      </c>
      <c r="E137" s="182">
        <f t="shared" si="8"/>
        <v>381.24107135955541</v>
      </c>
      <c r="F137" s="178"/>
      <c r="G137" s="178"/>
      <c r="H137" s="178"/>
      <c r="I137" s="178"/>
      <c r="J137" s="178"/>
      <c r="K137" s="178"/>
      <c r="L137" s="178"/>
      <c r="M137" s="178"/>
      <c r="N137" s="178"/>
      <c r="O137" s="178"/>
      <c r="P137" s="178"/>
      <c r="Q137" s="178"/>
      <c r="R137" s="178"/>
    </row>
    <row r="138" spans="1:18">
      <c r="E138" s="171"/>
      <c r="F138" s="166"/>
      <c r="G138" s="166"/>
      <c r="H138" s="166"/>
      <c r="I138" s="166"/>
      <c r="J138" s="166"/>
      <c r="K138" s="166"/>
      <c r="L138" s="166"/>
      <c r="M138" s="166"/>
      <c r="N138" s="166"/>
      <c r="O138" s="166"/>
      <c r="P138" s="166"/>
    </row>
    <row r="139" spans="1:18">
      <c r="A139" s="168" t="s">
        <v>146</v>
      </c>
      <c r="B139" s="172"/>
      <c r="C139" s="178"/>
      <c r="D139" s="171"/>
      <c r="E139" s="171"/>
      <c r="F139" s="178"/>
      <c r="G139" s="178"/>
      <c r="H139" s="178"/>
      <c r="I139" s="178"/>
      <c r="J139" s="178"/>
      <c r="K139" s="178"/>
      <c r="L139" s="178"/>
      <c r="M139" s="178"/>
      <c r="N139" s="178"/>
      <c r="O139" s="178"/>
      <c r="P139" s="178"/>
    </row>
    <row r="140" spans="1:18">
      <c r="A140" s="181" t="s">
        <v>133</v>
      </c>
      <c r="B140" s="181" t="s">
        <v>186</v>
      </c>
      <c r="C140" s="182">
        <f>'Staff Calcs '!M92</f>
        <v>138.03</v>
      </c>
      <c r="D140" s="182">
        <f>'Staff Calcs '!L92</f>
        <v>2.5416780932059333</v>
      </c>
      <c r="E140" s="182">
        <f t="shared" si="8"/>
        <v>140.57167809320595</v>
      </c>
      <c r="F140" s="178"/>
      <c r="G140" s="178"/>
      <c r="H140" s="178"/>
      <c r="I140" s="178"/>
      <c r="J140" s="178"/>
      <c r="K140" s="178"/>
      <c r="L140" s="178"/>
      <c r="M140" s="178"/>
      <c r="N140" s="178"/>
      <c r="O140" s="178"/>
      <c r="P140" s="178"/>
    </row>
    <row r="141" spans="1:18">
      <c r="A141" s="181" t="s">
        <v>134</v>
      </c>
      <c r="B141" s="181" t="s">
        <v>186</v>
      </c>
      <c r="C141" s="182">
        <f>'Staff Calcs '!M93</f>
        <v>207.77</v>
      </c>
      <c r="D141" s="182">
        <f>'Staff Calcs '!L93</f>
        <v>4.7036864297503991</v>
      </c>
      <c r="E141" s="182">
        <f t="shared" si="8"/>
        <v>212.47368642975042</v>
      </c>
      <c r="F141" s="178"/>
      <c r="G141" s="178"/>
      <c r="H141" s="178"/>
      <c r="I141" s="178"/>
      <c r="J141" s="178"/>
      <c r="K141" s="178"/>
      <c r="L141" s="178"/>
      <c r="M141" s="178"/>
      <c r="N141" s="178"/>
      <c r="O141" s="178"/>
      <c r="P141" s="178"/>
      <c r="Q141" s="178"/>
    </row>
    <row r="142" spans="1:18">
      <c r="A142" s="181" t="s">
        <v>135</v>
      </c>
      <c r="B142" s="181" t="s">
        <v>186</v>
      </c>
      <c r="C142" s="182">
        <f>'Staff Calcs '!M94</f>
        <v>260.95</v>
      </c>
      <c r="D142" s="182">
        <f>'Staff Calcs '!L94</f>
        <v>6.8604215752301236</v>
      </c>
      <c r="E142" s="182">
        <f t="shared" si="8"/>
        <v>267.81042157523012</v>
      </c>
      <c r="F142" s="178"/>
      <c r="G142" s="178"/>
      <c r="H142" s="178"/>
      <c r="I142" s="178"/>
      <c r="J142" s="178"/>
      <c r="K142" s="178"/>
      <c r="L142" s="178"/>
      <c r="M142" s="178"/>
      <c r="N142" s="178"/>
      <c r="O142" s="178"/>
      <c r="P142" s="178"/>
      <c r="Q142" s="178"/>
    </row>
    <row r="143" spans="1:18">
      <c r="A143" s="181" t="s">
        <v>136</v>
      </c>
      <c r="B143" s="181" t="s">
        <v>186</v>
      </c>
      <c r="C143" s="182">
        <f>'Staff Calcs '!M95</f>
        <v>313.93</v>
      </c>
      <c r="D143" s="182">
        <f>'Staff Calcs '!L95</f>
        <v>8.8906001351560242</v>
      </c>
      <c r="E143" s="182">
        <f t="shared" si="8"/>
        <v>322.82060013515604</v>
      </c>
      <c r="F143" s="178"/>
      <c r="G143" s="178"/>
      <c r="H143" s="178"/>
      <c r="I143" s="178"/>
      <c r="J143" s="178"/>
      <c r="K143" s="178"/>
      <c r="L143" s="178"/>
      <c r="M143" s="178"/>
      <c r="N143" s="178"/>
      <c r="O143" s="178"/>
      <c r="P143" s="178"/>
      <c r="Q143" s="178"/>
    </row>
    <row r="144" spans="1:18">
      <c r="A144" s="181" t="s">
        <v>137</v>
      </c>
      <c r="B144" s="181" t="s">
        <v>186</v>
      </c>
      <c r="C144" s="182">
        <f>'Staff Calcs '!M96</f>
        <v>366.69</v>
      </c>
      <c r="D144" s="182">
        <f>'Staff Calcs '!L96</f>
        <v>10.788948918463362</v>
      </c>
      <c r="E144" s="182">
        <f t="shared" si="8"/>
        <v>377.47894891846335</v>
      </c>
      <c r="F144" s="178"/>
      <c r="G144" s="178"/>
      <c r="H144" s="178"/>
      <c r="I144" s="178"/>
      <c r="J144" s="178"/>
      <c r="K144" s="178"/>
      <c r="L144" s="178"/>
      <c r="M144" s="178"/>
      <c r="N144" s="178"/>
      <c r="O144" s="178"/>
      <c r="P144" s="178"/>
      <c r="Q144" s="178"/>
    </row>
    <row r="145" spans="1:17">
      <c r="A145" s="181" t="s">
        <v>138</v>
      </c>
      <c r="B145" s="181" t="s">
        <v>186</v>
      </c>
      <c r="C145" s="182">
        <f>'Staff Calcs '!M97</f>
        <v>418.63</v>
      </c>
      <c r="D145" s="182">
        <f>'Staff Calcs '!L97</f>
        <v>12.181071359555409</v>
      </c>
      <c r="E145" s="182">
        <f t="shared" si="8"/>
        <v>430.8110713595554</v>
      </c>
      <c r="F145" s="178"/>
      <c r="G145" s="178"/>
      <c r="H145" s="178"/>
      <c r="I145" s="178"/>
      <c r="J145" s="178"/>
      <c r="K145" s="178"/>
      <c r="L145" s="178"/>
      <c r="M145" s="178"/>
      <c r="N145" s="178"/>
      <c r="O145" s="178"/>
      <c r="P145" s="178"/>
      <c r="Q145" s="178"/>
    </row>
    <row r="146" spans="1:17">
      <c r="E146" s="171"/>
      <c r="F146" s="166"/>
      <c r="G146" s="166"/>
      <c r="H146" s="166"/>
      <c r="I146" s="166"/>
      <c r="J146" s="166"/>
      <c r="K146" s="166"/>
      <c r="L146" s="166"/>
      <c r="M146" s="166"/>
      <c r="N146" s="166"/>
      <c r="O146" s="166"/>
      <c r="P146" s="166"/>
    </row>
    <row r="147" spans="1:17">
      <c r="A147" s="181" t="s">
        <v>199</v>
      </c>
      <c r="B147" s="181" t="s">
        <v>186</v>
      </c>
      <c r="C147" s="186">
        <f>C140</f>
        <v>138.03</v>
      </c>
      <c r="D147" s="186">
        <f>D140</f>
        <v>2.5416780932059333</v>
      </c>
      <c r="E147" s="182">
        <f t="shared" si="8"/>
        <v>140.57167809320595</v>
      </c>
      <c r="F147" s="166"/>
      <c r="G147" s="166"/>
      <c r="H147" s="166"/>
      <c r="I147" s="166"/>
      <c r="J147" s="166"/>
      <c r="K147" s="166"/>
      <c r="L147" s="166"/>
      <c r="M147" s="166"/>
      <c r="N147" s="166"/>
      <c r="O147" s="166"/>
      <c r="P147" s="166"/>
    </row>
    <row r="148" spans="1:17">
      <c r="A148" s="181" t="s">
        <v>200</v>
      </c>
      <c r="B148" s="181" t="s">
        <v>186</v>
      </c>
      <c r="C148" s="186">
        <f t="shared" ref="C148:D152" si="17">C141</f>
        <v>207.77</v>
      </c>
      <c r="D148" s="186">
        <f t="shared" si="17"/>
        <v>4.7036864297503991</v>
      </c>
      <c r="E148" s="182">
        <f t="shared" si="8"/>
        <v>212.47368642975042</v>
      </c>
      <c r="F148" s="166"/>
      <c r="G148" s="166"/>
      <c r="H148" s="166"/>
      <c r="I148" s="166"/>
      <c r="J148" s="166"/>
      <c r="K148" s="166"/>
      <c r="L148" s="166"/>
      <c r="M148" s="166"/>
      <c r="N148" s="166"/>
      <c r="O148" s="166"/>
      <c r="P148" s="166"/>
    </row>
    <row r="149" spans="1:17">
      <c r="A149" s="181" t="s">
        <v>194</v>
      </c>
      <c r="B149" s="181" t="s">
        <v>186</v>
      </c>
      <c r="C149" s="186">
        <f t="shared" si="17"/>
        <v>260.95</v>
      </c>
      <c r="D149" s="186">
        <f t="shared" si="17"/>
        <v>6.8604215752301236</v>
      </c>
      <c r="E149" s="182">
        <f t="shared" si="8"/>
        <v>267.81042157523012</v>
      </c>
      <c r="F149" s="166"/>
      <c r="G149" s="166"/>
      <c r="H149" s="166"/>
      <c r="I149" s="166"/>
      <c r="J149" s="166"/>
      <c r="K149" s="166"/>
      <c r="L149" s="166"/>
      <c r="M149" s="166"/>
      <c r="N149" s="166"/>
      <c r="O149" s="166"/>
      <c r="P149" s="166"/>
    </row>
    <row r="150" spans="1:17">
      <c r="A150" s="181" t="s">
        <v>195</v>
      </c>
      <c r="B150" s="181" t="s">
        <v>186</v>
      </c>
      <c r="C150" s="186">
        <f t="shared" si="17"/>
        <v>313.93</v>
      </c>
      <c r="D150" s="186">
        <f t="shared" si="17"/>
        <v>8.8906001351560242</v>
      </c>
      <c r="E150" s="182">
        <f t="shared" si="8"/>
        <v>322.82060013515604</v>
      </c>
      <c r="F150" s="166"/>
      <c r="G150" s="166"/>
      <c r="H150" s="166"/>
      <c r="I150" s="166"/>
      <c r="J150" s="166"/>
      <c r="K150" s="166"/>
      <c r="L150" s="166"/>
      <c r="M150" s="166"/>
      <c r="N150" s="166"/>
      <c r="O150" s="166"/>
      <c r="P150" s="166"/>
    </row>
    <row r="151" spans="1:17">
      <c r="A151" s="181" t="s">
        <v>196</v>
      </c>
      <c r="B151" s="181" t="s">
        <v>186</v>
      </c>
      <c r="C151" s="186">
        <f t="shared" si="17"/>
        <v>366.69</v>
      </c>
      <c r="D151" s="186">
        <f t="shared" si="17"/>
        <v>10.788948918463362</v>
      </c>
      <c r="E151" s="182">
        <f t="shared" si="8"/>
        <v>377.47894891846335</v>
      </c>
      <c r="F151" s="166"/>
      <c r="G151" s="166"/>
      <c r="H151" s="166"/>
      <c r="I151" s="166"/>
      <c r="J151" s="166"/>
      <c r="K151" s="166"/>
      <c r="L151" s="166"/>
      <c r="M151" s="166"/>
      <c r="N151" s="166"/>
      <c r="O151" s="166"/>
      <c r="P151" s="166"/>
    </row>
    <row r="152" spans="1:17">
      <c r="A152" s="181" t="s">
        <v>197</v>
      </c>
      <c r="B152" s="181" t="s">
        <v>186</v>
      </c>
      <c r="C152" s="186">
        <f t="shared" si="17"/>
        <v>418.63</v>
      </c>
      <c r="D152" s="186">
        <f t="shared" si="17"/>
        <v>12.181071359555409</v>
      </c>
      <c r="E152" s="182">
        <f t="shared" si="8"/>
        <v>430.8110713595554</v>
      </c>
      <c r="F152" s="166"/>
      <c r="G152" s="166"/>
      <c r="H152" s="166"/>
      <c r="I152" s="166"/>
      <c r="J152" s="166"/>
      <c r="K152" s="166"/>
      <c r="L152" s="166"/>
      <c r="M152" s="166"/>
      <c r="N152" s="166"/>
      <c r="O152" s="166"/>
      <c r="P152" s="166"/>
    </row>
  </sheetData>
  <phoneticPr fontId="71" type="noConversion"/>
  <pageMargins left="0.7" right="0.7" top="0.75" bottom="0.75" header="0.3" footer="0.3"/>
  <pageSetup scale="7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6FE67D-21B1-4873-A45D-5C8817D1671A}">
  <dimension ref="A1:X287"/>
  <sheetViews>
    <sheetView workbookViewId="0">
      <selection activeCell="W42" sqref="W42"/>
    </sheetView>
  </sheetViews>
  <sheetFormatPr defaultRowHeight="14.5"/>
  <cols>
    <col min="5" max="5" width="36.453125" customWidth="1"/>
    <col min="6" max="6" width="14.54296875" customWidth="1"/>
    <col min="7" max="7" width="15" customWidth="1"/>
    <col min="8" max="9" width="11" customWidth="1"/>
    <col min="10" max="10" width="10.81640625" customWidth="1"/>
    <col min="11" max="11" width="10.54296875" customWidth="1"/>
    <col min="12" max="12" width="12.1796875" customWidth="1"/>
    <col min="13" max="13" width="10.7265625" customWidth="1"/>
    <col min="14" max="14" width="14.1796875" customWidth="1"/>
    <col min="15" max="15" width="10.54296875" customWidth="1"/>
    <col min="16" max="16" width="14" customWidth="1"/>
    <col min="17" max="17" width="15.81640625" customWidth="1"/>
    <col min="19" max="19" width="13.54296875" customWidth="1"/>
    <col min="21" max="21" width="12.1796875" customWidth="1"/>
    <col min="22" max="22" width="11.26953125" customWidth="1"/>
    <col min="23" max="23" width="11.54296875" customWidth="1"/>
  </cols>
  <sheetData>
    <row r="1" spans="1:24">
      <c r="A1" s="262" t="s">
        <v>201</v>
      </c>
      <c r="B1" s="262"/>
      <c r="C1" s="262"/>
      <c r="D1" s="262"/>
      <c r="E1" s="262"/>
      <c r="F1" s="187"/>
      <c r="G1" s="187"/>
      <c r="H1" s="187"/>
      <c r="I1" s="187"/>
      <c r="J1" s="187"/>
      <c r="K1" s="187"/>
      <c r="L1" s="187"/>
      <c r="M1" s="187"/>
      <c r="N1" s="187"/>
      <c r="O1" s="187"/>
      <c r="P1" s="187"/>
      <c r="Q1" s="187"/>
      <c r="R1" s="187"/>
      <c r="S1" s="188"/>
      <c r="T1" s="187"/>
      <c r="U1" s="187"/>
      <c r="V1" s="187"/>
      <c r="W1" s="187"/>
      <c r="X1" s="187"/>
    </row>
    <row r="2" spans="1:24">
      <c r="A2" s="189"/>
      <c r="B2" s="189"/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/>
      <c r="O2" s="187"/>
      <c r="P2" s="187"/>
      <c r="Q2" s="187"/>
      <c r="R2" s="187"/>
      <c r="S2" s="188"/>
      <c r="T2" s="187"/>
      <c r="U2" s="187"/>
      <c r="V2" s="187"/>
      <c r="W2" s="187"/>
      <c r="X2" s="187"/>
    </row>
    <row r="3" spans="1:24">
      <c r="A3" s="190" t="s">
        <v>202</v>
      </c>
      <c r="B3" s="190" t="s">
        <v>203</v>
      </c>
      <c r="C3" s="263" t="s">
        <v>204</v>
      </c>
      <c r="D3" s="263"/>
      <c r="E3" s="188"/>
      <c r="F3" s="191">
        <v>43101</v>
      </c>
      <c r="G3" s="192">
        <v>43159</v>
      </c>
      <c r="H3" s="192">
        <v>43190</v>
      </c>
      <c r="I3" s="192">
        <v>43220</v>
      </c>
      <c r="J3" s="192">
        <v>43251</v>
      </c>
      <c r="K3" s="192">
        <v>43281</v>
      </c>
      <c r="L3" s="192">
        <v>43312</v>
      </c>
      <c r="M3" s="192">
        <v>43343</v>
      </c>
      <c r="N3" s="192">
        <v>43373</v>
      </c>
      <c r="O3" s="192">
        <v>43404</v>
      </c>
      <c r="P3" s="192">
        <v>43434</v>
      </c>
      <c r="Q3" s="192">
        <v>43465</v>
      </c>
      <c r="R3" s="188"/>
      <c r="S3" s="188" t="s">
        <v>205</v>
      </c>
      <c r="T3" s="188"/>
      <c r="U3" s="188"/>
      <c r="V3" s="188"/>
      <c r="W3" s="188"/>
      <c r="X3" s="188"/>
    </row>
    <row r="4" spans="1:24">
      <c r="A4" s="193"/>
      <c r="B4" s="193"/>
      <c r="C4" s="193"/>
      <c r="D4" s="193"/>
      <c r="E4" s="194"/>
      <c r="F4" s="194">
        <v>1</v>
      </c>
      <c r="G4" s="194">
        <v>2</v>
      </c>
      <c r="H4" s="194">
        <v>3</v>
      </c>
      <c r="I4" s="194">
        <v>4</v>
      </c>
      <c r="J4" s="194">
        <v>5</v>
      </c>
      <c r="K4" s="194">
        <v>6</v>
      </c>
      <c r="L4" s="194">
        <v>7</v>
      </c>
      <c r="M4" s="194">
        <v>8</v>
      </c>
      <c r="N4" s="194">
        <v>9</v>
      </c>
      <c r="O4" s="194">
        <v>10</v>
      </c>
      <c r="P4" s="194">
        <v>11</v>
      </c>
      <c r="Q4" s="194">
        <v>12</v>
      </c>
      <c r="R4" s="194"/>
      <c r="S4" s="195"/>
      <c r="T4" s="194"/>
      <c r="U4" s="194"/>
      <c r="V4" s="194"/>
      <c r="W4" s="194"/>
      <c r="X4" s="194"/>
    </row>
    <row r="5" spans="1:24" ht="15" thickBot="1">
      <c r="A5" s="189"/>
      <c r="B5" s="189"/>
      <c r="C5" s="189"/>
      <c r="D5" s="189"/>
      <c r="E5" s="196" t="s">
        <v>206</v>
      </c>
      <c r="F5" s="197"/>
      <c r="G5" s="197"/>
      <c r="H5" s="197"/>
      <c r="I5" s="197"/>
      <c r="J5" s="197"/>
      <c r="K5" s="197"/>
      <c r="L5" s="197"/>
      <c r="M5" s="197"/>
      <c r="N5" s="197"/>
      <c r="O5" s="197"/>
      <c r="P5" s="197"/>
      <c r="Q5" s="197"/>
      <c r="R5" s="197"/>
      <c r="S5" s="196"/>
      <c r="T5" s="187"/>
      <c r="U5" s="187"/>
      <c r="V5" s="187"/>
      <c r="W5" s="187"/>
      <c r="X5" s="187"/>
    </row>
    <row r="6" spans="1:24">
      <c r="A6" s="189"/>
      <c r="B6" s="189"/>
      <c r="C6" s="189"/>
      <c r="D6" s="189"/>
      <c r="E6" s="187"/>
      <c r="F6" s="187"/>
      <c r="G6" s="187"/>
      <c r="H6" s="187"/>
      <c r="I6" s="187"/>
      <c r="J6" s="187"/>
      <c r="K6" s="187"/>
      <c r="L6" s="187"/>
      <c r="M6" s="187"/>
      <c r="N6" s="187"/>
      <c r="O6" s="187"/>
      <c r="P6" s="187"/>
      <c r="Q6" s="187"/>
      <c r="R6" s="187"/>
      <c r="S6" s="188"/>
      <c r="T6" s="187"/>
      <c r="U6" s="187"/>
      <c r="V6" s="187"/>
      <c r="W6" s="187"/>
      <c r="X6" s="187"/>
    </row>
    <row r="7" spans="1:24">
      <c r="A7" s="189"/>
      <c r="B7" s="189"/>
      <c r="C7" s="189"/>
      <c r="D7" s="189"/>
      <c r="E7" s="188" t="s">
        <v>207</v>
      </c>
      <c r="F7" s="198"/>
      <c r="G7" s="198"/>
      <c r="H7" s="198"/>
      <c r="I7" s="198"/>
      <c r="J7" s="198"/>
      <c r="K7" s="198"/>
      <c r="L7" s="198"/>
      <c r="M7" s="198"/>
      <c r="N7" s="198"/>
      <c r="O7" s="198"/>
      <c r="P7" s="198"/>
      <c r="Q7" s="198"/>
      <c r="R7" s="187"/>
      <c r="S7" s="188"/>
      <c r="T7" s="187"/>
      <c r="U7" s="187"/>
      <c r="V7" s="187"/>
      <c r="W7" s="187"/>
      <c r="X7" s="187"/>
    </row>
    <row r="8" spans="1:24">
      <c r="A8" s="189"/>
      <c r="B8" s="189"/>
      <c r="C8" s="189"/>
      <c r="D8" s="189"/>
      <c r="E8" s="187" t="s">
        <v>208</v>
      </c>
      <c r="F8" s="199">
        <v>2910.6499999999996</v>
      </c>
      <c r="G8" s="199">
        <v>2445.8999999999996</v>
      </c>
      <c r="H8" s="199">
        <v>2831.2</v>
      </c>
      <c r="I8" s="199">
        <v>2837.3199999999997</v>
      </c>
      <c r="J8" s="199">
        <v>2911.54</v>
      </c>
      <c r="K8" s="199">
        <v>2895.6</v>
      </c>
      <c r="L8" s="199">
        <v>2887.63</v>
      </c>
      <c r="M8" s="199">
        <v>3147.12</v>
      </c>
      <c r="N8" s="199">
        <v>2746.83</v>
      </c>
      <c r="O8" s="199">
        <v>3151.78</v>
      </c>
      <c r="P8" s="199">
        <v>3008.7000000000003</v>
      </c>
      <c r="Q8" s="199">
        <v>2851.62</v>
      </c>
      <c r="R8" s="187"/>
      <c r="S8" s="200">
        <v>34625.89</v>
      </c>
      <c r="T8" s="187"/>
      <c r="U8" s="187"/>
      <c r="V8" s="187"/>
      <c r="W8" s="187"/>
      <c r="X8" s="187"/>
    </row>
    <row r="9" spans="1:24">
      <c r="A9" s="189"/>
      <c r="B9" s="189"/>
      <c r="C9" s="189"/>
      <c r="D9" s="189"/>
      <c r="E9" s="187" t="s">
        <v>209</v>
      </c>
      <c r="F9" s="199">
        <v>2064.34</v>
      </c>
      <c r="G9" s="199">
        <v>1532.3799999999999</v>
      </c>
      <c r="H9" s="199">
        <v>1642.5599999999997</v>
      </c>
      <c r="I9" s="199">
        <v>1656.21</v>
      </c>
      <c r="J9" s="199">
        <v>1617.01</v>
      </c>
      <c r="K9" s="199">
        <v>1656.8799999999999</v>
      </c>
      <c r="L9" s="199">
        <v>1492.5399999999997</v>
      </c>
      <c r="M9" s="199">
        <v>1862.0800000000002</v>
      </c>
      <c r="N9" s="199">
        <v>1520.0600000000002</v>
      </c>
      <c r="O9" s="199">
        <v>1797.8999999999999</v>
      </c>
      <c r="P9" s="199">
        <v>1658</v>
      </c>
      <c r="Q9" s="199">
        <v>1551.8000000000002</v>
      </c>
      <c r="R9" s="187"/>
      <c r="S9" s="201">
        <v>20051.759999999998</v>
      </c>
      <c r="T9" s="187"/>
      <c r="U9" s="187" t="s">
        <v>210</v>
      </c>
      <c r="V9" s="187"/>
      <c r="W9" s="187"/>
      <c r="X9" s="187"/>
    </row>
    <row r="10" spans="1:24">
      <c r="A10" s="189"/>
      <c r="B10" s="189"/>
      <c r="C10" s="189"/>
      <c r="D10" s="189"/>
      <c r="E10" s="187" t="s">
        <v>211</v>
      </c>
      <c r="F10" s="199">
        <v>3617.1</v>
      </c>
      <c r="G10" s="199">
        <v>3020.9</v>
      </c>
      <c r="H10" s="199">
        <v>3356.6</v>
      </c>
      <c r="I10" s="199">
        <v>3374.2</v>
      </c>
      <c r="J10" s="199">
        <v>3496.9</v>
      </c>
      <c r="K10" s="199">
        <v>3399.8</v>
      </c>
      <c r="L10" s="199">
        <v>3360.2</v>
      </c>
      <c r="M10" s="199">
        <v>3541.8</v>
      </c>
      <c r="N10" s="199">
        <v>3057.9</v>
      </c>
      <c r="O10" s="199">
        <v>3598.8</v>
      </c>
      <c r="P10" s="199">
        <v>3373.2</v>
      </c>
      <c r="Q10" s="199">
        <v>3208.3</v>
      </c>
      <c r="R10" s="187"/>
      <c r="S10" s="200">
        <v>40405.700000000004</v>
      </c>
      <c r="T10" s="187"/>
      <c r="U10" s="187"/>
      <c r="V10" s="187"/>
      <c r="W10" s="187"/>
      <c r="X10" s="187"/>
    </row>
    <row r="11" spans="1:24">
      <c r="A11" s="189"/>
      <c r="B11" s="189"/>
      <c r="C11" s="189"/>
      <c r="D11" s="189"/>
      <c r="E11" s="187" t="s">
        <v>212</v>
      </c>
      <c r="F11" s="199">
        <v>835.1</v>
      </c>
      <c r="G11" s="199">
        <v>649.41999999999996</v>
      </c>
      <c r="H11" s="199">
        <v>690.54000000000008</v>
      </c>
      <c r="I11" s="199">
        <v>691.0200000000001</v>
      </c>
      <c r="J11" s="199">
        <v>640.42000000000007</v>
      </c>
      <c r="K11" s="199">
        <v>722.42</v>
      </c>
      <c r="L11" s="199">
        <v>608.05999999999995</v>
      </c>
      <c r="M11" s="199">
        <v>643.45999999999992</v>
      </c>
      <c r="N11" s="199">
        <v>579.21999999999991</v>
      </c>
      <c r="O11" s="199">
        <v>740.54000000000008</v>
      </c>
      <c r="P11" s="199">
        <v>691.48</v>
      </c>
      <c r="Q11" s="199">
        <v>719.68</v>
      </c>
      <c r="R11" s="187"/>
      <c r="S11" s="201">
        <v>8211.36</v>
      </c>
      <c r="T11" s="187"/>
      <c r="U11" s="187" t="s">
        <v>210</v>
      </c>
      <c r="V11" s="187"/>
      <c r="W11" s="187"/>
      <c r="X11" s="187"/>
    </row>
    <row r="12" spans="1:24">
      <c r="A12" s="189"/>
      <c r="B12" s="189"/>
      <c r="C12" s="189"/>
      <c r="D12" s="189"/>
      <c r="E12" s="187" t="s">
        <v>213</v>
      </c>
      <c r="F12" s="199">
        <v>4567.6000000000004</v>
      </c>
      <c r="G12" s="199">
        <v>3502.6</v>
      </c>
      <c r="H12" s="199">
        <v>4812.7999999999993</v>
      </c>
      <c r="I12" s="199">
        <v>5118.1000000000004</v>
      </c>
      <c r="J12" s="199">
        <v>6694.7999999999993</v>
      </c>
      <c r="K12" s="199">
        <v>5437.3</v>
      </c>
      <c r="L12" s="199">
        <v>5248.7</v>
      </c>
      <c r="M12" s="199">
        <v>5075.3</v>
      </c>
      <c r="N12" s="199">
        <v>4473.3999999999996</v>
      </c>
      <c r="O12" s="199">
        <v>5183.7</v>
      </c>
      <c r="P12" s="199">
        <v>5618.1</v>
      </c>
      <c r="Q12" s="199">
        <v>4237.8999999999996</v>
      </c>
      <c r="R12" s="187"/>
      <c r="S12" s="200">
        <v>59970.299999999996</v>
      </c>
      <c r="T12" s="187"/>
      <c r="U12" s="187"/>
      <c r="V12" s="187"/>
      <c r="W12" s="187"/>
      <c r="X12" s="187"/>
    </row>
    <row r="13" spans="1:24">
      <c r="A13" s="189"/>
      <c r="B13" s="189"/>
      <c r="C13" s="189"/>
      <c r="D13" s="189"/>
      <c r="E13" s="202" t="s">
        <v>214</v>
      </c>
      <c r="F13" s="203">
        <v>1830.86</v>
      </c>
      <c r="G13" s="203">
        <v>1265.33</v>
      </c>
      <c r="H13" s="203">
        <v>1621.6</v>
      </c>
      <c r="I13" s="203">
        <v>1532.69</v>
      </c>
      <c r="J13" s="203">
        <v>1728.94</v>
      </c>
      <c r="K13" s="203">
        <v>1455.5700000000002</v>
      </c>
      <c r="L13" s="203">
        <v>1616.24</v>
      </c>
      <c r="M13" s="203">
        <v>1751.3400000000001</v>
      </c>
      <c r="N13" s="203">
        <v>1459.19</v>
      </c>
      <c r="O13" s="203">
        <v>1654.16</v>
      </c>
      <c r="P13" s="203">
        <v>1735.76</v>
      </c>
      <c r="Q13" s="203">
        <v>1586.39</v>
      </c>
      <c r="R13" s="202"/>
      <c r="S13" s="204">
        <v>19238.07</v>
      </c>
      <c r="T13" s="187"/>
      <c r="U13" s="187" t="s">
        <v>210</v>
      </c>
      <c r="V13" s="187"/>
      <c r="W13" s="187"/>
      <c r="X13" s="187"/>
    </row>
    <row r="14" spans="1:24">
      <c r="A14" s="189"/>
      <c r="B14" s="189"/>
      <c r="C14" s="189"/>
      <c r="D14" s="189"/>
      <c r="E14" s="187" t="s">
        <v>205</v>
      </c>
      <c r="F14" s="198">
        <v>15825.650000000001</v>
      </c>
      <c r="G14" s="198">
        <v>12416.53</v>
      </c>
      <c r="H14" s="198">
        <v>14955.3</v>
      </c>
      <c r="I14" s="198">
        <v>15209.54</v>
      </c>
      <c r="J14" s="198">
        <v>17089.61</v>
      </c>
      <c r="K14" s="198">
        <v>15567.57</v>
      </c>
      <c r="L14" s="198">
        <v>15213.37</v>
      </c>
      <c r="M14" s="198">
        <v>16021.099999999999</v>
      </c>
      <c r="N14" s="198">
        <v>13836.6</v>
      </c>
      <c r="O14" s="198">
        <v>16126.880000000001</v>
      </c>
      <c r="P14" s="198">
        <v>16085.240000000002</v>
      </c>
      <c r="Q14" s="198">
        <v>14155.689999999999</v>
      </c>
      <c r="R14" s="187"/>
      <c r="S14" s="200">
        <v>182503.08000000002</v>
      </c>
      <c r="T14" s="187"/>
      <c r="U14" s="187"/>
      <c r="V14" s="187"/>
      <c r="W14" s="187"/>
      <c r="X14" s="187"/>
    </row>
    <row r="15" spans="1:24">
      <c r="A15" s="189"/>
      <c r="B15" s="189"/>
      <c r="C15" s="189"/>
      <c r="D15" s="189"/>
      <c r="E15" s="187"/>
      <c r="F15" s="205">
        <v>1</v>
      </c>
      <c r="G15" s="205">
        <v>2</v>
      </c>
      <c r="H15" s="205">
        <v>3</v>
      </c>
      <c r="I15" s="205">
        <v>4</v>
      </c>
      <c r="J15" s="205">
        <v>5</v>
      </c>
      <c r="K15" s="205">
        <v>6</v>
      </c>
      <c r="L15" s="205">
        <v>7</v>
      </c>
      <c r="M15" s="205">
        <v>8</v>
      </c>
      <c r="N15" s="205">
        <v>9</v>
      </c>
      <c r="O15" s="205">
        <v>10</v>
      </c>
      <c r="P15" s="205">
        <v>11</v>
      </c>
      <c r="Q15" s="205">
        <v>12</v>
      </c>
      <c r="R15" s="187"/>
      <c r="S15" s="188"/>
      <c r="T15" s="187"/>
      <c r="U15" s="187"/>
      <c r="V15" s="187"/>
      <c r="W15" s="187"/>
      <c r="X15" s="187"/>
    </row>
    <row r="16" spans="1:24">
      <c r="A16" s="189"/>
      <c r="B16" s="189"/>
      <c r="C16" s="189"/>
      <c r="D16" s="189"/>
      <c r="E16" s="188" t="s">
        <v>215</v>
      </c>
      <c r="F16" s="206"/>
      <c r="G16" s="206"/>
      <c r="H16" s="206"/>
      <c r="I16" s="206"/>
      <c r="J16" s="206"/>
      <c r="K16" s="206"/>
      <c r="L16" s="206"/>
      <c r="M16" s="206"/>
      <c r="N16" s="206"/>
      <c r="O16" s="206"/>
      <c r="P16" s="206"/>
      <c r="Q16" s="206"/>
      <c r="R16" s="206"/>
      <c r="S16" s="200"/>
      <c r="T16" s="206"/>
      <c r="U16" s="206"/>
      <c r="V16" s="206"/>
      <c r="W16" s="206"/>
      <c r="X16" s="206"/>
    </row>
    <row r="17" spans="1:24">
      <c r="A17" s="189" t="s">
        <v>216</v>
      </c>
      <c r="B17" s="189" t="s">
        <v>217</v>
      </c>
      <c r="C17" s="207">
        <v>21</v>
      </c>
      <c r="D17" s="207" t="s">
        <v>218</v>
      </c>
      <c r="E17" s="187" t="s">
        <v>219</v>
      </c>
      <c r="F17" s="199">
        <v>172.18000000000004</v>
      </c>
      <c r="G17" s="199">
        <v>169.78</v>
      </c>
      <c r="H17" s="199">
        <v>214.98000000000002</v>
      </c>
      <c r="I17" s="199">
        <v>202.52</v>
      </c>
      <c r="J17" s="199">
        <v>214.59</v>
      </c>
      <c r="K17" s="199">
        <v>256.15999999999997</v>
      </c>
      <c r="L17" s="199">
        <v>239.22000000000003</v>
      </c>
      <c r="M17" s="199">
        <v>274.70999999999998</v>
      </c>
      <c r="N17" s="199">
        <v>201.47000000000003</v>
      </c>
      <c r="O17" s="199">
        <v>216.63</v>
      </c>
      <c r="P17" s="199">
        <v>217.42</v>
      </c>
      <c r="Q17" s="199">
        <v>190.89999999999995</v>
      </c>
      <c r="R17" s="199"/>
      <c r="S17" s="201">
        <v>2570.5600000000004</v>
      </c>
      <c r="T17" s="199"/>
      <c r="U17" s="199"/>
      <c r="V17" s="199"/>
      <c r="W17" s="199"/>
      <c r="X17" s="199"/>
    </row>
    <row r="18" spans="1:24">
      <c r="A18" s="189"/>
      <c r="B18" s="189"/>
      <c r="C18" s="207">
        <v>20</v>
      </c>
      <c r="D18" s="207" t="s">
        <v>220</v>
      </c>
      <c r="E18" s="187" t="s">
        <v>221</v>
      </c>
      <c r="F18" s="199">
        <v>2670.0299999999993</v>
      </c>
      <c r="G18" s="199">
        <v>2232.380000000001</v>
      </c>
      <c r="H18" s="199">
        <v>2577.3099999999986</v>
      </c>
      <c r="I18" s="199">
        <v>2589.0299999999993</v>
      </c>
      <c r="J18" s="199">
        <v>2628.3800000000028</v>
      </c>
      <c r="K18" s="199">
        <v>2586.880000000001</v>
      </c>
      <c r="L18" s="199">
        <v>2625.4300000000003</v>
      </c>
      <c r="M18" s="199">
        <v>2807.0900000000011</v>
      </c>
      <c r="N18" s="199">
        <v>2518.7999999999975</v>
      </c>
      <c r="O18" s="199">
        <v>2845.35</v>
      </c>
      <c r="P18" s="199">
        <v>2696.5900000000024</v>
      </c>
      <c r="Q18" s="199">
        <v>2623.5400000000009</v>
      </c>
      <c r="R18" s="199"/>
      <c r="S18" s="200">
        <v>31400.810000000005</v>
      </c>
      <c r="T18" s="199"/>
      <c r="U18" s="199"/>
      <c r="V18" s="199"/>
      <c r="W18" s="199"/>
      <c r="X18" s="199"/>
    </row>
    <row r="19" spans="1:24">
      <c r="A19" s="208" t="s">
        <v>216</v>
      </c>
      <c r="B19" s="208" t="s">
        <v>217</v>
      </c>
      <c r="C19" s="209"/>
      <c r="D19" s="209"/>
      <c r="E19" s="209" t="s">
        <v>222</v>
      </c>
      <c r="F19" s="210">
        <v>2842.21</v>
      </c>
      <c r="G19" s="210">
        <v>2402.1599999999994</v>
      </c>
      <c r="H19" s="210">
        <v>2792.29</v>
      </c>
      <c r="I19" s="210">
        <v>2791.55</v>
      </c>
      <c r="J19" s="210">
        <v>2842.9700000000003</v>
      </c>
      <c r="K19" s="210">
        <v>2843.0400000000004</v>
      </c>
      <c r="L19" s="210">
        <v>2864.65</v>
      </c>
      <c r="M19" s="210">
        <v>3081.8</v>
      </c>
      <c r="N19" s="210">
        <v>2720.27</v>
      </c>
      <c r="O19" s="210">
        <v>3061.98</v>
      </c>
      <c r="P19" s="210">
        <v>2914.0099999999998</v>
      </c>
      <c r="Q19" s="210">
        <v>2814.4399999999996</v>
      </c>
      <c r="R19" s="210"/>
      <c r="S19" s="211">
        <v>0</v>
      </c>
      <c r="T19" s="212"/>
      <c r="U19" s="212"/>
      <c r="V19" s="212"/>
      <c r="W19" s="212"/>
      <c r="X19" s="212"/>
    </row>
    <row r="20" spans="1:24">
      <c r="A20" s="189" t="s">
        <v>216</v>
      </c>
      <c r="B20" s="189" t="s">
        <v>223</v>
      </c>
      <c r="C20" s="189">
        <v>21</v>
      </c>
      <c r="D20" s="189"/>
      <c r="E20" s="187" t="s">
        <v>224</v>
      </c>
      <c r="F20" s="199">
        <v>79</v>
      </c>
      <c r="G20" s="199">
        <v>82.9</v>
      </c>
      <c r="H20" s="199">
        <v>52.3</v>
      </c>
      <c r="I20" s="199">
        <v>46.3</v>
      </c>
      <c r="J20" s="199">
        <v>45.5</v>
      </c>
      <c r="K20" s="199">
        <v>28.8</v>
      </c>
      <c r="L20" s="199">
        <v>37.1</v>
      </c>
      <c r="M20" s="199">
        <v>24.9</v>
      </c>
      <c r="N20" s="199">
        <v>24.4</v>
      </c>
      <c r="O20" s="199">
        <v>32.4</v>
      </c>
      <c r="P20" s="199">
        <v>51.2</v>
      </c>
      <c r="Q20" s="199">
        <v>38</v>
      </c>
      <c r="R20" s="199"/>
      <c r="S20" s="200">
        <v>542.79999999999995</v>
      </c>
      <c r="T20" s="199"/>
      <c r="U20" s="213">
        <v>1.2437427761437057E-2</v>
      </c>
      <c r="V20" s="199"/>
      <c r="W20" s="199"/>
      <c r="X20" s="199"/>
    </row>
    <row r="21" spans="1:24">
      <c r="A21" s="189"/>
      <c r="B21" s="189" t="s">
        <v>223</v>
      </c>
      <c r="C21" s="189">
        <v>20</v>
      </c>
      <c r="D21" s="187"/>
      <c r="E21" s="187" t="s">
        <v>225</v>
      </c>
      <c r="F21" s="199">
        <v>1613.0150000000001</v>
      </c>
      <c r="G21" s="199">
        <v>1281.55</v>
      </c>
      <c r="H21" s="199">
        <v>1438.2600000000002</v>
      </c>
      <c r="I21" s="199">
        <v>1380.74</v>
      </c>
      <c r="J21" s="199">
        <v>1385.0649999999998</v>
      </c>
      <c r="K21" s="199">
        <v>1342.07</v>
      </c>
      <c r="L21" s="199">
        <v>1397.93</v>
      </c>
      <c r="M21" s="199">
        <v>1677.63</v>
      </c>
      <c r="N21" s="199">
        <v>1225.1299999999999</v>
      </c>
      <c r="O21" s="199">
        <v>1525.64</v>
      </c>
      <c r="P21" s="199">
        <v>1533.6299999999999</v>
      </c>
      <c r="Q21" s="199">
        <v>1263.46</v>
      </c>
      <c r="R21" s="199"/>
      <c r="S21" s="200">
        <v>17064.12</v>
      </c>
      <c r="T21" s="199"/>
      <c r="U21" s="199"/>
      <c r="V21" s="199"/>
      <c r="W21" s="199"/>
      <c r="X21" s="199"/>
    </row>
    <row r="22" spans="1:24">
      <c r="A22" s="208" t="s">
        <v>216</v>
      </c>
      <c r="B22" s="214" t="s">
        <v>223</v>
      </c>
      <c r="C22" s="215" t="s">
        <v>226</v>
      </c>
      <c r="D22" s="209"/>
      <c r="E22" s="209" t="s">
        <v>227</v>
      </c>
      <c r="F22" s="210">
        <v>2487.1685000000007</v>
      </c>
      <c r="G22" s="210">
        <v>1943.52</v>
      </c>
      <c r="H22" s="210">
        <v>2142.5100000000007</v>
      </c>
      <c r="I22" s="210">
        <v>2154.1000000000004</v>
      </c>
      <c r="J22" s="210">
        <v>2183.4149999999991</v>
      </c>
      <c r="K22" s="210">
        <v>2028.45</v>
      </c>
      <c r="L22" s="210">
        <v>1950.1849999999999</v>
      </c>
      <c r="M22" s="210">
        <v>2418.5699999999997</v>
      </c>
      <c r="N22" s="210">
        <v>1942.26</v>
      </c>
      <c r="O22" s="210">
        <v>2266.6439999999998</v>
      </c>
      <c r="P22" s="210">
        <v>2308.7399999999993</v>
      </c>
      <c r="Q22" s="210">
        <v>1931.3600000000001</v>
      </c>
      <c r="R22" s="216"/>
      <c r="S22" s="211">
        <v>8150.0024999999987</v>
      </c>
      <c r="T22" s="212"/>
      <c r="U22" s="212"/>
      <c r="V22" s="212"/>
      <c r="W22" s="212"/>
      <c r="X22" s="212"/>
    </row>
    <row r="23" spans="1:24">
      <c r="A23" s="217"/>
      <c r="B23" s="217"/>
      <c r="C23" s="217"/>
      <c r="D23" s="217"/>
      <c r="E23" s="218" t="s">
        <v>228</v>
      </c>
      <c r="F23" s="219">
        <v>5329.3784999999998</v>
      </c>
      <c r="G23" s="219">
        <v>4345.6800000000012</v>
      </c>
      <c r="H23" s="219">
        <v>4934.7999999999993</v>
      </c>
      <c r="I23" s="219">
        <v>4945.6499999999996</v>
      </c>
      <c r="J23" s="219">
        <v>5026.385000000002</v>
      </c>
      <c r="K23" s="219">
        <v>4871.4900000000007</v>
      </c>
      <c r="L23" s="219">
        <v>4814.835</v>
      </c>
      <c r="M23" s="219">
        <v>5500.3700000000008</v>
      </c>
      <c r="N23" s="219">
        <v>4662.5299999999979</v>
      </c>
      <c r="O23" s="219">
        <v>5328.6239999999998</v>
      </c>
      <c r="P23" s="219">
        <v>5222.7500000000018</v>
      </c>
      <c r="Q23" s="219">
        <v>4745.8000000000011</v>
      </c>
      <c r="R23" s="219"/>
      <c r="S23" s="220">
        <v>59728.29250000001</v>
      </c>
      <c r="T23" s="199"/>
      <c r="U23" s="199"/>
      <c r="V23" s="199"/>
      <c r="W23" s="199"/>
      <c r="X23" s="199"/>
    </row>
    <row r="24" spans="1:24">
      <c r="A24" s="189"/>
      <c r="B24" s="189"/>
      <c r="C24" s="189"/>
      <c r="D24" s="189"/>
      <c r="E24" s="221" t="s">
        <v>229</v>
      </c>
      <c r="F24" s="222">
        <v>7.1234012530678514E-2</v>
      </c>
      <c r="G24" s="222">
        <v>9.2351468473813147E-2</v>
      </c>
      <c r="H24" s="222">
        <v>0.1030542541396946</v>
      </c>
      <c r="I24" s="222">
        <v>0.10061577423540058</v>
      </c>
      <c r="J24" s="222">
        <v>0.10993253911296152</v>
      </c>
      <c r="K24" s="222">
        <v>7.0073893789758701E-2</v>
      </c>
      <c r="L24" s="222">
        <v>9.9234732898494826E-2</v>
      </c>
      <c r="M24" s="222">
        <v>9.8053581410205481E-2</v>
      </c>
      <c r="N24" s="222">
        <v>9.2723271516256034E-2</v>
      </c>
      <c r="O24" s="222">
        <v>7.6559292721953609E-2</v>
      </c>
      <c r="P24" s="222">
        <v>0.11915272033771207</v>
      </c>
      <c r="Q24" s="222">
        <v>7.7753200921102383E-2</v>
      </c>
      <c r="R24" s="222"/>
      <c r="S24" s="222">
        <v>9.2371243094756528E-2</v>
      </c>
      <c r="T24" s="199"/>
      <c r="U24" s="199"/>
      <c r="V24" s="199"/>
      <c r="W24" s="199"/>
      <c r="X24" s="199"/>
    </row>
    <row r="25" spans="1:24">
      <c r="A25" s="189"/>
      <c r="B25" s="189"/>
      <c r="C25" s="189"/>
      <c r="D25" s="189"/>
      <c r="E25" s="187"/>
      <c r="F25" s="199"/>
      <c r="G25" s="199"/>
      <c r="H25" s="199"/>
      <c r="I25" s="199"/>
      <c r="J25" s="199"/>
      <c r="K25" s="199"/>
      <c r="L25" s="199"/>
      <c r="M25" s="199"/>
      <c r="N25" s="199"/>
      <c r="O25" s="199"/>
      <c r="P25" s="199"/>
      <c r="Q25" s="199"/>
      <c r="R25" s="199"/>
      <c r="S25" s="223"/>
      <c r="T25" s="199"/>
      <c r="U25" s="199"/>
      <c r="V25" s="199"/>
      <c r="W25" s="199"/>
      <c r="X25" s="199"/>
    </row>
    <row r="26" spans="1:24">
      <c r="A26" s="189"/>
      <c r="B26" s="189"/>
      <c r="C26" s="189"/>
      <c r="D26" s="189"/>
      <c r="E26" s="187" t="s">
        <v>230</v>
      </c>
      <c r="F26" s="199">
        <v>172.18000000000004</v>
      </c>
      <c r="G26" s="199">
        <v>169.78</v>
      </c>
      <c r="H26" s="199">
        <v>214.98000000000002</v>
      </c>
      <c r="I26" s="199">
        <v>202.52</v>
      </c>
      <c r="J26" s="199">
        <v>214.59</v>
      </c>
      <c r="K26" s="199">
        <v>256.15999999999997</v>
      </c>
      <c r="L26" s="199">
        <v>239.22000000000003</v>
      </c>
      <c r="M26" s="199">
        <v>274.70999999999998</v>
      </c>
      <c r="N26" s="199">
        <v>201.47000000000003</v>
      </c>
      <c r="O26" s="199">
        <v>216.63</v>
      </c>
      <c r="P26" s="199">
        <v>217.42</v>
      </c>
      <c r="Q26" s="199">
        <v>190.89999999999995</v>
      </c>
      <c r="R26" s="199"/>
      <c r="S26" s="200">
        <v>2570.5600000000004</v>
      </c>
      <c r="T26" s="199"/>
      <c r="U26" s="224"/>
      <c r="V26" s="199">
        <v>361986.25920000003</v>
      </c>
      <c r="W26" s="199"/>
      <c r="X26" s="199"/>
    </row>
    <row r="27" spans="1:24">
      <c r="A27" s="189"/>
      <c r="B27" s="189"/>
      <c r="C27" s="189"/>
      <c r="D27" s="189"/>
      <c r="E27" s="187" t="s">
        <v>231</v>
      </c>
      <c r="F27" s="199">
        <v>4563.37</v>
      </c>
      <c r="G27" s="199">
        <v>3757.4900000000002</v>
      </c>
      <c r="H27" s="199">
        <v>4273.4199999999983</v>
      </c>
      <c r="I27" s="199">
        <v>4641.8499999999985</v>
      </c>
      <c r="J27" s="199">
        <v>4693.7000000000007</v>
      </c>
      <c r="K27" s="199">
        <v>4538.72</v>
      </c>
      <c r="L27" s="199">
        <v>4120.3649999999998</v>
      </c>
      <c r="M27" s="199">
        <v>5113.6600000000017</v>
      </c>
      <c r="N27" s="199">
        <v>4128.3599999999979</v>
      </c>
      <c r="O27" s="199">
        <v>4718.4639999999999</v>
      </c>
      <c r="P27" s="199">
        <v>4868.5300000000016</v>
      </c>
      <c r="Q27" s="199">
        <v>4177.5000000000009</v>
      </c>
      <c r="R27" s="199"/>
      <c r="S27" s="200">
        <v>53595.429000000004</v>
      </c>
      <c r="T27" s="199"/>
      <c r="U27" s="199"/>
      <c r="V27" s="199"/>
      <c r="W27" s="199"/>
      <c r="X27" s="199"/>
    </row>
    <row r="28" spans="1:24">
      <c r="A28" s="189" t="s">
        <v>216</v>
      </c>
      <c r="B28" s="189"/>
      <c r="C28" s="189"/>
      <c r="D28" s="189"/>
      <c r="E28" s="209" t="s">
        <v>232</v>
      </c>
      <c r="F28" s="216">
        <v>4735.55</v>
      </c>
      <c r="G28" s="216">
        <v>3927.2700000000004</v>
      </c>
      <c r="H28" s="216">
        <v>4488.3999999999987</v>
      </c>
      <c r="I28" s="216">
        <v>4844.369999999999</v>
      </c>
      <c r="J28" s="216">
        <v>4908.2900000000009</v>
      </c>
      <c r="K28" s="216">
        <v>4794.88</v>
      </c>
      <c r="L28" s="216">
        <v>4359.585</v>
      </c>
      <c r="M28" s="216">
        <v>5388.3700000000017</v>
      </c>
      <c r="N28" s="216">
        <v>4329.8299999999981</v>
      </c>
      <c r="O28" s="216">
        <v>4935.0940000000001</v>
      </c>
      <c r="P28" s="216">
        <v>5085.9500000000016</v>
      </c>
      <c r="Q28" s="216">
        <v>4368.4000000000005</v>
      </c>
      <c r="R28" s="216"/>
      <c r="S28" s="225">
        <v>56165.989000000001</v>
      </c>
      <c r="T28" s="199"/>
      <c r="U28" s="199"/>
      <c r="V28" s="199"/>
      <c r="W28" s="199"/>
      <c r="X28" s="199"/>
    </row>
    <row r="29" spans="1:24">
      <c r="A29" s="189"/>
      <c r="B29" s="189"/>
      <c r="C29" s="189"/>
      <c r="D29" s="189"/>
      <c r="E29" s="187"/>
      <c r="F29" s="199"/>
      <c r="G29" s="199"/>
      <c r="H29" s="199"/>
      <c r="I29" s="199"/>
      <c r="J29" s="199"/>
      <c r="K29" s="199"/>
      <c r="L29" s="199"/>
      <c r="M29" s="199"/>
      <c r="N29" s="199"/>
      <c r="O29" s="199"/>
      <c r="P29" s="199"/>
      <c r="Q29" s="199"/>
      <c r="R29" s="199"/>
      <c r="S29" s="200"/>
      <c r="T29" s="199"/>
      <c r="U29" s="199"/>
      <c r="V29" s="199"/>
      <c r="W29" s="199"/>
      <c r="X29" s="199"/>
    </row>
    <row r="30" spans="1:24" ht="15" thickBot="1">
      <c r="A30" s="189"/>
      <c r="B30" s="189"/>
      <c r="C30" s="189"/>
      <c r="D30" s="189"/>
      <c r="E30" s="188" t="s">
        <v>15</v>
      </c>
      <c r="F30" s="199"/>
      <c r="G30" s="199"/>
      <c r="H30" s="199"/>
      <c r="I30" s="199"/>
      <c r="J30" s="199"/>
      <c r="K30" s="199"/>
      <c r="L30" s="199"/>
      <c r="M30" s="199"/>
      <c r="N30" s="199"/>
      <c r="O30" s="199"/>
      <c r="P30" s="199"/>
      <c r="Q30" s="199"/>
      <c r="R30" s="199"/>
      <c r="S30" s="200"/>
      <c r="T30" s="199"/>
      <c r="U30" s="199"/>
      <c r="V30" s="199"/>
      <c r="W30" s="199"/>
      <c r="X30" s="199"/>
    </row>
    <row r="31" spans="1:24" ht="15" thickBot="1">
      <c r="A31" s="189"/>
      <c r="B31" s="189"/>
      <c r="C31" s="189"/>
      <c r="D31" s="189" t="s">
        <v>218</v>
      </c>
      <c r="E31" s="187" t="s">
        <v>219</v>
      </c>
      <c r="F31" s="199">
        <v>335.75345740234093</v>
      </c>
      <c r="G31" s="199">
        <v>269.14000000000004</v>
      </c>
      <c r="H31" s="199">
        <v>294.81651669203302</v>
      </c>
      <c r="I31" s="199">
        <v>308.06476080362233</v>
      </c>
      <c r="J31" s="199">
        <v>328.06534699313465</v>
      </c>
      <c r="K31" s="199">
        <v>333.15656845867056</v>
      </c>
      <c r="L31" s="199">
        <v>322.0229810776587</v>
      </c>
      <c r="M31" s="199">
        <v>324.58412592295571</v>
      </c>
      <c r="N31" s="199">
        <v>284.80807883579917</v>
      </c>
      <c r="O31" s="199">
        <v>343.10216126085635</v>
      </c>
      <c r="P31" s="199">
        <v>328.0654139877845</v>
      </c>
      <c r="Q31" s="199">
        <v>288.96132222855465</v>
      </c>
      <c r="R31" s="199"/>
      <c r="S31" s="254">
        <v>3760.5407336634112</v>
      </c>
      <c r="T31" s="199"/>
      <c r="U31" s="199"/>
      <c r="V31" s="199">
        <v>529559.34611448157</v>
      </c>
      <c r="W31" s="199"/>
      <c r="X31" s="199"/>
    </row>
    <row r="32" spans="1:24">
      <c r="A32" s="189"/>
      <c r="B32" s="189"/>
      <c r="C32" s="187"/>
      <c r="D32" s="189" t="s">
        <v>220</v>
      </c>
      <c r="E32" s="187" t="s">
        <v>221</v>
      </c>
      <c r="F32" s="199">
        <v>3291.3697552857639</v>
      </c>
      <c r="G32" s="199">
        <v>2775.76</v>
      </c>
      <c r="H32" s="199">
        <v>3129.1666476050859</v>
      </c>
      <c r="I32" s="199">
        <v>3095.57166673339</v>
      </c>
      <c r="J32" s="199">
        <v>3232.0562878813143</v>
      </c>
      <c r="K32" s="199">
        <v>3080.4434924235547</v>
      </c>
      <c r="L32" s="199">
        <v>3062.3312760872063</v>
      </c>
      <c r="M32" s="199">
        <v>3200.3049074965711</v>
      </c>
      <c r="N32" s="199">
        <v>2765.3806708277552</v>
      </c>
      <c r="O32" s="199">
        <v>3285.9287771429676</v>
      </c>
      <c r="P32" s="199">
        <v>3099.6620356364128</v>
      </c>
      <c r="Q32" s="199">
        <v>2956.0256399965151</v>
      </c>
      <c r="R32" s="199"/>
      <c r="S32" s="200">
        <v>36974.001157116538</v>
      </c>
      <c r="T32" s="199"/>
      <c r="U32" s="199"/>
      <c r="V32" s="199"/>
      <c r="W32" s="199"/>
      <c r="X32" s="199"/>
    </row>
    <row r="33" spans="1:24">
      <c r="A33" s="207" t="s">
        <v>233</v>
      </c>
      <c r="B33" s="207" t="s">
        <v>217</v>
      </c>
      <c r="C33" s="209"/>
      <c r="D33" s="209"/>
      <c r="E33" s="226" t="s">
        <v>234</v>
      </c>
      <c r="F33" s="210">
        <v>3624.1899999999996</v>
      </c>
      <c r="G33" s="210">
        <v>3020.89</v>
      </c>
      <c r="H33" s="210">
        <v>3356.63</v>
      </c>
      <c r="I33" s="210">
        <v>3374.2100000000005</v>
      </c>
      <c r="J33" s="210">
        <v>3496.9</v>
      </c>
      <c r="K33" s="210">
        <v>3399.8199999999997</v>
      </c>
      <c r="L33" s="210">
        <v>3316.2599999999998</v>
      </c>
      <c r="M33" s="210">
        <v>3538.71</v>
      </c>
      <c r="N33" s="210">
        <v>3057.86</v>
      </c>
      <c r="O33" s="210">
        <v>3604.2399999999993</v>
      </c>
      <c r="P33" s="210">
        <v>3373.16</v>
      </c>
      <c r="Q33" s="210">
        <v>3217.3099999999995</v>
      </c>
      <c r="R33" s="210"/>
      <c r="S33" s="211">
        <v>-354.36189077995368</v>
      </c>
      <c r="T33" s="212"/>
      <c r="U33" s="212"/>
      <c r="V33" s="212"/>
      <c r="W33" s="212"/>
      <c r="X33" s="212"/>
    </row>
    <row r="34" spans="1:24">
      <c r="A34" s="189"/>
      <c r="B34" s="189"/>
      <c r="C34" s="189"/>
      <c r="D34" s="189"/>
      <c r="E34" s="187" t="s">
        <v>224</v>
      </c>
      <c r="F34" s="199">
        <v>0</v>
      </c>
      <c r="G34" s="199">
        <v>0</v>
      </c>
      <c r="H34" s="199">
        <v>0</v>
      </c>
      <c r="I34" s="199">
        <v>0</v>
      </c>
      <c r="J34" s="199">
        <v>0</v>
      </c>
      <c r="K34" s="199">
        <v>0</v>
      </c>
      <c r="L34" s="199">
        <v>0</v>
      </c>
      <c r="M34" s="199">
        <v>0</v>
      </c>
      <c r="N34" s="199">
        <v>0</v>
      </c>
      <c r="O34" s="199">
        <v>0</v>
      </c>
      <c r="P34" s="199">
        <v>0</v>
      </c>
      <c r="Q34" s="199">
        <v>0</v>
      </c>
      <c r="R34" s="199"/>
      <c r="S34" s="200">
        <v>0</v>
      </c>
      <c r="T34" s="199"/>
      <c r="U34" s="199"/>
      <c r="V34" s="199"/>
      <c r="W34" s="199"/>
      <c r="X34" s="199"/>
    </row>
    <row r="35" spans="1:24">
      <c r="A35" s="189"/>
      <c r="B35" s="189"/>
      <c r="C35" s="187"/>
      <c r="D35" s="189" t="s">
        <v>220</v>
      </c>
      <c r="E35" s="187" t="s">
        <v>225</v>
      </c>
      <c r="F35" s="199">
        <v>737.65166856463179</v>
      </c>
      <c r="G35" s="199">
        <v>572.28</v>
      </c>
      <c r="H35" s="199">
        <v>623.21537079244331</v>
      </c>
      <c r="I35" s="199">
        <v>659.57497403240893</v>
      </c>
      <c r="J35" s="199">
        <v>629.71434048072672</v>
      </c>
      <c r="K35" s="199">
        <v>640.12761507616335</v>
      </c>
      <c r="L35" s="199">
        <v>569.56564988975265</v>
      </c>
      <c r="M35" s="199">
        <v>626.48031218479946</v>
      </c>
      <c r="N35" s="199">
        <v>563.65134586830322</v>
      </c>
      <c r="O35" s="199">
        <v>681.19787940138394</v>
      </c>
      <c r="P35" s="199">
        <v>618.49432524093754</v>
      </c>
      <c r="Q35" s="199">
        <v>643.13779602330681</v>
      </c>
      <c r="R35" s="199"/>
      <c r="S35" s="200">
        <v>7565.0912775548577</v>
      </c>
      <c r="T35" s="199"/>
      <c r="U35" s="199"/>
      <c r="V35" s="199"/>
      <c r="W35" s="199"/>
      <c r="X35" s="199"/>
    </row>
    <row r="36" spans="1:24">
      <c r="A36" s="208" t="s">
        <v>233</v>
      </c>
      <c r="B36" s="227" t="s">
        <v>223</v>
      </c>
      <c r="C36" s="215" t="s">
        <v>226</v>
      </c>
      <c r="D36" s="209"/>
      <c r="E36" s="226" t="s">
        <v>235</v>
      </c>
      <c r="F36" s="210">
        <v>809.16</v>
      </c>
      <c r="G36" s="210">
        <v>648.34</v>
      </c>
      <c r="H36" s="210">
        <v>691.40000000000009</v>
      </c>
      <c r="I36" s="210">
        <v>689.34</v>
      </c>
      <c r="J36" s="210">
        <v>668.02</v>
      </c>
      <c r="K36" s="210">
        <v>681.87</v>
      </c>
      <c r="L36" s="210">
        <v>610.62</v>
      </c>
      <c r="M36" s="210">
        <v>643.18999999999994</v>
      </c>
      <c r="N36" s="210">
        <v>588.57000000000005</v>
      </c>
      <c r="O36" s="210">
        <v>745.3</v>
      </c>
      <c r="P36" s="210">
        <v>692.07999999999993</v>
      </c>
      <c r="Q36" s="210">
        <v>703.2</v>
      </c>
      <c r="R36" s="210"/>
      <c r="S36" s="211">
        <v>8171.0899999999992</v>
      </c>
      <c r="T36" s="212"/>
      <c r="U36" s="212"/>
      <c r="V36" s="212"/>
      <c r="W36" s="212"/>
      <c r="X36" s="212"/>
    </row>
    <row r="37" spans="1:24">
      <c r="A37" s="189"/>
      <c r="B37" s="189"/>
      <c r="C37" s="189"/>
      <c r="D37" s="189"/>
      <c r="E37" s="228" t="s">
        <v>236</v>
      </c>
      <c r="F37" s="229">
        <v>4433.3499999999995</v>
      </c>
      <c r="G37" s="229">
        <v>3669.23</v>
      </c>
      <c r="H37" s="229">
        <v>4048.0299999999997</v>
      </c>
      <c r="I37" s="229">
        <v>4063.55</v>
      </c>
      <c r="J37" s="229">
        <v>4164.92</v>
      </c>
      <c r="K37" s="229">
        <v>4081.69</v>
      </c>
      <c r="L37" s="229">
        <v>3926.8800000000006</v>
      </c>
      <c r="M37" s="229">
        <v>4181.9000000000005</v>
      </c>
      <c r="N37" s="229">
        <v>3646.4300000000003</v>
      </c>
      <c r="O37" s="229">
        <v>4349.5400000000009</v>
      </c>
      <c r="P37" s="229">
        <v>4065.24</v>
      </c>
      <c r="Q37" s="229">
        <v>3920.5099999999998</v>
      </c>
      <c r="R37" s="229"/>
      <c r="S37" s="230">
        <v>48551.270000000004</v>
      </c>
      <c r="T37" s="199"/>
      <c r="U37" s="199"/>
      <c r="V37" s="199"/>
      <c r="W37" s="199"/>
      <c r="X37" s="199"/>
    </row>
    <row r="38" spans="1:24">
      <c r="A38" s="217"/>
      <c r="B38" s="217"/>
      <c r="C38" s="217"/>
      <c r="D38" s="217"/>
      <c r="E38" s="218" t="s">
        <v>237</v>
      </c>
      <c r="F38" s="219">
        <v>4364.774881252737</v>
      </c>
      <c r="G38" s="219">
        <v>3617.1800000000003</v>
      </c>
      <c r="H38" s="219">
        <v>4047.198535089562</v>
      </c>
      <c r="I38" s="219">
        <v>4063.2114015694215</v>
      </c>
      <c r="J38" s="219">
        <v>4189.8359753551758</v>
      </c>
      <c r="K38" s="219">
        <v>4053.7276759583883</v>
      </c>
      <c r="L38" s="219">
        <v>3953.9199070546174</v>
      </c>
      <c r="M38" s="219">
        <v>4151.3693456043256</v>
      </c>
      <c r="N38" s="219">
        <v>3613.8400955318575</v>
      </c>
      <c r="O38" s="219">
        <v>4310.2288178052077</v>
      </c>
      <c r="P38" s="219">
        <v>4046.2217748651346</v>
      </c>
      <c r="Q38" s="219">
        <v>3888.1247582483766</v>
      </c>
      <c r="R38" s="219"/>
      <c r="S38" s="219">
        <v>48299.633168334803</v>
      </c>
      <c r="T38" s="199"/>
      <c r="U38" s="199"/>
      <c r="V38" s="199"/>
      <c r="W38" s="199"/>
      <c r="X38" s="199"/>
    </row>
    <row r="39" spans="1:24">
      <c r="A39" s="189"/>
      <c r="B39" s="189"/>
      <c r="C39" s="189"/>
      <c r="D39" s="189"/>
      <c r="E39" s="221" t="s">
        <v>229</v>
      </c>
      <c r="F39" s="222">
        <v>-1.9636386224172964E-2</v>
      </c>
      <c r="G39" s="222">
        <v>-1.4478301619477274E-2</v>
      </c>
      <c r="H39" s="222">
        <v>1.4463322139057766E-5</v>
      </c>
      <c r="I39" s="222">
        <v>-4.9409341452077982E-4</v>
      </c>
      <c r="J39" s="222">
        <v>1.2693235078547582E-2</v>
      </c>
      <c r="K39" s="222">
        <v>-1.6615397538610743E-2</v>
      </c>
      <c r="L39" s="222">
        <v>-3.6136979294154603E-3</v>
      </c>
      <c r="M39" s="222">
        <v>-8.0976222255426666E-3</v>
      </c>
      <c r="N39" s="222">
        <v>-6.4006423951209479E-3</v>
      </c>
      <c r="O39" s="222">
        <v>-6.7086658788646503E-3</v>
      </c>
      <c r="P39" s="222">
        <v>-4.5411262718997314E-3</v>
      </c>
      <c r="Q39" s="222">
        <v>-1.0146498136860083E-2</v>
      </c>
      <c r="R39" s="199"/>
      <c r="S39" s="222">
        <v>-6.5291243786687048E-3</v>
      </c>
      <c r="T39" s="199"/>
      <c r="U39" s="199"/>
      <c r="V39" s="199"/>
      <c r="W39" s="199"/>
      <c r="X39" s="199"/>
    </row>
    <row r="40" spans="1:24">
      <c r="A40" s="189"/>
      <c r="B40" s="189"/>
      <c r="C40" s="189"/>
      <c r="D40" s="189"/>
      <c r="E40" s="187"/>
      <c r="F40" s="199"/>
      <c r="G40" s="199"/>
      <c r="H40" s="199"/>
      <c r="I40" s="199"/>
      <c r="J40" s="199"/>
      <c r="K40" s="199"/>
      <c r="L40" s="199"/>
      <c r="M40" s="199"/>
      <c r="N40" s="199"/>
      <c r="O40" s="199"/>
      <c r="P40" s="199"/>
      <c r="Q40" s="199"/>
      <c r="R40" s="199"/>
      <c r="S40" s="223"/>
      <c r="T40" s="199"/>
      <c r="U40" s="199"/>
      <c r="V40" s="199"/>
      <c r="W40" s="199"/>
      <c r="X40" s="199"/>
    </row>
    <row r="41" spans="1:24" ht="15" thickBot="1">
      <c r="A41" s="189"/>
      <c r="B41" s="189"/>
      <c r="C41" s="189"/>
      <c r="D41" s="189"/>
      <c r="E41" s="188" t="s">
        <v>14</v>
      </c>
      <c r="F41" s="199"/>
      <c r="G41" s="199"/>
      <c r="H41" s="199"/>
      <c r="I41" s="199"/>
      <c r="J41" s="199"/>
      <c r="K41" s="199"/>
      <c r="L41" s="199"/>
      <c r="M41" s="199"/>
      <c r="N41" s="199"/>
      <c r="O41" s="199"/>
      <c r="P41" s="199"/>
      <c r="Q41" s="199"/>
      <c r="R41" s="199"/>
      <c r="S41" s="200"/>
      <c r="T41" s="199"/>
      <c r="U41" s="199"/>
      <c r="V41" s="199"/>
      <c r="W41" s="199"/>
      <c r="X41" s="199"/>
    </row>
    <row r="42" spans="1:24" ht="15" thickBot="1">
      <c r="A42" s="189"/>
      <c r="B42" s="189"/>
      <c r="C42" s="189"/>
      <c r="D42" s="189" t="s">
        <v>218</v>
      </c>
      <c r="E42" s="187" t="s">
        <v>219</v>
      </c>
      <c r="F42" s="199">
        <v>1530.2415938347101</v>
      </c>
      <c r="G42" s="199">
        <v>1147.6600000000001</v>
      </c>
      <c r="H42" s="199">
        <v>1354.8686162402216</v>
      </c>
      <c r="I42" s="199">
        <v>1299.5335030721008</v>
      </c>
      <c r="J42" s="199">
        <v>1470.2047457925703</v>
      </c>
      <c r="K42" s="199">
        <v>1386.9498610080732</v>
      </c>
      <c r="L42" s="199">
        <v>1470.0936605091574</v>
      </c>
      <c r="M42" s="199">
        <v>1492.3695255677362</v>
      </c>
      <c r="N42" s="199">
        <v>1300.1524577520186</v>
      </c>
      <c r="O42" s="199">
        <v>1450.1090159980024</v>
      </c>
      <c r="P42" s="199">
        <v>1429.6618622598426</v>
      </c>
      <c r="Q42" s="199">
        <v>1329.0422887230027</v>
      </c>
      <c r="R42" s="199"/>
      <c r="S42" s="254">
        <v>16660.887130757434</v>
      </c>
      <c r="T42" s="199"/>
      <c r="U42" s="231">
        <v>22991.9878644208</v>
      </c>
      <c r="V42" s="199">
        <v>2346186.1257532616</v>
      </c>
      <c r="W42" s="199">
        <v>20421.427864420799</v>
      </c>
      <c r="X42" s="199"/>
    </row>
    <row r="43" spans="1:24">
      <c r="A43" s="189"/>
      <c r="B43" s="189"/>
      <c r="C43" s="187"/>
      <c r="D43" s="189" t="s">
        <v>220</v>
      </c>
      <c r="E43" s="187" t="s">
        <v>221</v>
      </c>
      <c r="F43" s="199">
        <v>1974.5367168874498</v>
      </c>
      <c r="G43" s="199">
        <v>1529.91</v>
      </c>
      <c r="H43" s="199">
        <v>1894.4226376177362</v>
      </c>
      <c r="I43" s="199">
        <v>1834.0857989966457</v>
      </c>
      <c r="J43" s="199">
        <v>2044.3805413498137</v>
      </c>
      <c r="K43" s="199">
        <v>1939.543646858016</v>
      </c>
      <c r="L43" s="199">
        <v>2003.2002289551631</v>
      </c>
      <c r="M43" s="199">
        <v>2086.5982083135395</v>
      </c>
      <c r="N43" s="199">
        <v>1804.5863054202887</v>
      </c>
      <c r="O43" s="199">
        <v>1953.1522672001415</v>
      </c>
      <c r="P43" s="199">
        <v>2026.4276367405032</v>
      </c>
      <c r="Q43" s="199">
        <v>1844.4217551628494</v>
      </c>
      <c r="R43" s="199"/>
      <c r="S43" s="200">
        <v>22935.26574350215</v>
      </c>
      <c r="T43" s="199"/>
      <c r="U43" s="199"/>
      <c r="V43" s="199"/>
      <c r="W43" s="199"/>
      <c r="X43" s="199"/>
    </row>
    <row r="44" spans="1:24">
      <c r="A44" s="207" t="s">
        <v>218</v>
      </c>
      <c r="B44" s="207" t="s">
        <v>217</v>
      </c>
      <c r="C44" s="209"/>
      <c r="D44" s="189"/>
      <c r="E44" s="226" t="s">
        <v>238</v>
      </c>
      <c r="F44" s="210">
        <v>3522.0299999999997</v>
      </c>
      <c r="G44" s="210">
        <v>2688.6</v>
      </c>
      <c r="H44" s="210">
        <v>3286.2300000000005</v>
      </c>
      <c r="I44" s="210">
        <v>3176.5699999999997</v>
      </c>
      <c r="J44" s="210">
        <v>3577.1699999999992</v>
      </c>
      <c r="K44" s="210">
        <v>3361.96</v>
      </c>
      <c r="L44" s="210">
        <v>3507.4800000000005</v>
      </c>
      <c r="M44" s="210">
        <v>3617.57</v>
      </c>
      <c r="N44" s="210">
        <v>3156.52</v>
      </c>
      <c r="O44" s="210">
        <v>3445.21</v>
      </c>
      <c r="P44" s="210">
        <v>3504.7</v>
      </c>
      <c r="Q44" s="210">
        <v>3212.39</v>
      </c>
      <c r="R44" s="210"/>
      <c r="S44" s="211">
        <v>40056.429999999993</v>
      </c>
      <c r="T44" s="212"/>
      <c r="U44" s="212"/>
      <c r="V44" s="212"/>
      <c r="W44" s="212"/>
      <c r="X44" s="212"/>
    </row>
    <row r="45" spans="1:24">
      <c r="A45" s="189"/>
      <c r="B45" s="189"/>
      <c r="C45" s="189"/>
      <c r="D45" s="189" t="s">
        <v>218</v>
      </c>
      <c r="E45" s="187" t="s">
        <v>239</v>
      </c>
      <c r="F45" s="199">
        <v>322.73052479051609</v>
      </c>
      <c r="G45" s="199">
        <v>258.18</v>
      </c>
      <c r="H45" s="199">
        <v>479.28889229561037</v>
      </c>
      <c r="I45" s="199">
        <v>577.76220909814185</v>
      </c>
      <c r="J45" s="199">
        <v>968.17958917412432</v>
      </c>
      <c r="K45" s="199">
        <v>644.06475885207021</v>
      </c>
      <c r="L45" s="199">
        <v>545.23494246258429</v>
      </c>
      <c r="M45" s="199">
        <v>407.91190141099077</v>
      </c>
      <c r="N45" s="199">
        <v>393.21900011330666</v>
      </c>
      <c r="O45" s="199">
        <v>565.83117303403958</v>
      </c>
      <c r="P45" s="199">
        <v>664.47495228075468</v>
      </c>
      <c r="Q45" s="199">
        <v>346.69377764290607</v>
      </c>
      <c r="R45" s="199"/>
      <c r="S45" s="200">
        <v>6173.5717211550455</v>
      </c>
      <c r="T45" s="199"/>
      <c r="U45" s="232">
        <v>0.31259529315342233</v>
      </c>
      <c r="V45" s="199"/>
      <c r="W45" s="199"/>
      <c r="X45" s="199"/>
    </row>
    <row r="46" spans="1:24">
      <c r="A46" s="187"/>
      <c r="B46" s="187"/>
      <c r="C46" s="187"/>
      <c r="D46" s="189" t="s">
        <v>220</v>
      </c>
      <c r="E46" s="187" t="s">
        <v>240</v>
      </c>
      <c r="F46" s="199">
        <v>707.70785028773594</v>
      </c>
      <c r="G46" s="199">
        <v>543.27</v>
      </c>
      <c r="H46" s="199">
        <v>1036.3225669793369</v>
      </c>
      <c r="I46" s="199">
        <v>1353.6772706549536</v>
      </c>
      <c r="J46" s="199">
        <v>2122.9790891646139</v>
      </c>
      <c r="K46" s="199">
        <v>1448.4213802992103</v>
      </c>
      <c r="L46" s="199">
        <v>1188.6667134454517</v>
      </c>
      <c r="M46" s="199">
        <v>1038.4356831384898</v>
      </c>
      <c r="N46" s="199">
        <v>935.47517842871343</v>
      </c>
      <c r="O46" s="199">
        <v>1169.5335960799721</v>
      </c>
      <c r="P46" s="199">
        <v>1351.1127912835859</v>
      </c>
      <c r="Q46" s="199">
        <v>680.23332026188075</v>
      </c>
      <c r="R46" s="199"/>
      <c r="S46" s="200">
        <v>13575.835440023944</v>
      </c>
      <c r="T46" s="199"/>
      <c r="U46" s="232">
        <v>0.68740470684657751</v>
      </c>
      <c r="V46" s="199"/>
      <c r="W46" s="199"/>
      <c r="X46" s="199"/>
    </row>
    <row r="47" spans="1:24">
      <c r="A47" s="189" t="s">
        <v>218</v>
      </c>
      <c r="B47" s="207" t="s">
        <v>226</v>
      </c>
      <c r="C47" s="209"/>
      <c r="D47" s="189"/>
      <c r="E47" s="226" t="s">
        <v>241</v>
      </c>
      <c r="F47" s="210">
        <v>1045.5900000000001</v>
      </c>
      <c r="G47" s="210">
        <v>813.98</v>
      </c>
      <c r="H47" s="210">
        <v>1526.55</v>
      </c>
      <c r="I47" s="210">
        <v>1941.5</v>
      </c>
      <c r="J47" s="210">
        <v>3117.56</v>
      </c>
      <c r="K47" s="210">
        <v>2075.2799999999997</v>
      </c>
      <c r="L47" s="210">
        <v>1733.6</v>
      </c>
      <c r="M47" s="210">
        <v>1445.4699999999998</v>
      </c>
      <c r="N47" s="210">
        <v>1311.7700000000002</v>
      </c>
      <c r="O47" s="210">
        <v>1723.98</v>
      </c>
      <c r="P47" s="210">
        <v>2113.36</v>
      </c>
      <c r="Q47" s="210">
        <v>1025.48</v>
      </c>
      <c r="R47" s="210"/>
      <c r="S47" s="211">
        <v>19874.12</v>
      </c>
      <c r="T47" s="212"/>
      <c r="U47" s="212"/>
      <c r="V47" s="212"/>
      <c r="W47" s="212"/>
      <c r="X47" s="212"/>
    </row>
    <row r="48" spans="1:24">
      <c r="A48" s="189"/>
      <c r="B48" s="189"/>
      <c r="C48" s="189"/>
      <c r="D48" s="189" t="s">
        <v>218</v>
      </c>
      <c r="E48" s="187" t="s">
        <v>242</v>
      </c>
      <c r="F48" s="199">
        <v>817.5460075720207</v>
      </c>
      <c r="G48" s="199">
        <v>546.03000000000009</v>
      </c>
      <c r="H48" s="199">
        <v>630.31349840058488</v>
      </c>
      <c r="I48" s="199">
        <v>609.20172686839908</v>
      </c>
      <c r="J48" s="199">
        <v>633.9629558601813</v>
      </c>
      <c r="K48" s="199">
        <v>634.80031420827902</v>
      </c>
      <c r="L48" s="199">
        <v>667.51224264370501</v>
      </c>
      <c r="M48" s="199">
        <v>690.2653966970413</v>
      </c>
      <c r="N48" s="199">
        <v>566.91381286699755</v>
      </c>
      <c r="O48" s="199">
        <v>669.03568801253402</v>
      </c>
      <c r="P48" s="199">
        <v>655.50614845798009</v>
      </c>
      <c r="Q48" s="199">
        <v>665.91765136082995</v>
      </c>
      <c r="R48" s="199"/>
      <c r="S48" s="200">
        <v>7787.0054429485526</v>
      </c>
      <c r="T48" s="199"/>
      <c r="U48" s="233">
        <v>0.93483641320104327</v>
      </c>
      <c r="V48" s="199"/>
      <c r="W48" s="199"/>
      <c r="X48" s="199"/>
    </row>
    <row r="49" spans="1:24">
      <c r="A49" s="189"/>
      <c r="B49" s="189"/>
      <c r="C49" s="187"/>
      <c r="D49" s="189" t="s">
        <v>220</v>
      </c>
      <c r="E49" s="187" t="s">
        <v>243</v>
      </c>
      <c r="F49" s="199">
        <v>1050.5267111563091</v>
      </c>
      <c r="G49" s="199">
        <v>728.98</v>
      </c>
      <c r="H49" s="199">
        <v>911.6614914148862</v>
      </c>
      <c r="I49" s="199">
        <v>834.55915455578997</v>
      </c>
      <c r="J49" s="199">
        <v>904.5092535798035</v>
      </c>
      <c r="K49" s="199">
        <v>879.14102113598528</v>
      </c>
      <c r="L49" s="199">
        <v>910.499265381329</v>
      </c>
      <c r="M49" s="199">
        <v>896.39795451442205</v>
      </c>
      <c r="N49" s="199">
        <v>798.26620824760948</v>
      </c>
      <c r="O49" s="199">
        <v>892.20743117100096</v>
      </c>
      <c r="P49" s="199">
        <v>975.2461107060883</v>
      </c>
      <c r="Q49" s="199">
        <v>901.45321382805287</v>
      </c>
      <c r="R49" s="199"/>
      <c r="S49" s="200">
        <v>10683.447815691274</v>
      </c>
      <c r="T49" s="199"/>
      <c r="U49" s="199"/>
      <c r="V49" s="199"/>
      <c r="W49" s="199"/>
      <c r="X49" s="199">
        <v>18470.453258639827</v>
      </c>
    </row>
    <row r="50" spans="1:24">
      <c r="A50" s="208" t="s">
        <v>218</v>
      </c>
      <c r="B50" s="227" t="s">
        <v>223</v>
      </c>
      <c r="C50" s="209"/>
      <c r="D50" s="209"/>
      <c r="E50" s="226" t="s">
        <v>244</v>
      </c>
      <c r="F50" s="210">
        <v>1847.4099999999999</v>
      </c>
      <c r="G50" s="210">
        <v>1272.5800000000002</v>
      </c>
      <c r="H50" s="210">
        <v>1556.7099999999998</v>
      </c>
      <c r="I50" s="210">
        <v>1467.73</v>
      </c>
      <c r="J50" s="210">
        <v>1555.5100000000002</v>
      </c>
      <c r="K50" s="210">
        <v>1515.5800000000002</v>
      </c>
      <c r="L50" s="210">
        <v>1594.92</v>
      </c>
      <c r="M50" s="210">
        <v>1598.67</v>
      </c>
      <c r="N50" s="210">
        <v>1377.03</v>
      </c>
      <c r="O50" s="210">
        <v>1567.53</v>
      </c>
      <c r="P50" s="210">
        <v>1625.8600000000001</v>
      </c>
      <c r="Q50" s="210">
        <v>1582.03</v>
      </c>
      <c r="R50" s="210"/>
      <c r="S50" s="211">
        <v>18561.560000000001</v>
      </c>
      <c r="T50" s="212"/>
      <c r="U50" s="212"/>
      <c r="V50" s="212"/>
      <c r="W50" s="212"/>
      <c r="X50" s="212"/>
    </row>
    <row r="51" spans="1:24">
      <c r="A51" s="189"/>
      <c r="B51" s="189"/>
      <c r="C51" s="189"/>
      <c r="D51" s="189"/>
      <c r="E51" s="228" t="s">
        <v>245</v>
      </c>
      <c r="F51" s="229">
        <v>6415.03</v>
      </c>
      <c r="G51" s="229">
        <v>4775.1600000000008</v>
      </c>
      <c r="H51" s="229">
        <v>6369.49</v>
      </c>
      <c r="I51" s="229">
        <v>6585.8000000000011</v>
      </c>
      <c r="J51" s="229">
        <v>8250.2400000000016</v>
      </c>
      <c r="K51" s="229">
        <v>6952.82</v>
      </c>
      <c r="L51" s="229">
        <v>6836.0000000000018</v>
      </c>
      <c r="M51" s="229">
        <v>6661.71</v>
      </c>
      <c r="N51" s="229">
        <v>5845.3200000000006</v>
      </c>
      <c r="O51" s="229">
        <v>6736.7200000000012</v>
      </c>
      <c r="P51" s="229">
        <v>7243.9199999999983</v>
      </c>
      <c r="Q51" s="229">
        <v>5819.9000000000005</v>
      </c>
      <c r="R51" s="229"/>
      <c r="S51" s="230">
        <v>78492.11</v>
      </c>
      <c r="T51" s="199"/>
      <c r="U51" s="199"/>
      <c r="V51" s="199"/>
      <c r="W51" s="199"/>
      <c r="X51" s="199"/>
    </row>
    <row r="52" spans="1:24">
      <c r="A52" s="217"/>
      <c r="B52" s="217"/>
      <c r="C52" s="217"/>
      <c r="D52" s="217"/>
      <c r="E52" s="218" t="s">
        <v>246</v>
      </c>
      <c r="F52" s="219">
        <v>6403.2894045287421</v>
      </c>
      <c r="G52" s="219">
        <v>4754.0300000000007</v>
      </c>
      <c r="H52" s="219">
        <v>6306.8777029483754</v>
      </c>
      <c r="I52" s="219">
        <v>6508.8196632460313</v>
      </c>
      <c r="J52" s="219">
        <v>8144.2161749211064</v>
      </c>
      <c r="K52" s="219">
        <v>6932.9209823616338</v>
      </c>
      <c r="L52" s="219">
        <v>6785.2070533973902</v>
      </c>
      <c r="M52" s="219">
        <v>6611.9786696422188</v>
      </c>
      <c r="N52" s="219">
        <v>5798.6129628289345</v>
      </c>
      <c r="O52" s="219">
        <v>6699.8691714956913</v>
      </c>
      <c r="P52" s="219">
        <v>7102.429501728755</v>
      </c>
      <c r="Q52" s="219">
        <v>5767.7620069795221</v>
      </c>
      <c r="R52" s="219"/>
      <c r="S52" s="220">
        <v>77816.013294078381</v>
      </c>
      <c r="T52" s="199"/>
      <c r="U52" s="199"/>
      <c r="V52" s="199"/>
      <c r="W52" s="199"/>
      <c r="X52" s="199"/>
    </row>
    <row r="53" spans="1:24">
      <c r="A53" s="189"/>
      <c r="B53" s="189"/>
      <c r="C53" s="189"/>
      <c r="D53" s="189"/>
      <c r="E53" s="221" t="s">
        <v>229</v>
      </c>
      <c r="F53" s="222">
        <v>7.5477607560925364E-4</v>
      </c>
      <c r="G53" s="222">
        <v>-2.915311256666886E-3</v>
      </c>
      <c r="H53" s="222">
        <v>-1.9818832688614951E-2</v>
      </c>
      <c r="I53" s="222">
        <v>-2.134638693357771E-2</v>
      </c>
      <c r="J53" s="222">
        <v>-3.3182864746406415E-2</v>
      </c>
      <c r="K53" s="222">
        <v>5.810494374858699E-3</v>
      </c>
      <c r="L53" s="222">
        <v>-1.1614514708447432E-2</v>
      </c>
      <c r="M53" s="222">
        <v>-3.144465364480642E-2</v>
      </c>
      <c r="N53" s="222">
        <v>-2.2583228770413188E-2</v>
      </c>
      <c r="O53" s="222">
        <v>-2.0180411489019723E-2</v>
      </c>
      <c r="P53" s="222">
        <v>-3.4190275348081944E-2</v>
      </c>
      <c r="Q53" s="222">
        <v>-9.7055594794348554E-3</v>
      </c>
      <c r="R53" s="199"/>
      <c r="S53" s="222">
        <v>-1.7578403720738267E-2</v>
      </c>
      <c r="T53" s="199"/>
      <c r="U53" s="199"/>
      <c r="V53" s="199"/>
      <c r="W53" s="199"/>
      <c r="X53" s="199"/>
    </row>
    <row r="54" spans="1:24">
      <c r="A54" s="189"/>
      <c r="B54" s="189"/>
      <c r="C54" s="189"/>
      <c r="D54" s="189"/>
      <c r="E54" s="187"/>
      <c r="F54" s="199"/>
      <c r="G54" s="199"/>
      <c r="H54" s="199"/>
      <c r="I54" s="199"/>
      <c r="J54" s="199"/>
      <c r="K54" s="199"/>
      <c r="L54" s="199"/>
      <c r="M54" s="199"/>
      <c r="N54" s="199"/>
      <c r="O54" s="199"/>
      <c r="P54" s="199"/>
      <c r="Q54" s="199"/>
      <c r="R54" s="199"/>
      <c r="S54" s="200"/>
      <c r="T54" s="199"/>
      <c r="U54" s="199"/>
      <c r="V54" s="199"/>
      <c r="W54" s="199"/>
      <c r="X54" s="199"/>
    </row>
    <row r="55" spans="1:24">
      <c r="A55" s="189"/>
      <c r="B55" s="189"/>
      <c r="C55" s="189"/>
      <c r="D55" s="189"/>
      <c r="E55" s="234" t="s">
        <v>247</v>
      </c>
      <c r="F55" s="199">
        <v>9974.1115234102635</v>
      </c>
      <c r="G55" s="199">
        <v>8124.630000000001</v>
      </c>
      <c r="H55" s="199">
        <v>9465.5644181550761</v>
      </c>
      <c r="I55" s="199">
        <v>9328.8057296057577</v>
      </c>
      <c r="J55" s="199">
        <v>9917.6769220168353</v>
      </c>
      <c r="K55" s="199">
        <v>9583.1335687483152</v>
      </c>
      <c r="L55" s="199">
        <v>9722.2981466291858</v>
      </c>
      <c r="M55" s="199">
        <v>10185.656767300803</v>
      </c>
      <c r="N55" s="199">
        <v>8875.197512835859</v>
      </c>
      <c r="O55" s="199">
        <v>10094.272221601968</v>
      </c>
      <c r="P55" s="199">
        <v>9797.8269486245463</v>
      </c>
      <c r="Q55" s="199">
        <v>9232.8910061109218</v>
      </c>
      <c r="R55" s="199"/>
      <c r="S55" s="200">
        <v>114302.06476503953</v>
      </c>
      <c r="T55" s="199"/>
      <c r="U55" s="199"/>
      <c r="V55" s="199"/>
      <c r="W55" s="199"/>
      <c r="X55" s="199"/>
    </row>
    <row r="56" spans="1:24">
      <c r="A56" s="189"/>
      <c r="B56" s="189"/>
      <c r="C56" s="189"/>
      <c r="D56" s="189"/>
      <c r="E56" s="235" t="s">
        <v>229</v>
      </c>
      <c r="F56" s="222">
        <v>-0.10105480913984122</v>
      </c>
      <c r="G56" s="222">
        <v>-9.4183557428590414E-2</v>
      </c>
      <c r="H56" s="222">
        <v>-0.13954107792710602</v>
      </c>
      <c r="I56" s="222">
        <v>-0.17660029819131107</v>
      </c>
      <c r="J56" s="222">
        <v>-0.24311262542570877</v>
      </c>
      <c r="K56" s="222">
        <v>-0.18321157374276043</v>
      </c>
      <c r="L56" s="222">
        <v>-0.15432759740293922</v>
      </c>
      <c r="M56" s="222">
        <v>-0.13418341655453558</v>
      </c>
      <c r="N56" s="222">
        <v>-0.13649686150731122</v>
      </c>
      <c r="O56" s="222">
        <v>-0.15417836504573634</v>
      </c>
      <c r="P56" s="222">
        <v>-0.18351442094795445</v>
      </c>
      <c r="Q56" s="222">
        <v>-0.10341305187788075</v>
      </c>
      <c r="R56" s="222"/>
      <c r="S56" s="222">
        <v>-0.15332989215899462</v>
      </c>
      <c r="T56" s="199"/>
      <c r="U56" s="199"/>
      <c r="V56" s="199"/>
      <c r="W56" s="199"/>
      <c r="X56" s="199"/>
    </row>
    <row r="57" spans="1:24">
      <c r="A57" s="189"/>
      <c r="B57" s="189"/>
      <c r="C57" s="189"/>
      <c r="D57" s="189"/>
      <c r="E57" s="234" t="s">
        <v>248</v>
      </c>
      <c r="F57" s="199">
        <v>4297.7393872929615</v>
      </c>
      <c r="G57" s="199">
        <v>3211.7400000000002</v>
      </c>
      <c r="H57" s="199">
        <v>3655.7503606079149</v>
      </c>
      <c r="I57" s="199">
        <v>3530.3758554565979</v>
      </c>
      <c r="J57" s="199">
        <v>3598.7515499207116</v>
      </c>
      <c r="K57" s="199">
        <v>3524.9389504204273</v>
      </c>
      <c r="L57" s="199">
        <v>3582.6071579147865</v>
      </c>
      <c r="M57" s="199">
        <v>3915.6736633962628</v>
      </c>
      <c r="N57" s="199">
        <v>3178.3613669829101</v>
      </c>
      <c r="O57" s="199">
        <v>3800.4809985849188</v>
      </c>
      <c r="P57" s="199">
        <v>3834.0765844050056</v>
      </c>
      <c r="Q57" s="199">
        <v>3511.9686612121895</v>
      </c>
      <c r="R57" s="199"/>
      <c r="S57" s="200">
        <v>43642.464536194682</v>
      </c>
      <c r="T57" s="199"/>
      <c r="U57" s="236">
        <v>0.19086468950533869</v>
      </c>
      <c r="V57" s="199"/>
      <c r="W57" s="199"/>
      <c r="X57" s="199"/>
    </row>
    <row r="58" spans="1:24">
      <c r="A58" s="189"/>
      <c r="B58" s="189"/>
      <c r="C58" s="189"/>
      <c r="D58" s="189"/>
      <c r="E58" s="234" t="s">
        <v>249</v>
      </c>
      <c r="F58" s="199">
        <v>1030.438375078252</v>
      </c>
      <c r="G58" s="199">
        <v>801.45</v>
      </c>
      <c r="H58" s="199">
        <v>1515.6114592749473</v>
      </c>
      <c r="I58" s="199">
        <v>1931.4394797530954</v>
      </c>
      <c r="J58" s="199">
        <v>3091.1586783387384</v>
      </c>
      <c r="K58" s="199">
        <v>2092.4861391512804</v>
      </c>
      <c r="L58" s="199">
        <v>1733.901655908036</v>
      </c>
      <c r="M58" s="199">
        <v>1446.3475845494806</v>
      </c>
      <c r="N58" s="199">
        <v>1328.6941785420202</v>
      </c>
      <c r="O58" s="199">
        <v>1735.3647691140118</v>
      </c>
      <c r="P58" s="199">
        <v>2015.5877435643406</v>
      </c>
      <c r="Q58" s="199">
        <v>1026.9270979047869</v>
      </c>
      <c r="R58" s="199"/>
      <c r="S58" s="200">
        <v>19749.407161178991</v>
      </c>
      <c r="T58" s="199"/>
      <c r="U58" s="199"/>
      <c r="V58" s="199"/>
      <c r="W58" s="199"/>
      <c r="X58" s="199"/>
    </row>
    <row r="59" spans="1:24">
      <c r="A59" s="189"/>
      <c r="B59" s="189"/>
      <c r="C59" s="189"/>
      <c r="D59" s="189"/>
      <c r="E59" s="235" t="s">
        <v>229</v>
      </c>
      <c r="F59" s="222">
        <v>0.12639320177815638</v>
      </c>
      <c r="G59" s="222">
        <v>0.16421196763684609</v>
      </c>
      <c r="H59" s="222">
        <v>0.30764958653826158</v>
      </c>
      <c r="I59" s="222">
        <v>0.407713389763112</v>
      </c>
      <c r="J59" s="222">
        <v>0.67819600996883134</v>
      </c>
      <c r="K59" s="222">
        <v>0.46482803578001541</v>
      </c>
      <c r="L59" s="222">
        <v>0.43038409342958617</v>
      </c>
      <c r="M59" s="222">
        <v>0.25961296723086935</v>
      </c>
      <c r="N59" s="222">
        <v>0.2665711796150958</v>
      </c>
      <c r="O59" s="222">
        <v>0.32038490857676161</v>
      </c>
      <c r="P59" s="222">
        <v>0.43190224514822795</v>
      </c>
      <c r="Q59" s="222">
        <v>0.17652895486809483</v>
      </c>
      <c r="R59" s="222"/>
      <c r="S59" s="222">
        <v>0.33453228639900745</v>
      </c>
      <c r="T59" s="199"/>
      <c r="U59" s="199"/>
      <c r="V59" s="199"/>
      <c r="W59" s="199"/>
      <c r="X59" s="199"/>
    </row>
    <row r="60" spans="1:24">
      <c r="A60" s="189"/>
      <c r="B60" s="189"/>
      <c r="C60" s="189"/>
      <c r="D60" s="189"/>
      <c r="E60" s="237" t="s">
        <v>250</v>
      </c>
      <c r="F60" s="219">
        <v>15302.289285781479</v>
      </c>
      <c r="G60" s="219">
        <v>12137.820000000002</v>
      </c>
      <c r="H60" s="219">
        <v>14636.926238037939</v>
      </c>
      <c r="I60" s="219">
        <v>14790.62106481545</v>
      </c>
      <c r="J60" s="219">
        <v>16607.587150276286</v>
      </c>
      <c r="K60" s="219">
        <v>15200.558658320022</v>
      </c>
      <c r="L60" s="219">
        <v>15038.806960452008</v>
      </c>
      <c r="M60" s="219">
        <v>15547.678015246547</v>
      </c>
      <c r="N60" s="219">
        <v>13382.25305836079</v>
      </c>
      <c r="O60" s="219">
        <v>15630.117989300899</v>
      </c>
      <c r="P60" s="219">
        <v>15647.491276593893</v>
      </c>
      <c r="Q60" s="219">
        <v>13771.786765227898</v>
      </c>
      <c r="R60" s="219"/>
      <c r="S60" s="220">
        <v>177693.93646241323</v>
      </c>
      <c r="T60" s="199"/>
      <c r="U60" s="199"/>
      <c r="V60" s="199"/>
      <c r="W60" s="199"/>
      <c r="X60" s="199"/>
    </row>
    <row r="61" spans="1:24">
      <c r="A61" s="189"/>
      <c r="B61" s="189"/>
      <c r="C61" s="189"/>
      <c r="D61" s="189"/>
      <c r="E61" s="235" t="s">
        <v>229</v>
      </c>
      <c r="F61" s="222">
        <v>-3.3070408748994362E-2</v>
      </c>
      <c r="G61" s="222">
        <v>-2.2446690017259185E-2</v>
      </c>
      <c r="H61" s="222">
        <v>-2.1288356767303895E-2</v>
      </c>
      <c r="I61" s="222">
        <v>-2.7543169299305004E-2</v>
      </c>
      <c r="J61" s="222">
        <v>-2.8205608537802518E-2</v>
      </c>
      <c r="K61" s="222">
        <v>-2.3575377639540207E-2</v>
      </c>
      <c r="L61" s="222">
        <v>-1.1474317626403163E-2</v>
      </c>
      <c r="M61" s="222">
        <v>-2.9549905109727215E-2</v>
      </c>
      <c r="N61" s="222">
        <v>-3.2836603041152546E-2</v>
      </c>
      <c r="O61" s="222">
        <v>-3.080335506304388E-2</v>
      </c>
      <c r="P61" s="222">
        <v>-2.7214310971182765E-2</v>
      </c>
      <c r="Q61" s="222">
        <v>-2.7120065130848525E-2</v>
      </c>
      <c r="R61" s="199"/>
      <c r="S61" s="222">
        <v>-2.635102672013423E-2</v>
      </c>
      <c r="T61" s="199"/>
      <c r="U61" s="199"/>
      <c r="V61" s="199"/>
      <c r="W61" s="199"/>
      <c r="X61" s="199"/>
    </row>
    <row r="62" spans="1:24">
      <c r="A62" s="189"/>
      <c r="B62" s="189"/>
      <c r="C62" s="189"/>
      <c r="D62" s="189"/>
      <c r="E62" s="187"/>
      <c r="F62" s="199"/>
      <c r="G62" s="199"/>
      <c r="H62" s="199"/>
      <c r="I62" s="199"/>
      <c r="J62" s="199"/>
      <c r="K62" s="199"/>
      <c r="L62" s="199"/>
      <c r="M62" s="199"/>
      <c r="N62" s="199"/>
      <c r="O62" s="199"/>
      <c r="P62" s="199"/>
      <c r="Q62" s="199"/>
      <c r="R62" s="199"/>
      <c r="S62" s="223"/>
      <c r="T62" s="199"/>
      <c r="U62" s="199"/>
      <c r="V62" s="199"/>
      <c r="W62" s="199"/>
      <c r="X62" s="199"/>
    </row>
    <row r="63" spans="1:24" ht="15" thickBot="1">
      <c r="A63" s="189"/>
      <c r="B63" s="189"/>
      <c r="C63" s="189"/>
      <c r="D63" s="189"/>
      <c r="E63" s="196" t="s">
        <v>251</v>
      </c>
      <c r="F63" s="197"/>
      <c r="G63" s="197"/>
      <c r="H63" s="197"/>
      <c r="I63" s="197"/>
      <c r="J63" s="197"/>
      <c r="K63" s="197"/>
      <c r="L63" s="197"/>
      <c r="M63" s="197"/>
      <c r="N63" s="197"/>
      <c r="O63" s="197"/>
      <c r="P63" s="197"/>
      <c r="Q63" s="197"/>
      <c r="R63" s="197"/>
      <c r="S63" s="196"/>
      <c r="T63" s="187"/>
      <c r="U63" s="187"/>
      <c r="V63" s="187"/>
      <c r="W63" s="187"/>
      <c r="X63" s="187"/>
    </row>
    <row r="64" spans="1:24">
      <c r="A64" s="189"/>
      <c r="B64" s="189"/>
      <c r="C64" s="189"/>
      <c r="D64" s="189"/>
      <c r="E64" s="187"/>
      <c r="F64" s="199"/>
      <c r="G64" s="199"/>
      <c r="H64" s="199"/>
      <c r="I64" s="199"/>
      <c r="J64" s="199"/>
      <c r="K64" s="199"/>
      <c r="L64" s="199"/>
      <c r="M64" s="199"/>
      <c r="N64" s="199"/>
      <c r="O64" s="199"/>
      <c r="P64" s="199"/>
      <c r="Q64" s="199"/>
      <c r="R64" s="199"/>
      <c r="S64" s="223"/>
      <c r="T64" s="199"/>
      <c r="U64" s="199"/>
      <c r="V64" s="199"/>
      <c r="W64" s="199"/>
      <c r="X64" s="199"/>
    </row>
    <row r="65" spans="1:24">
      <c r="A65" s="187"/>
      <c r="B65" s="187"/>
      <c r="C65" s="189"/>
      <c r="D65" s="189"/>
      <c r="E65" s="188" t="s">
        <v>215</v>
      </c>
      <c r="F65" s="199"/>
      <c r="G65" s="199"/>
      <c r="H65" s="199"/>
      <c r="I65" s="199"/>
      <c r="J65" s="199"/>
      <c r="K65" s="199"/>
      <c r="L65" s="199"/>
      <c r="M65" s="199"/>
      <c r="N65" s="199"/>
      <c r="O65" s="199"/>
      <c r="P65" s="199"/>
      <c r="Q65" s="199"/>
      <c r="R65" s="199"/>
      <c r="S65" s="223"/>
      <c r="T65" s="199"/>
      <c r="U65" s="199"/>
      <c r="V65" s="199"/>
      <c r="W65" s="199"/>
      <c r="X65" s="199"/>
    </row>
    <row r="66" spans="1:24">
      <c r="A66" s="187"/>
      <c r="B66" s="187"/>
      <c r="C66" s="189"/>
      <c r="D66" s="189"/>
      <c r="E66" s="187" t="s">
        <v>219</v>
      </c>
      <c r="F66" s="238">
        <v>134.59</v>
      </c>
      <c r="G66" s="239">
        <v>134.59</v>
      </c>
      <c r="H66" s="239">
        <v>134.59</v>
      </c>
      <c r="I66" s="239">
        <v>134.59</v>
      </c>
      <c r="J66" s="239">
        <v>134.59</v>
      </c>
      <c r="K66" s="239">
        <v>134.59</v>
      </c>
      <c r="L66" s="239">
        <v>134.59</v>
      </c>
      <c r="M66" s="239">
        <v>134.59</v>
      </c>
      <c r="N66" s="239">
        <v>134.59</v>
      </c>
      <c r="O66" s="239">
        <v>134.59</v>
      </c>
      <c r="P66" s="239">
        <v>134.59</v>
      </c>
      <c r="Q66" s="239">
        <v>134.59</v>
      </c>
      <c r="R66" s="239"/>
      <c r="S66" s="240"/>
      <c r="T66" s="199"/>
      <c r="U66" s="199"/>
      <c r="V66" s="199"/>
      <c r="W66" s="199"/>
      <c r="X66" s="199"/>
    </row>
    <row r="67" spans="1:24">
      <c r="A67" s="187"/>
      <c r="B67" s="187"/>
      <c r="C67" s="189"/>
      <c r="D67" s="189"/>
      <c r="E67" s="187" t="s">
        <v>221</v>
      </c>
      <c r="F67" s="239">
        <v>134.59</v>
      </c>
      <c r="G67" s="239">
        <v>134.59</v>
      </c>
      <c r="H67" s="239">
        <v>134.59</v>
      </c>
      <c r="I67" s="239">
        <v>134.59</v>
      </c>
      <c r="J67" s="239">
        <v>134.59</v>
      </c>
      <c r="K67" s="239">
        <v>134.59</v>
      </c>
      <c r="L67" s="239">
        <v>134.59</v>
      </c>
      <c r="M67" s="239">
        <v>134.59</v>
      </c>
      <c r="N67" s="239">
        <v>134.59</v>
      </c>
      <c r="O67" s="239">
        <v>134.59</v>
      </c>
      <c r="P67" s="239">
        <v>134.59</v>
      </c>
      <c r="Q67" s="239">
        <v>134.59</v>
      </c>
      <c r="R67" s="239"/>
      <c r="S67" s="240"/>
      <c r="T67" s="199"/>
      <c r="U67" s="199"/>
      <c r="V67" s="199"/>
      <c r="W67" s="199"/>
      <c r="X67" s="199"/>
    </row>
    <row r="68" spans="1:24">
      <c r="A68" s="187"/>
      <c r="B68" s="187"/>
      <c r="C68" s="189"/>
      <c r="D68" s="189">
        <v>55.913722463869796</v>
      </c>
      <c r="E68" s="187" t="s">
        <v>224</v>
      </c>
      <c r="F68" s="238"/>
      <c r="G68" s="239">
        <v>0</v>
      </c>
      <c r="H68" s="239">
        <v>0</v>
      </c>
      <c r="I68" s="239">
        <v>0</v>
      </c>
      <c r="J68" s="239">
        <v>0</v>
      </c>
      <c r="K68" s="239">
        <v>0</v>
      </c>
      <c r="L68" s="239">
        <v>0</v>
      </c>
      <c r="M68" s="239">
        <v>0</v>
      </c>
      <c r="N68" s="239">
        <v>0</v>
      </c>
      <c r="O68" s="239">
        <v>0</v>
      </c>
      <c r="P68" s="239">
        <v>0</v>
      </c>
      <c r="Q68" s="239">
        <v>0</v>
      </c>
      <c r="R68" s="239"/>
      <c r="S68" s="240"/>
      <c r="T68" s="199"/>
      <c r="U68" s="199"/>
      <c r="V68" s="199"/>
      <c r="W68" s="199"/>
      <c r="X68" s="199"/>
    </row>
    <row r="69" spans="1:24">
      <c r="A69" s="187"/>
      <c r="B69" s="187"/>
      <c r="C69" s="189"/>
      <c r="D69" s="189"/>
      <c r="E69" s="187" t="s">
        <v>225</v>
      </c>
      <c r="F69" s="238">
        <v>0</v>
      </c>
      <c r="G69" s="239">
        <v>0</v>
      </c>
      <c r="H69" s="239">
        <v>0</v>
      </c>
      <c r="I69" s="239">
        <v>0</v>
      </c>
      <c r="J69" s="239">
        <v>0</v>
      </c>
      <c r="K69" s="239">
        <v>0</v>
      </c>
      <c r="L69" s="239">
        <v>0</v>
      </c>
      <c r="M69" s="239">
        <v>0</v>
      </c>
      <c r="N69" s="239">
        <v>0</v>
      </c>
      <c r="O69" s="239">
        <v>0</v>
      </c>
      <c r="P69" s="239">
        <v>0</v>
      </c>
      <c r="Q69" s="239">
        <v>0</v>
      </c>
      <c r="R69" s="239"/>
      <c r="S69" s="240"/>
      <c r="T69" s="199"/>
      <c r="U69" s="199"/>
      <c r="V69" s="199"/>
      <c r="W69" s="199"/>
      <c r="X69" s="199"/>
    </row>
    <row r="70" spans="1:24">
      <c r="A70" s="187"/>
      <c r="B70" s="187"/>
      <c r="C70" s="189"/>
      <c r="D70" s="189"/>
      <c r="E70" s="187"/>
      <c r="F70" s="199"/>
      <c r="G70" s="199"/>
      <c r="H70" s="199"/>
      <c r="I70" s="199"/>
      <c r="J70" s="199"/>
      <c r="K70" s="199"/>
      <c r="L70" s="199"/>
      <c r="M70" s="199"/>
      <c r="N70" s="199"/>
      <c r="O70" s="199"/>
      <c r="P70" s="199"/>
      <c r="Q70" s="199"/>
      <c r="R70" s="199"/>
      <c r="S70" s="223"/>
      <c r="T70" s="199"/>
      <c r="U70" s="199"/>
      <c r="V70" s="199"/>
      <c r="W70" s="199"/>
      <c r="X70" s="199"/>
    </row>
    <row r="71" spans="1:24">
      <c r="A71" s="187"/>
      <c r="B71" s="187"/>
      <c r="C71" s="189"/>
      <c r="D71" s="189"/>
      <c r="E71" s="187" t="s">
        <v>252</v>
      </c>
      <c r="F71" s="239">
        <v>824.51666860262503</v>
      </c>
      <c r="G71" s="239">
        <v>606.93644716692188</v>
      </c>
      <c r="H71" s="239">
        <v>566.0631221508977</v>
      </c>
      <c r="I71" s="239">
        <v>554.11727236816114</v>
      </c>
      <c r="J71" s="239">
        <v>518.39512558833121</v>
      </c>
      <c r="K71" s="239">
        <v>412.692301686446</v>
      </c>
      <c r="L71" s="239">
        <v>427.18175737814556</v>
      </c>
      <c r="M71" s="239">
        <v>450.34410833242333</v>
      </c>
      <c r="N71" s="239">
        <v>503.14637414999748</v>
      </c>
      <c r="O71" s="239">
        <v>595.15718044592165</v>
      </c>
      <c r="P71" s="239">
        <v>588.63991353141387</v>
      </c>
      <c r="Q71" s="239">
        <v>622.38056574122595</v>
      </c>
      <c r="R71" s="199"/>
      <c r="S71" s="223"/>
      <c r="T71" s="199"/>
      <c r="U71" s="199"/>
      <c r="V71" s="199"/>
      <c r="W71" s="199"/>
      <c r="X71" s="199"/>
    </row>
    <row r="72" spans="1:24">
      <c r="A72" s="187"/>
      <c r="B72" s="187"/>
      <c r="C72" s="189"/>
      <c r="D72" s="189"/>
      <c r="E72" s="187" t="s">
        <v>253</v>
      </c>
      <c r="F72" s="239">
        <v>90.921625903663255</v>
      </c>
      <c r="G72" s="239">
        <v>97.024306119244486</v>
      </c>
      <c r="H72" s="239">
        <v>96.233564685895658</v>
      </c>
      <c r="I72" s="239">
        <v>92.651072309531784</v>
      </c>
      <c r="J72" s="239">
        <v>92.954321750431404</v>
      </c>
      <c r="K72" s="239">
        <v>94.80910697289103</v>
      </c>
      <c r="L72" s="239">
        <v>102.9816363356159</v>
      </c>
      <c r="M72" s="239">
        <v>94.140856060043063</v>
      </c>
      <c r="N72" s="239">
        <v>101.07080535612209</v>
      </c>
      <c r="O72" s="239">
        <v>97.212035526815527</v>
      </c>
      <c r="P72" s="239">
        <v>88.508820937736843</v>
      </c>
      <c r="Q72" s="239">
        <v>93.602125673249517</v>
      </c>
      <c r="R72" s="199"/>
      <c r="S72" s="223"/>
      <c r="T72" s="199"/>
      <c r="U72" s="199"/>
      <c r="V72" s="199"/>
      <c r="W72" s="199"/>
      <c r="X72" s="199"/>
    </row>
    <row r="73" spans="1:24">
      <c r="A73" s="187"/>
      <c r="B73" s="187"/>
      <c r="C73" s="189"/>
      <c r="D73" s="189"/>
      <c r="E73" s="187"/>
      <c r="F73" s="199"/>
      <c r="G73" s="199"/>
      <c r="H73" s="199"/>
      <c r="I73" s="199"/>
      <c r="J73" s="199"/>
      <c r="K73" s="199"/>
      <c r="L73" s="199"/>
      <c r="M73" s="199"/>
      <c r="N73" s="199"/>
      <c r="O73" s="199"/>
      <c r="P73" s="199"/>
      <c r="Q73" s="199"/>
      <c r="R73" s="199"/>
      <c r="S73" s="223"/>
      <c r="T73" s="199"/>
      <c r="U73" s="199"/>
      <c r="V73" s="199"/>
      <c r="W73" s="199"/>
      <c r="X73" s="199"/>
    </row>
    <row r="74" spans="1:24">
      <c r="A74" s="187"/>
      <c r="B74" s="187"/>
      <c r="C74" s="189"/>
      <c r="D74" s="189"/>
      <c r="E74" s="188" t="s">
        <v>15</v>
      </c>
      <c r="F74" s="199"/>
      <c r="G74" s="199"/>
      <c r="H74" s="199"/>
      <c r="I74" s="199"/>
      <c r="J74" s="199"/>
      <c r="K74" s="199"/>
      <c r="L74" s="199"/>
      <c r="M74" s="199"/>
      <c r="N74" s="199"/>
      <c r="O74" s="199"/>
      <c r="P74" s="199"/>
      <c r="Q74" s="199"/>
      <c r="R74" s="199"/>
      <c r="S74" s="223"/>
      <c r="T74" s="199"/>
      <c r="U74" s="199"/>
      <c r="V74" s="199"/>
      <c r="W74" s="199"/>
      <c r="X74" s="199"/>
    </row>
    <row r="75" spans="1:24">
      <c r="A75" s="187"/>
      <c r="B75" s="187"/>
      <c r="C75" s="189"/>
      <c r="D75" s="189"/>
      <c r="E75" s="187" t="s">
        <v>219</v>
      </c>
      <c r="F75" s="239">
        <v>134.59</v>
      </c>
      <c r="G75" s="239">
        <v>134.59</v>
      </c>
      <c r="H75" s="239">
        <v>134.59</v>
      </c>
      <c r="I75" s="239">
        <v>134.59</v>
      </c>
      <c r="J75" s="239">
        <v>134.59</v>
      </c>
      <c r="K75" s="239">
        <v>134.59</v>
      </c>
      <c r="L75" s="239">
        <v>134.59</v>
      </c>
      <c r="M75" s="239">
        <v>134.59</v>
      </c>
      <c r="N75" s="239">
        <v>134.59</v>
      </c>
      <c r="O75" s="239">
        <v>134.59</v>
      </c>
      <c r="P75" s="239">
        <v>134.59</v>
      </c>
      <c r="Q75" s="239">
        <v>134.59</v>
      </c>
      <c r="R75" s="199"/>
      <c r="S75" s="223"/>
      <c r="T75" s="199"/>
      <c r="U75" s="199"/>
      <c r="V75" s="199"/>
      <c r="W75" s="199"/>
      <c r="X75" s="199"/>
    </row>
    <row r="76" spans="1:24">
      <c r="A76" s="187"/>
      <c r="B76" s="187"/>
      <c r="C76" s="189"/>
      <c r="D76" s="189"/>
      <c r="E76" s="187" t="s">
        <v>221</v>
      </c>
      <c r="F76" s="239">
        <v>134.59</v>
      </c>
      <c r="G76" s="239">
        <v>134.59</v>
      </c>
      <c r="H76" s="239">
        <v>134.59</v>
      </c>
      <c r="I76" s="239">
        <v>134.59</v>
      </c>
      <c r="J76" s="239">
        <v>134.59</v>
      </c>
      <c r="K76" s="239">
        <v>134.59</v>
      </c>
      <c r="L76" s="239">
        <v>134.59</v>
      </c>
      <c r="M76" s="239">
        <v>134.59</v>
      </c>
      <c r="N76" s="239">
        <v>134.59</v>
      </c>
      <c r="O76" s="239">
        <v>134.59</v>
      </c>
      <c r="P76" s="239">
        <v>134.59</v>
      </c>
      <c r="Q76" s="239">
        <v>134.59</v>
      </c>
      <c r="R76" s="199"/>
      <c r="S76" s="223"/>
      <c r="T76" s="199"/>
      <c r="U76" s="199"/>
      <c r="V76" s="199"/>
      <c r="W76" s="199"/>
      <c r="X76" s="199"/>
    </row>
    <row r="77" spans="1:24">
      <c r="A77" s="187"/>
      <c r="B77" s="187"/>
      <c r="C77" s="189"/>
      <c r="D77" s="189"/>
      <c r="E77" s="187" t="s">
        <v>224</v>
      </c>
      <c r="F77" s="239">
        <v>0</v>
      </c>
      <c r="G77" s="239">
        <v>0</v>
      </c>
      <c r="H77" s="239">
        <v>0</v>
      </c>
      <c r="I77" s="239">
        <v>0</v>
      </c>
      <c r="J77" s="239">
        <v>0</v>
      </c>
      <c r="K77" s="239">
        <v>0</v>
      </c>
      <c r="L77" s="239">
        <v>0</v>
      </c>
      <c r="M77" s="239">
        <v>0</v>
      </c>
      <c r="N77" s="239">
        <v>0</v>
      </c>
      <c r="O77" s="239">
        <v>0</v>
      </c>
      <c r="P77" s="239">
        <v>0</v>
      </c>
      <c r="Q77" s="239">
        <v>0</v>
      </c>
      <c r="R77" s="199"/>
      <c r="S77" s="223"/>
      <c r="T77" s="199"/>
      <c r="U77" s="199"/>
      <c r="V77" s="199"/>
      <c r="W77" s="199"/>
      <c r="X77" s="199"/>
    </row>
    <row r="78" spans="1:24">
      <c r="A78" s="187"/>
      <c r="B78" s="187"/>
      <c r="C78" s="189"/>
      <c r="D78" s="189"/>
      <c r="E78" s="187" t="s">
        <v>225</v>
      </c>
      <c r="F78" s="238">
        <v>0</v>
      </c>
      <c r="G78" s="239">
        <v>0</v>
      </c>
      <c r="H78" s="239">
        <v>0</v>
      </c>
      <c r="I78" s="239">
        <v>0</v>
      </c>
      <c r="J78" s="239">
        <v>0</v>
      </c>
      <c r="K78" s="239">
        <v>0</v>
      </c>
      <c r="L78" s="239">
        <v>0</v>
      </c>
      <c r="M78" s="239">
        <v>0</v>
      </c>
      <c r="N78" s="239">
        <v>0</v>
      </c>
      <c r="O78" s="239">
        <v>0</v>
      </c>
      <c r="P78" s="239">
        <v>0</v>
      </c>
      <c r="Q78" s="239">
        <v>0</v>
      </c>
      <c r="R78" s="199"/>
      <c r="S78" s="223"/>
      <c r="T78" s="199"/>
      <c r="U78" s="199"/>
      <c r="V78" s="199"/>
      <c r="W78" s="199"/>
      <c r="X78" s="199"/>
    </row>
    <row r="79" spans="1:24">
      <c r="A79" s="187"/>
      <c r="B79" s="187"/>
      <c r="C79" s="189"/>
      <c r="D79" s="189"/>
      <c r="E79" s="187"/>
      <c r="F79" s="199"/>
      <c r="G79" s="199"/>
      <c r="H79" s="199"/>
      <c r="I79" s="199"/>
      <c r="J79" s="199"/>
      <c r="K79" s="199"/>
      <c r="L79" s="199"/>
      <c r="M79" s="199"/>
      <c r="N79" s="199"/>
      <c r="O79" s="199"/>
      <c r="P79" s="199"/>
      <c r="Q79" s="199"/>
      <c r="R79" s="199"/>
      <c r="S79" s="223"/>
      <c r="T79" s="199"/>
      <c r="U79" s="199"/>
      <c r="V79" s="199"/>
      <c r="W79" s="199"/>
      <c r="X79" s="199"/>
    </row>
    <row r="80" spans="1:24">
      <c r="A80" s="187"/>
      <c r="B80" s="187"/>
      <c r="C80" s="189"/>
      <c r="D80" s="189"/>
      <c r="E80" s="188" t="s">
        <v>14</v>
      </c>
      <c r="F80" s="199"/>
      <c r="G80" s="199"/>
      <c r="H80" s="199"/>
      <c r="I80" s="199"/>
      <c r="J80" s="199"/>
      <c r="K80" s="199"/>
      <c r="L80" s="199"/>
      <c r="M80" s="199"/>
      <c r="N80" s="199"/>
      <c r="O80" s="199"/>
      <c r="P80" s="199"/>
      <c r="Q80" s="199"/>
      <c r="R80" s="199"/>
      <c r="S80" s="223"/>
      <c r="T80" s="199"/>
      <c r="U80" s="199"/>
      <c r="V80" s="199"/>
      <c r="W80" s="199"/>
      <c r="X80" s="199"/>
    </row>
    <row r="81" spans="1:24">
      <c r="A81" s="187"/>
      <c r="B81" s="187"/>
      <c r="C81" s="189"/>
      <c r="D81" s="189"/>
      <c r="E81" s="187" t="s">
        <v>219</v>
      </c>
      <c r="F81" s="239">
        <v>134.59</v>
      </c>
      <c r="G81" s="239">
        <v>134.59</v>
      </c>
      <c r="H81" s="239">
        <v>134.59</v>
      </c>
      <c r="I81" s="239">
        <v>134.59</v>
      </c>
      <c r="J81" s="239">
        <v>134.59</v>
      </c>
      <c r="K81" s="239">
        <v>134.59</v>
      </c>
      <c r="L81" s="239">
        <v>134.59</v>
      </c>
      <c r="M81" s="239">
        <v>134.59</v>
      </c>
      <c r="N81" s="239">
        <v>134.59</v>
      </c>
      <c r="O81" s="239">
        <v>134.59</v>
      </c>
      <c r="P81" s="239">
        <v>134.59</v>
      </c>
      <c r="Q81" s="239">
        <v>134.59</v>
      </c>
      <c r="R81" s="199"/>
      <c r="S81" s="223"/>
      <c r="T81" s="199"/>
      <c r="U81" s="199"/>
      <c r="V81" s="199"/>
      <c r="W81" s="199"/>
      <c r="X81" s="199"/>
    </row>
    <row r="82" spans="1:24">
      <c r="A82" s="187"/>
      <c r="B82" s="187"/>
      <c r="C82" s="189"/>
      <c r="D82" s="189"/>
      <c r="E82" s="187" t="s">
        <v>221</v>
      </c>
      <c r="F82" s="239">
        <v>134.59</v>
      </c>
      <c r="G82" s="239">
        <v>134.59</v>
      </c>
      <c r="H82" s="239">
        <v>134.59</v>
      </c>
      <c r="I82" s="239">
        <v>134.59</v>
      </c>
      <c r="J82" s="239">
        <v>134.59</v>
      </c>
      <c r="K82" s="239">
        <v>134.59</v>
      </c>
      <c r="L82" s="239">
        <v>134.59</v>
      </c>
      <c r="M82" s="239">
        <v>134.59</v>
      </c>
      <c r="N82" s="239">
        <v>134.59</v>
      </c>
      <c r="O82" s="239">
        <v>134.59</v>
      </c>
      <c r="P82" s="239">
        <v>134.59</v>
      </c>
      <c r="Q82" s="239">
        <v>134.59</v>
      </c>
      <c r="R82" s="199"/>
      <c r="S82" s="223"/>
      <c r="T82" s="199"/>
      <c r="U82" s="199"/>
      <c r="V82" s="199"/>
      <c r="W82" s="199"/>
      <c r="X82" s="199"/>
    </row>
    <row r="83" spans="1:24">
      <c r="A83" s="187"/>
      <c r="B83" s="187"/>
      <c r="C83" s="189"/>
      <c r="D83" s="189"/>
      <c r="E83" s="187" t="s">
        <v>239</v>
      </c>
      <c r="F83" s="238">
        <v>43.14</v>
      </c>
      <c r="G83" s="239">
        <v>43.14</v>
      </c>
      <c r="H83" s="239">
        <v>43.14</v>
      </c>
      <c r="I83" s="239">
        <v>43.14</v>
      </c>
      <c r="J83" s="239">
        <v>43.14</v>
      </c>
      <c r="K83" s="239">
        <v>43.14</v>
      </c>
      <c r="L83" s="239">
        <v>43.14</v>
      </c>
      <c r="M83" s="239">
        <v>43.14</v>
      </c>
      <c r="N83" s="239">
        <v>43.14</v>
      </c>
      <c r="O83" s="239">
        <v>43.14</v>
      </c>
      <c r="P83" s="239">
        <v>43.14</v>
      </c>
      <c r="Q83" s="239">
        <v>43.14</v>
      </c>
      <c r="R83" s="199"/>
      <c r="S83" s="223"/>
      <c r="T83" s="199"/>
      <c r="U83" s="199"/>
      <c r="V83" s="199"/>
      <c r="W83" s="199"/>
      <c r="X83" s="199"/>
    </row>
    <row r="84" spans="1:24">
      <c r="A84" s="187"/>
      <c r="B84" s="187"/>
      <c r="C84" s="189"/>
      <c r="D84" s="189"/>
      <c r="E84" s="187" t="s">
        <v>240</v>
      </c>
      <c r="F84" s="239">
        <v>43.14</v>
      </c>
      <c r="G84" s="239">
        <v>43.14</v>
      </c>
      <c r="H84" s="239">
        <v>43.14</v>
      </c>
      <c r="I84" s="239">
        <v>43.14</v>
      </c>
      <c r="J84" s="239">
        <v>43.14</v>
      </c>
      <c r="K84" s="239">
        <v>43.14</v>
      </c>
      <c r="L84" s="239">
        <v>43.14</v>
      </c>
      <c r="M84" s="239">
        <v>43.14</v>
      </c>
      <c r="N84" s="239">
        <v>43.14</v>
      </c>
      <c r="O84" s="239">
        <v>43.14</v>
      </c>
      <c r="P84" s="239">
        <v>43.14</v>
      </c>
      <c r="Q84" s="239">
        <v>43.14</v>
      </c>
      <c r="R84" s="199"/>
      <c r="S84" s="223"/>
      <c r="T84" s="199"/>
      <c r="U84" s="199"/>
      <c r="V84" s="199"/>
      <c r="W84" s="199"/>
      <c r="X84" s="199"/>
    </row>
    <row r="85" spans="1:24">
      <c r="A85" s="187"/>
      <c r="B85" s="187"/>
      <c r="C85" s="189"/>
      <c r="D85" s="189"/>
      <c r="E85" s="187" t="s">
        <v>242</v>
      </c>
      <c r="F85" s="239">
        <v>0</v>
      </c>
      <c r="G85" s="239">
        <v>0</v>
      </c>
      <c r="H85" s="239">
        <v>0</v>
      </c>
      <c r="I85" s="239">
        <v>0</v>
      </c>
      <c r="J85" s="239">
        <v>0</v>
      </c>
      <c r="K85" s="239">
        <v>0</v>
      </c>
      <c r="L85" s="239">
        <v>0</v>
      </c>
      <c r="M85" s="239">
        <v>0</v>
      </c>
      <c r="N85" s="239">
        <v>0</v>
      </c>
      <c r="O85" s="239">
        <v>0</v>
      </c>
      <c r="P85" s="239">
        <v>0</v>
      </c>
      <c r="Q85" s="239">
        <v>0</v>
      </c>
      <c r="R85" s="199"/>
      <c r="S85" s="223"/>
      <c r="T85" s="199"/>
      <c r="U85" s="199"/>
      <c r="V85" s="199"/>
      <c r="W85" s="199"/>
      <c r="X85" s="199"/>
    </row>
    <row r="86" spans="1:24">
      <c r="A86" s="187"/>
      <c r="B86" s="187"/>
      <c r="C86" s="189"/>
      <c r="D86" s="189"/>
      <c r="E86" s="187" t="s">
        <v>243</v>
      </c>
      <c r="F86" s="239">
        <v>0</v>
      </c>
      <c r="G86" s="239">
        <v>0</v>
      </c>
      <c r="H86" s="239">
        <v>0</v>
      </c>
      <c r="I86" s="239">
        <v>0</v>
      </c>
      <c r="J86" s="239">
        <v>0</v>
      </c>
      <c r="K86" s="239">
        <v>0</v>
      </c>
      <c r="L86" s="239">
        <v>0</v>
      </c>
      <c r="M86" s="239">
        <v>0</v>
      </c>
      <c r="N86" s="239">
        <v>0</v>
      </c>
      <c r="O86" s="239">
        <v>0</v>
      </c>
      <c r="P86" s="239">
        <v>0</v>
      </c>
      <c r="Q86" s="239">
        <v>0</v>
      </c>
      <c r="R86" s="199"/>
      <c r="S86" s="223"/>
      <c r="T86" s="199"/>
      <c r="U86" s="199"/>
      <c r="V86" s="199"/>
      <c r="W86" s="199"/>
      <c r="X86" s="199"/>
    </row>
    <row r="87" spans="1:24">
      <c r="A87" s="187"/>
      <c r="B87" s="187"/>
      <c r="C87" s="189"/>
      <c r="D87" s="189"/>
      <c r="E87" s="187"/>
      <c r="F87" s="199"/>
      <c r="G87" s="199"/>
      <c r="H87" s="199"/>
      <c r="I87" s="199"/>
      <c r="J87" s="199"/>
      <c r="K87" s="199"/>
      <c r="L87" s="199"/>
      <c r="M87" s="199"/>
      <c r="N87" s="199"/>
      <c r="O87" s="199"/>
      <c r="P87" s="199"/>
      <c r="Q87" s="199"/>
      <c r="R87" s="199"/>
      <c r="S87" s="223"/>
      <c r="T87" s="199"/>
      <c r="U87" s="199"/>
      <c r="V87" s="199"/>
      <c r="W87" s="199"/>
      <c r="X87" s="199"/>
    </row>
    <row r="88" spans="1:24" ht="15" thickBot="1">
      <c r="A88" s="187"/>
      <c r="B88" s="187"/>
      <c r="C88" s="189"/>
      <c r="D88" s="189"/>
      <c r="E88" s="196" t="s">
        <v>254</v>
      </c>
      <c r="F88" s="197"/>
      <c r="G88" s="197"/>
      <c r="H88" s="197"/>
      <c r="I88" s="197"/>
      <c r="J88" s="197"/>
      <c r="K88" s="197"/>
      <c r="L88" s="197"/>
      <c r="M88" s="197"/>
      <c r="N88" s="197"/>
      <c r="O88" s="197"/>
      <c r="P88" s="197"/>
      <c r="Q88" s="197"/>
      <c r="R88" s="197"/>
      <c r="S88" s="196"/>
      <c r="T88" s="187"/>
      <c r="U88" s="187"/>
      <c r="V88" s="187"/>
      <c r="W88" s="187"/>
      <c r="X88" s="187"/>
    </row>
    <row r="89" spans="1:24">
      <c r="A89" s="187"/>
      <c r="B89" s="187"/>
      <c r="C89" s="189"/>
      <c r="D89" s="189"/>
      <c r="E89" s="187"/>
      <c r="F89" s="199"/>
      <c r="G89" s="199"/>
      <c r="H89" s="199"/>
      <c r="I89" s="199"/>
      <c r="J89" s="199"/>
      <c r="K89" s="199"/>
      <c r="L89" s="199"/>
      <c r="M89" s="199"/>
      <c r="N89" s="199"/>
      <c r="O89" s="199"/>
      <c r="P89" s="199"/>
      <c r="Q89" s="199"/>
      <c r="R89" s="199"/>
      <c r="S89" s="223"/>
      <c r="T89" s="199"/>
      <c r="U89" s="199"/>
      <c r="V89" s="199"/>
      <c r="W89" s="199"/>
      <c r="X89" s="199"/>
    </row>
    <row r="90" spans="1:24">
      <c r="A90" s="187"/>
      <c r="B90" s="187"/>
      <c r="C90" s="189"/>
      <c r="D90" s="189"/>
      <c r="E90" s="187" t="s">
        <v>255</v>
      </c>
      <c r="F90" s="199">
        <v>1602507.06</v>
      </c>
      <c r="G90" s="199">
        <v>941727.99</v>
      </c>
      <c r="H90" s="199">
        <v>1315027.3500000001</v>
      </c>
      <c r="I90" s="199">
        <v>1343861.32</v>
      </c>
      <c r="J90" s="199">
        <v>1475227.9</v>
      </c>
      <c r="K90" s="199">
        <v>1390074.9899999998</v>
      </c>
      <c r="L90" s="199">
        <v>1382804.04</v>
      </c>
      <c r="M90" s="199">
        <v>1442150.56</v>
      </c>
      <c r="N90" s="199">
        <v>1250438.58</v>
      </c>
      <c r="O90" s="199">
        <v>1429918.52</v>
      </c>
      <c r="P90" s="199">
        <v>1422275.74</v>
      </c>
      <c r="Q90" s="199">
        <v>1296396.2600000002</v>
      </c>
      <c r="R90" s="199"/>
      <c r="S90" s="200">
        <v>16292410.309999999</v>
      </c>
      <c r="T90" s="199"/>
      <c r="U90" s="199"/>
      <c r="V90" s="199"/>
      <c r="W90" s="199"/>
      <c r="X90" s="199"/>
    </row>
    <row r="91" spans="1:24">
      <c r="A91" s="187"/>
      <c r="B91" s="187"/>
      <c r="C91" s="189"/>
      <c r="D91" s="189"/>
      <c r="E91" s="202" t="s">
        <v>256</v>
      </c>
      <c r="F91" s="203">
        <v>0</v>
      </c>
      <c r="G91" s="203">
        <v>0</v>
      </c>
      <c r="H91" s="203">
        <v>0</v>
      </c>
      <c r="I91" s="203">
        <v>0</v>
      </c>
      <c r="J91" s="203">
        <v>0</v>
      </c>
      <c r="K91" s="203">
        <v>0</v>
      </c>
      <c r="L91" s="203">
        <v>0</v>
      </c>
      <c r="M91" s="203">
        <v>0</v>
      </c>
      <c r="N91" s="203">
        <v>0</v>
      </c>
      <c r="O91" s="203">
        <v>0</v>
      </c>
      <c r="P91" s="203">
        <v>0</v>
      </c>
      <c r="Q91" s="203">
        <v>0</v>
      </c>
      <c r="R91" s="203"/>
      <c r="S91" s="241">
        <v>0</v>
      </c>
      <c r="T91" s="199"/>
      <c r="U91" s="199"/>
      <c r="V91" s="199"/>
      <c r="W91" s="199"/>
      <c r="X91" s="199"/>
    </row>
    <row r="92" spans="1:24">
      <c r="A92" s="187"/>
      <c r="B92" s="187"/>
      <c r="C92" s="189"/>
      <c r="D92" s="189"/>
      <c r="E92" s="187" t="s">
        <v>17</v>
      </c>
      <c r="F92" s="199">
        <v>1602507.06</v>
      </c>
      <c r="G92" s="199">
        <v>941727.99</v>
      </c>
      <c r="H92" s="199">
        <v>1315027.3500000001</v>
      </c>
      <c r="I92" s="199">
        <v>1343861.32</v>
      </c>
      <c r="J92" s="199">
        <v>1475227.9</v>
      </c>
      <c r="K92" s="199">
        <v>1390074.9899999998</v>
      </c>
      <c r="L92" s="199">
        <v>1382804.04</v>
      </c>
      <c r="M92" s="199">
        <v>1442150.56</v>
      </c>
      <c r="N92" s="199">
        <v>1250438.58</v>
      </c>
      <c r="O92" s="199">
        <v>1429918.52</v>
      </c>
      <c r="P92" s="199">
        <v>1422275.74</v>
      </c>
      <c r="Q92" s="199">
        <v>1296396.2600000002</v>
      </c>
      <c r="R92" s="199"/>
      <c r="S92" s="200">
        <v>16292410.309999999</v>
      </c>
      <c r="T92" s="199"/>
      <c r="U92" s="199"/>
      <c r="V92" s="199"/>
      <c r="W92" s="199"/>
      <c r="X92" s="199"/>
    </row>
    <row r="93" spans="1:24">
      <c r="A93" s="187"/>
      <c r="B93" s="187"/>
      <c r="C93" s="189"/>
      <c r="D93" s="189"/>
      <c r="E93" s="187"/>
      <c r="F93" s="199"/>
      <c r="G93" s="199"/>
      <c r="H93" s="199"/>
      <c r="I93" s="199"/>
      <c r="J93" s="199"/>
      <c r="K93" s="199"/>
      <c r="L93" s="199"/>
      <c r="M93" s="199"/>
      <c r="N93" s="199"/>
      <c r="O93" s="199"/>
      <c r="P93" s="199"/>
      <c r="Q93" s="199"/>
      <c r="R93" s="199"/>
      <c r="S93" s="223"/>
      <c r="T93" s="199"/>
      <c r="U93" s="199"/>
      <c r="V93" s="199"/>
      <c r="W93" s="199"/>
      <c r="X93" s="199"/>
    </row>
    <row r="94" spans="1:24">
      <c r="A94" s="187"/>
      <c r="B94" s="187"/>
      <c r="C94" s="189"/>
      <c r="D94" s="189"/>
      <c r="E94" s="187" t="s">
        <v>257</v>
      </c>
      <c r="F94" s="199"/>
      <c r="G94" s="199"/>
      <c r="H94" s="199"/>
      <c r="I94" s="199"/>
      <c r="J94" s="199"/>
      <c r="K94" s="199"/>
      <c r="L94" s="199"/>
      <c r="M94" s="199"/>
      <c r="N94" s="199"/>
      <c r="O94" s="199"/>
      <c r="P94" s="199"/>
      <c r="Q94" s="199"/>
      <c r="R94" s="199"/>
      <c r="S94" s="223"/>
      <c r="T94" s="199"/>
      <c r="U94" s="199"/>
      <c r="V94" s="199"/>
      <c r="W94" s="199"/>
      <c r="X94" s="199"/>
    </row>
    <row r="95" spans="1:24">
      <c r="A95" s="187"/>
      <c r="B95" s="187"/>
      <c r="C95" s="189"/>
      <c r="D95" s="189"/>
      <c r="E95" s="187"/>
      <c r="F95" s="199"/>
      <c r="G95" s="199"/>
      <c r="H95" s="199"/>
      <c r="I95" s="199"/>
      <c r="J95" s="199"/>
      <c r="K95" s="199"/>
      <c r="L95" s="199"/>
      <c r="M95" s="199"/>
      <c r="N95" s="199"/>
      <c r="O95" s="199"/>
      <c r="P95" s="199"/>
      <c r="Q95" s="199"/>
      <c r="R95" s="199"/>
      <c r="S95" s="223"/>
      <c r="T95" s="199"/>
      <c r="U95" s="199"/>
      <c r="V95" s="199"/>
      <c r="W95" s="199"/>
      <c r="X95" s="199"/>
    </row>
    <row r="96" spans="1:24">
      <c r="A96" s="187"/>
      <c r="B96" s="187"/>
      <c r="C96" s="189"/>
      <c r="D96" s="189"/>
      <c r="E96" s="188" t="s">
        <v>215</v>
      </c>
      <c r="F96" s="187"/>
      <c r="G96" s="199"/>
      <c r="H96" s="199"/>
      <c r="I96" s="199"/>
      <c r="J96" s="199"/>
      <c r="K96" s="199"/>
      <c r="L96" s="199"/>
      <c r="M96" s="199"/>
      <c r="N96" s="199"/>
      <c r="O96" s="199"/>
      <c r="P96" s="199"/>
      <c r="Q96" s="199"/>
      <c r="R96" s="199"/>
      <c r="S96" s="200"/>
      <c r="T96" s="199"/>
      <c r="U96" s="199"/>
      <c r="V96" s="199"/>
      <c r="W96" s="199"/>
      <c r="X96" s="199"/>
    </row>
    <row r="97" spans="1:24">
      <c r="A97" s="189"/>
      <c r="B97" s="189"/>
      <c r="C97" s="189"/>
      <c r="D97" s="189"/>
      <c r="E97" s="187" t="s">
        <v>219</v>
      </c>
      <c r="F97" s="199">
        <v>23173.706200000004</v>
      </c>
      <c r="G97" s="199">
        <v>22850.690200000001</v>
      </c>
      <c r="H97" s="199">
        <v>28934.158200000002</v>
      </c>
      <c r="I97" s="199">
        <v>27257.166800000003</v>
      </c>
      <c r="J97" s="199">
        <v>28881.668100000003</v>
      </c>
      <c r="K97" s="199">
        <v>34476.574399999998</v>
      </c>
      <c r="L97" s="199">
        <v>32196.619800000004</v>
      </c>
      <c r="M97" s="199">
        <v>36973.2189</v>
      </c>
      <c r="N97" s="199">
        <v>27115.847300000005</v>
      </c>
      <c r="O97" s="199">
        <v>29156.2317</v>
      </c>
      <c r="P97" s="199">
        <v>29262.557799999999</v>
      </c>
      <c r="Q97" s="199">
        <v>25693.230999999992</v>
      </c>
      <c r="R97" s="199"/>
      <c r="S97" s="200">
        <v>345971.6704</v>
      </c>
      <c r="T97" s="199"/>
      <c r="U97" s="199"/>
      <c r="V97" s="199" t="s">
        <v>258</v>
      </c>
      <c r="W97" s="199" t="s">
        <v>259</v>
      </c>
      <c r="X97" s="199" t="s">
        <v>260</v>
      </c>
    </row>
    <row r="98" spans="1:24">
      <c r="A98" s="189"/>
      <c r="B98" s="189"/>
      <c r="C98" s="189"/>
      <c r="D98" s="189"/>
      <c r="E98" s="187" t="s">
        <v>221</v>
      </c>
      <c r="F98" s="199">
        <v>359359.33769999992</v>
      </c>
      <c r="G98" s="199">
        <v>300456.02420000016</v>
      </c>
      <c r="H98" s="199">
        <v>346880.15289999981</v>
      </c>
      <c r="I98" s="199">
        <v>348457.54769999994</v>
      </c>
      <c r="J98" s="199">
        <v>353753.66420000041</v>
      </c>
      <c r="K98" s="199">
        <v>348168.17920000013</v>
      </c>
      <c r="L98" s="199">
        <v>353356.62370000005</v>
      </c>
      <c r="M98" s="199">
        <v>377806.24310000014</v>
      </c>
      <c r="N98" s="199">
        <v>339005.29199999967</v>
      </c>
      <c r="O98" s="199">
        <v>382955.65649999998</v>
      </c>
      <c r="P98" s="199">
        <v>362934.04810000036</v>
      </c>
      <c r="Q98" s="199">
        <v>353102.24860000011</v>
      </c>
      <c r="R98" s="199"/>
      <c r="S98" s="200">
        <v>4226235.0179000003</v>
      </c>
      <c r="T98" s="199"/>
      <c r="U98" s="199"/>
      <c r="V98" s="199">
        <v>4572206.6883000005</v>
      </c>
      <c r="W98" s="199">
        <v>4593490.4800000004</v>
      </c>
      <c r="X98" s="199">
        <v>21283.791699999943</v>
      </c>
    </row>
    <row r="99" spans="1:24">
      <c r="A99" s="189"/>
      <c r="B99" s="189"/>
      <c r="C99" s="189"/>
      <c r="D99" s="189"/>
      <c r="E99" s="187" t="s">
        <v>224</v>
      </c>
      <c r="F99" s="199">
        <v>0</v>
      </c>
      <c r="G99" s="199">
        <v>0</v>
      </c>
      <c r="H99" s="199">
        <v>0</v>
      </c>
      <c r="I99" s="199">
        <v>0</v>
      </c>
      <c r="J99" s="199">
        <v>0</v>
      </c>
      <c r="K99" s="199">
        <v>0</v>
      </c>
      <c r="L99" s="199">
        <v>0</v>
      </c>
      <c r="M99" s="199">
        <v>0</v>
      </c>
      <c r="N99" s="199">
        <v>0</v>
      </c>
      <c r="O99" s="199">
        <v>0</v>
      </c>
      <c r="P99" s="199">
        <v>0</v>
      </c>
      <c r="Q99" s="199">
        <v>0</v>
      </c>
      <c r="R99" s="199"/>
      <c r="S99" s="200">
        <v>0</v>
      </c>
      <c r="T99" s="199"/>
      <c r="U99" s="199"/>
      <c r="V99" s="199"/>
      <c r="W99" s="199"/>
      <c r="X99" s="199"/>
    </row>
    <row r="100" spans="1:24">
      <c r="A100" s="189" t="s">
        <v>216</v>
      </c>
      <c r="B100" s="189" t="s">
        <v>223</v>
      </c>
      <c r="C100" s="189" t="s">
        <v>226</v>
      </c>
      <c r="D100" s="189"/>
      <c r="E100" s="202" t="s">
        <v>225</v>
      </c>
      <c r="F100" s="203">
        <v>0</v>
      </c>
      <c r="G100" s="203">
        <v>0</v>
      </c>
      <c r="H100" s="203">
        <v>0</v>
      </c>
      <c r="I100" s="203">
        <v>0</v>
      </c>
      <c r="J100" s="203">
        <v>0</v>
      </c>
      <c r="K100" s="203">
        <v>0</v>
      </c>
      <c r="L100" s="203">
        <v>0</v>
      </c>
      <c r="M100" s="203">
        <v>0</v>
      </c>
      <c r="N100" s="203">
        <v>0</v>
      </c>
      <c r="O100" s="203">
        <v>0</v>
      </c>
      <c r="P100" s="203">
        <v>0</v>
      </c>
      <c r="Q100" s="203">
        <v>0</v>
      </c>
      <c r="R100" s="203"/>
      <c r="S100" s="241">
        <v>0</v>
      </c>
      <c r="T100" s="199"/>
      <c r="U100" s="199"/>
      <c r="V100" s="199">
        <v>0</v>
      </c>
      <c r="W100" s="199">
        <v>39849.71</v>
      </c>
      <c r="X100" s="199">
        <v>39849.71</v>
      </c>
    </row>
    <row r="101" spans="1:24">
      <c r="A101" s="189"/>
      <c r="B101" s="189"/>
      <c r="C101" s="189"/>
      <c r="D101" s="189"/>
      <c r="E101" s="187" t="s">
        <v>228</v>
      </c>
      <c r="F101" s="199">
        <v>382533.04389999993</v>
      </c>
      <c r="G101" s="199">
        <v>323306.71440000017</v>
      </c>
      <c r="H101" s="199">
        <v>375814.31109999982</v>
      </c>
      <c r="I101" s="199">
        <v>375714.71449999994</v>
      </c>
      <c r="J101" s="199">
        <v>382635.33230000042</v>
      </c>
      <c r="K101" s="199">
        <v>382644.75360000011</v>
      </c>
      <c r="L101" s="199">
        <v>385553.24350000004</v>
      </c>
      <c r="M101" s="199">
        <v>414779.46200000012</v>
      </c>
      <c r="N101" s="199">
        <v>366121.13929999969</v>
      </c>
      <c r="O101" s="199">
        <v>412111.88819999999</v>
      </c>
      <c r="P101" s="199">
        <v>392196.60590000037</v>
      </c>
      <c r="Q101" s="199">
        <v>378795.47960000008</v>
      </c>
      <c r="R101" s="199"/>
      <c r="S101" s="200">
        <v>4572206.6883000005</v>
      </c>
      <c r="T101" s="199"/>
      <c r="U101" s="199"/>
      <c r="V101" s="199"/>
      <c r="W101" s="199"/>
      <c r="X101" s="199"/>
    </row>
    <row r="102" spans="1:24">
      <c r="A102" s="189"/>
      <c r="B102" s="189"/>
      <c r="C102" s="189"/>
      <c r="D102" s="189"/>
      <c r="E102" s="187"/>
      <c r="F102" s="199"/>
      <c r="G102" s="199"/>
      <c r="H102" s="199"/>
      <c r="I102" s="199"/>
      <c r="J102" s="199"/>
      <c r="K102" s="199"/>
      <c r="L102" s="199"/>
      <c r="M102" s="199"/>
      <c r="N102" s="199"/>
      <c r="O102" s="199"/>
      <c r="P102" s="199"/>
      <c r="Q102" s="199"/>
      <c r="R102" s="199"/>
      <c r="S102" s="223"/>
      <c r="T102" s="199"/>
      <c r="U102" s="199"/>
      <c r="V102" s="199"/>
      <c r="W102" s="199"/>
      <c r="X102" s="199"/>
    </row>
    <row r="103" spans="1:24">
      <c r="A103" s="189" t="s">
        <v>216</v>
      </c>
      <c r="B103" s="189" t="s">
        <v>217</v>
      </c>
      <c r="C103" s="189">
        <v>21</v>
      </c>
      <c r="D103" s="189" t="s">
        <v>218</v>
      </c>
      <c r="E103" s="187" t="s">
        <v>261</v>
      </c>
      <c r="F103" s="199">
        <v>141965.28</v>
      </c>
      <c r="G103" s="199">
        <v>103045.67</v>
      </c>
      <c r="H103" s="199">
        <v>121692.25</v>
      </c>
      <c r="I103" s="199">
        <v>112219.83</v>
      </c>
      <c r="J103" s="199">
        <v>111242.41</v>
      </c>
      <c r="K103" s="199">
        <v>105715.26</v>
      </c>
      <c r="L103" s="199">
        <v>102190.42</v>
      </c>
      <c r="M103" s="199">
        <v>123714.03</v>
      </c>
      <c r="N103" s="199">
        <v>101368.90000000001</v>
      </c>
      <c r="O103" s="199">
        <v>128928.9</v>
      </c>
      <c r="P103" s="199">
        <v>127982.09</v>
      </c>
      <c r="Q103" s="199">
        <v>118812.45</v>
      </c>
      <c r="R103" s="199"/>
      <c r="S103" s="200">
        <v>1398877.4900000002</v>
      </c>
      <c r="T103" s="199"/>
      <c r="U103" s="199"/>
      <c r="V103" s="199"/>
      <c r="W103" s="199"/>
      <c r="X103" s="199"/>
    </row>
    <row r="104" spans="1:24">
      <c r="A104" s="189"/>
      <c r="B104" s="189"/>
      <c r="C104" s="189"/>
      <c r="D104" s="189"/>
      <c r="E104" s="187" t="s">
        <v>262</v>
      </c>
      <c r="F104" s="199">
        <v>414909.01999999979</v>
      </c>
      <c r="G104" s="199">
        <v>364567.86</v>
      </c>
      <c r="H104" s="199">
        <v>411246.44000000006</v>
      </c>
      <c r="I104" s="199">
        <v>430072.37999999995</v>
      </c>
      <c r="J104" s="199">
        <v>436299.69999999995</v>
      </c>
      <c r="K104" s="199">
        <v>430311.99</v>
      </c>
      <c r="L104" s="199">
        <v>424321.93</v>
      </c>
      <c r="M104" s="199">
        <v>481404.32999999996</v>
      </c>
      <c r="N104" s="199">
        <v>417256.67</v>
      </c>
      <c r="O104" s="199">
        <v>458691.49000000011</v>
      </c>
      <c r="P104" s="199">
        <v>430907.85000000009</v>
      </c>
      <c r="Q104" s="199">
        <v>391022.87999999995</v>
      </c>
      <c r="R104" s="199"/>
      <c r="S104" s="200">
        <v>5091012.54</v>
      </c>
      <c r="T104" s="199"/>
      <c r="U104" s="199"/>
      <c r="V104" s="199"/>
      <c r="W104" s="199"/>
      <c r="X104" s="199"/>
    </row>
    <row r="105" spans="1:24">
      <c r="A105" s="189" t="s">
        <v>216</v>
      </c>
      <c r="B105" s="189"/>
      <c r="C105" s="189"/>
      <c r="D105" s="189"/>
      <c r="E105" s="209" t="s">
        <v>232</v>
      </c>
      <c r="F105" s="216">
        <v>556874.29999999981</v>
      </c>
      <c r="G105" s="216">
        <v>467613.52999999997</v>
      </c>
      <c r="H105" s="216">
        <v>532938.69000000006</v>
      </c>
      <c r="I105" s="216">
        <v>542292.21</v>
      </c>
      <c r="J105" s="216">
        <v>547542.11</v>
      </c>
      <c r="K105" s="216">
        <v>536027.25</v>
      </c>
      <c r="L105" s="216">
        <v>526512.35</v>
      </c>
      <c r="M105" s="216">
        <v>605118.36</v>
      </c>
      <c r="N105" s="216">
        <v>518625.57</v>
      </c>
      <c r="O105" s="216">
        <v>587620.39000000013</v>
      </c>
      <c r="P105" s="216">
        <v>558889.94000000006</v>
      </c>
      <c r="Q105" s="216">
        <v>509835.32999999996</v>
      </c>
      <c r="R105" s="216"/>
      <c r="S105" s="225">
        <v>6489890.0300000003</v>
      </c>
      <c r="T105" s="199"/>
      <c r="U105" s="199"/>
      <c r="V105" s="199"/>
      <c r="W105" s="199"/>
      <c r="X105" s="199"/>
    </row>
    <row r="106" spans="1:24">
      <c r="A106" s="189"/>
      <c r="B106" s="189"/>
      <c r="C106" s="189"/>
      <c r="D106" s="189"/>
      <c r="E106" s="187"/>
      <c r="F106" s="199"/>
      <c r="G106" s="199"/>
      <c r="H106" s="199"/>
      <c r="I106" s="199"/>
      <c r="J106" s="199"/>
      <c r="K106" s="199"/>
      <c r="L106" s="199"/>
      <c r="M106" s="199"/>
      <c r="N106" s="199"/>
      <c r="O106" s="199"/>
      <c r="P106" s="199"/>
      <c r="Q106" s="199"/>
      <c r="R106" s="199"/>
      <c r="S106" s="200"/>
      <c r="T106" s="199"/>
      <c r="U106" s="199"/>
      <c r="V106" s="199"/>
      <c r="W106" s="199"/>
      <c r="X106" s="199"/>
    </row>
    <row r="107" spans="1:24">
      <c r="A107" s="189"/>
      <c r="B107" s="189"/>
      <c r="C107" s="189"/>
      <c r="D107" s="189"/>
      <c r="E107" s="188" t="s">
        <v>15</v>
      </c>
      <c r="F107" s="199"/>
      <c r="G107" s="199"/>
      <c r="H107" s="199"/>
      <c r="I107" s="199"/>
      <c r="J107" s="199"/>
      <c r="K107" s="199"/>
      <c r="L107" s="199"/>
      <c r="M107" s="199"/>
      <c r="N107" s="199"/>
      <c r="O107" s="199"/>
      <c r="P107" s="199"/>
      <c r="Q107" s="199"/>
      <c r="R107" s="199"/>
      <c r="S107" s="223"/>
      <c r="T107" s="199"/>
      <c r="U107" s="199"/>
      <c r="V107" s="199"/>
      <c r="W107" s="199"/>
      <c r="X107" s="199"/>
    </row>
    <row r="108" spans="1:24">
      <c r="A108" s="189"/>
      <c r="B108" s="189"/>
      <c r="C108" s="189"/>
      <c r="D108" s="189"/>
      <c r="E108" s="187" t="s">
        <v>219</v>
      </c>
      <c r="F108" s="199">
        <v>45189.057831781065</v>
      </c>
      <c r="G108" s="199">
        <v>36223.55260000001</v>
      </c>
      <c r="H108" s="199">
        <v>39679.354981580727</v>
      </c>
      <c r="I108" s="199">
        <v>41462.436156559532</v>
      </c>
      <c r="J108" s="199">
        <v>44154.315051805992</v>
      </c>
      <c r="K108" s="199">
        <v>44839.542548852471</v>
      </c>
      <c r="L108" s="199">
        <v>43341.073023242083</v>
      </c>
      <c r="M108" s="199">
        <v>43685.777507970612</v>
      </c>
      <c r="N108" s="199">
        <v>38332.31933051021</v>
      </c>
      <c r="O108" s="199">
        <v>46178.119884098654</v>
      </c>
      <c r="P108" s="199">
        <v>44154.324068615919</v>
      </c>
      <c r="Q108" s="199">
        <v>38891.304358741174</v>
      </c>
      <c r="R108" s="199"/>
      <c r="S108" s="200">
        <v>506131.17734375841</v>
      </c>
      <c r="T108" s="199"/>
      <c r="U108" s="242">
        <v>629525.79405624152</v>
      </c>
      <c r="V108" s="199" t="s">
        <v>258</v>
      </c>
      <c r="W108" s="199" t="s">
        <v>259</v>
      </c>
      <c r="X108" s="199" t="s">
        <v>260</v>
      </c>
    </row>
    <row r="109" spans="1:24">
      <c r="A109" s="189"/>
      <c r="B109" s="189"/>
      <c r="C109" s="189"/>
      <c r="D109" s="189"/>
      <c r="E109" s="187" t="s">
        <v>221</v>
      </c>
      <c r="F109" s="199">
        <v>442985.45536391099</v>
      </c>
      <c r="G109" s="199">
        <v>373589.53840000002</v>
      </c>
      <c r="H109" s="199">
        <v>421154.53910116851</v>
      </c>
      <c r="I109" s="199">
        <v>416632.99062564695</v>
      </c>
      <c r="J109" s="199">
        <v>435002.45578594611</v>
      </c>
      <c r="K109" s="199">
        <v>414596.88964528625</v>
      </c>
      <c r="L109" s="199">
        <v>412159.16644857713</v>
      </c>
      <c r="M109" s="199">
        <v>430729.03749996354</v>
      </c>
      <c r="N109" s="199">
        <v>372192.58448670758</v>
      </c>
      <c r="O109" s="199">
        <v>442253.15411567205</v>
      </c>
      <c r="P109" s="199">
        <v>417183.51337630482</v>
      </c>
      <c r="Q109" s="199">
        <v>397851.49088713096</v>
      </c>
      <c r="R109" s="199"/>
      <c r="S109" s="200">
        <v>4976330.8157363143</v>
      </c>
      <c r="T109" s="199"/>
      <c r="U109" s="199">
        <v>-1728228.2466363148</v>
      </c>
      <c r="V109" s="199">
        <v>5482461.993080073</v>
      </c>
      <c r="W109" s="199">
        <v>5408847.0199999996</v>
      </c>
      <c r="X109" s="199">
        <v>-73614.973080073483</v>
      </c>
    </row>
    <row r="110" spans="1:24">
      <c r="A110" s="189"/>
      <c r="B110" s="189"/>
      <c r="C110" s="189"/>
      <c r="D110" s="189"/>
      <c r="E110" s="187" t="s">
        <v>224</v>
      </c>
      <c r="F110" s="199">
        <v>0</v>
      </c>
      <c r="G110" s="199">
        <v>0</v>
      </c>
      <c r="H110" s="199">
        <v>0</v>
      </c>
      <c r="I110" s="199">
        <v>0</v>
      </c>
      <c r="J110" s="199">
        <v>0</v>
      </c>
      <c r="K110" s="199">
        <v>0</v>
      </c>
      <c r="L110" s="199">
        <v>0</v>
      </c>
      <c r="M110" s="199">
        <v>0</v>
      </c>
      <c r="N110" s="199">
        <v>0</v>
      </c>
      <c r="O110" s="199">
        <v>0</v>
      </c>
      <c r="P110" s="199">
        <v>0</v>
      </c>
      <c r="Q110" s="199">
        <v>0</v>
      </c>
      <c r="R110" s="199"/>
      <c r="S110" s="200">
        <v>0</v>
      </c>
      <c r="T110" s="199"/>
      <c r="U110" s="242">
        <v>18015.293799999999</v>
      </c>
      <c r="V110" s="199"/>
      <c r="W110" s="199"/>
      <c r="X110" s="199"/>
    </row>
    <row r="111" spans="1:24">
      <c r="A111" s="189"/>
      <c r="B111" s="189"/>
      <c r="C111" s="189"/>
      <c r="D111" s="189"/>
      <c r="E111" s="202" t="s">
        <v>225</v>
      </c>
      <c r="F111" s="203">
        <v>0</v>
      </c>
      <c r="G111" s="203">
        <v>0</v>
      </c>
      <c r="H111" s="203">
        <v>0</v>
      </c>
      <c r="I111" s="203">
        <v>0</v>
      </c>
      <c r="J111" s="203">
        <v>0</v>
      </c>
      <c r="K111" s="203">
        <v>0</v>
      </c>
      <c r="L111" s="203">
        <v>0</v>
      </c>
      <c r="M111" s="203">
        <v>0</v>
      </c>
      <c r="N111" s="203">
        <v>0</v>
      </c>
      <c r="O111" s="203">
        <v>0</v>
      </c>
      <c r="P111" s="203">
        <v>0</v>
      </c>
      <c r="Q111" s="203">
        <v>0</v>
      </c>
      <c r="R111" s="203"/>
      <c r="S111" s="241">
        <v>0</v>
      </c>
      <c r="T111" s="199"/>
      <c r="U111" s="199">
        <v>331043.62170000002</v>
      </c>
      <c r="V111" s="199">
        <v>0</v>
      </c>
      <c r="W111" s="199">
        <v>-47.72</v>
      </c>
      <c r="X111" s="199">
        <v>-47.72</v>
      </c>
    </row>
    <row r="112" spans="1:24">
      <c r="A112" s="189"/>
      <c r="B112" s="189"/>
      <c r="C112" s="189"/>
      <c r="D112" s="189"/>
      <c r="E112" s="187" t="s">
        <v>237</v>
      </c>
      <c r="F112" s="199">
        <v>488174.51319569204</v>
      </c>
      <c r="G112" s="199">
        <v>409813.09100000001</v>
      </c>
      <c r="H112" s="199">
        <v>460833.89408274926</v>
      </c>
      <c r="I112" s="199">
        <v>458095.42678220652</v>
      </c>
      <c r="J112" s="199">
        <v>479156.77083775209</v>
      </c>
      <c r="K112" s="199">
        <v>459436.4321941387</v>
      </c>
      <c r="L112" s="199">
        <v>455500.23947181919</v>
      </c>
      <c r="M112" s="199">
        <v>474414.81500793417</v>
      </c>
      <c r="N112" s="199">
        <v>410524.9038172178</v>
      </c>
      <c r="O112" s="199">
        <v>488431.2739997707</v>
      </c>
      <c r="P112" s="199">
        <v>461337.83744492073</v>
      </c>
      <c r="Q112" s="199">
        <v>436742.79524587211</v>
      </c>
      <c r="R112" s="199"/>
      <c r="S112" s="200">
        <v>5482461.993080074</v>
      </c>
      <c r="T112" s="199"/>
      <c r="U112" s="199">
        <v>-749643.53708007373</v>
      </c>
      <c r="V112" s="199"/>
      <c r="W112" s="199"/>
      <c r="X112" s="199"/>
    </row>
    <row r="113" spans="1:24">
      <c r="A113" s="187"/>
      <c r="B113" s="187"/>
      <c r="C113" s="189"/>
      <c r="D113" s="189"/>
      <c r="E113" s="187"/>
      <c r="F113" s="199"/>
      <c r="G113" s="199"/>
      <c r="H113" s="199"/>
      <c r="I113" s="199"/>
      <c r="J113" s="199"/>
      <c r="K113" s="199"/>
      <c r="L113" s="199"/>
      <c r="M113" s="199"/>
      <c r="N113" s="199"/>
      <c r="O113" s="199"/>
      <c r="P113" s="199"/>
      <c r="Q113" s="199"/>
      <c r="R113" s="199"/>
      <c r="S113" s="223"/>
      <c r="T113" s="199"/>
      <c r="U113" s="199"/>
      <c r="V113" s="199"/>
      <c r="W113" s="199"/>
      <c r="X113" s="199"/>
    </row>
    <row r="114" spans="1:24">
      <c r="A114" s="187"/>
      <c r="B114" s="187"/>
      <c r="C114" s="189"/>
      <c r="D114" s="189"/>
      <c r="E114" s="188" t="s">
        <v>14</v>
      </c>
      <c r="F114" s="199"/>
      <c r="G114" s="199"/>
      <c r="H114" s="199"/>
      <c r="I114" s="199"/>
      <c r="J114" s="199"/>
      <c r="K114" s="199"/>
      <c r="L114" s="199"/>
      <c r="M114" s="199"/>
      <c r="N114" s="199"/>
      <c r="O114" s="199"/>
      <c r="P114" s="199"/>
      <c r="Q114" s="199"/>
      <c r="R114" s="199"/>
      <c r="S114" s="223"/>
      <c r="T114" s="199"/>
      <c r="U114" s="199"/>
      <c r="V114" s="199"/>
      <c r="W114" s="199"/>
      <c r="X114" s="199"/>
    </row>
    <row r="115" spans="1:24">
      <c r="A115" s="187"/>
      <c r="B115" s="187"/>
      <c r="C115" s="189"/>
      <c r="D115" s="189"/>
      <c r="E115" s="187" t="s">
        <v>219</v>
      </c>
      <c r="F115" s="199">
        <v>205955.21611421363</v>
      </c>
      <c r="G115" s="199">
        <v>154463.55940000003</v>
      </c>
      <c r="H115" s="199">
        <v>182351.76705977143</v>
      </c>
      <c r="I115" s="199">
        <v>174904.21417847404</v>
      </c>
      <c r="J115" s="199">
        <v>197874.85673622205</v>
      </c>
      <c r="K115" s="199">
        <v>186669.58179307656</v>
      </c>
      <c r="L115" s="199">
        <v>197859.9057679275</v>
      </c>
      <c r="M115" s="199">
        <v>200858.01444616163</v>
      </c>
      <c r="N115" s="199">
        <v>174987.5192888442</v>
      </c>
      <c r="O115" s="199">
        <v>195170.17246317115</v>
      </c>
      <c r="P115" s="199">
        <v>192418.19004155221</v>
      </c>
      <c r="Q115" s="199">
        <v>178875.80163922894</v>
      </c>
      <c r="R115" s="199"/>
      <c r="S115" s="200">
        <v>2242388.7989286436</v>
      </c>
      <c r="T115" s="199"/>
      <c r="U115" s="242">
        <v>106464.83637135662</v>
      </c>
      <c r="V115" s="199" t="s">
        <v>258</v>
      </c>
      <c r="W115" s="199" t="s">
        <v>259</v>
      </c>
      <c r="X115" s="199" t="s">
        <v>260</v>
      </c>
    </row>
    <row r="116" spans="1:24">
      <c r="A116" s="187"/>
      <c r="B116" s="187"/>
      <c r="C116" s="189"/>
      <c r="D116" s="189"/>
      <c r="E116" s="187" t="s">
        <v>221</v>
      </c>
      <c r="F116" s="199">
        <v>265752.89672588184</v>
      </c>
      <c r="G116" s="199">
        <v>205910.58690000002</v>
      </c>
      <c r="H116" s="199">
        <v>254970.34279697112</v>
      </c>
      <c r="I116" s="199">
        <v>246849.60768695857</v>
      </c>
      <c r="J116" s="199">
        <v>275153.17706027144</v>
      </c>
      <c r="K116" s="199">
        <v>261043.1794306204</v>
      </c>
      <c r="L116" s="199">
        <v>269610.71881507541</v>
      </c>
      <c r="M116" s="199">
        <v>280835.25285691931</v>
      </c>
      <c r="N116" s="199">
        <v>242879.27084651665</v>
      </c>
      <c r="O116" s="199">
        <v>262874.76364246703</v>
      </c>
      <c r="P116" s="199">
        <v>272736.89562890434</v>
      </c>
      <c r="Q116" s="199">
        <v>248240.72402736792</v>
      </c>
      <c r="R116" s="199"/>
      <c r="S116" s="200">
        <v>3086857.416417954</v>
      </c>
      <c r="T116" s="199"/>
      <c r="U116" s="199">
        <v>-877611.27861795342</v>
      </c>
      <c r="V116" s="199">
        <v>5329246.2153465971</v>
      </c>
      <c r="W116" s="199">
        <v>5388395.6100000003</v>
      </c>
      <c r="X116" s="199">
        <v>59149.3946534032</v>
      </c>
    </row>
    <row r="117" spans="1:24">
      <c r="A117" s="187"/>
      <c r="B117" s="187"/>
      <c r="C117" s="189"/>
      <c r="D117" s="189"/>
      <c r="E117" s="187" t="s">
        <v>239</v>
      </c>
      <c r="F117" s="199">
        <v>13922.594839462865</v>
      </c>
      <c r="G117" s="199">
        <v>11137.885200000001</v>
      </c>
      <c r="H117" s="199">
        <v>20676.522813632633</v>
      </c>
      <c r="I117" s="199">
        <v>24924.661700493842</v>
      </c>
      <c r="J117" s="199">
        <v>41767.267476971727</v>
      </c>
      <c r="K117" s="199">
        <v>27784.95369687831</v>
      </c>
      <c r="L117" s="199">
        <v>23521.435417835888</v>
      </c>
      <c r="M117" s="199">
        <v>17597.319426870141</v>
      </c>
      <c r="N117" s="199">
        <v>16963.467664888049</v>
      </c>
      <c r="O117" s="199">
        <v>24409.956804688467</v>
      </c>
      <c r="P117" s="199">
        <v>28665.449441391756</v>
      </c>
      <c r="Q117" s="199">
        <v>14956.369567514968</v>
      </c>
      <c r="R117" s="199"/>
      <c r="S117" s="200">
        <v>266327.88405062869</v>
      </c>
      <c r="T117" s="199"/>
      <c r="U117" s="242">
        <v>84255.107549371372</v>
      </c>
      <c r="V117" s="199"/>
      <c r="W117" s="199"/>
      <c r="X117" s="199"/>
    </row>
    <row r="118" spans="1:24">
      <c r="A118" s="187"/>
      <c r="B118" s="187"/>
      <c r="C118" s="189"/>
      <c r="D118" s="189"/>
      <c r="E118" s="187" t="s">
        <v>240</v>
      </c>
      <c r="F118" s="199">
        <v>30530.51666141293</v>
      </c>
      <c r="G118" s="199">
        <v>23436.667799999999</v>
      </c>
      <c r="H118" s="199">
        <v>44706.955539488597</v>
      </c>
      <c r="I118" s="199">
        <v>58397.637456054697</v>
      </c>
      <c r="J118" s="199">
        <v>91585.317906561453</v>
      </c>
      <c r="K118" s="199">
        <v>62484.898346107933</v>
      </c>
      <c r="L118" s="199">
        <v>51279.082018036788</v>
      </c>
      <c r="M118" s="199">
        <v>44798.115370594453</v>
      </c>
      <c r="N118" s="199">
        <v>40356.399197414699</v>
      </c>
      <c r="O118" s="199">
        <v>50453.679334889996</v>
      </c>
      <c r="P118" s="199">
        <v>58287.005815973898</v>
      </c>
      <c r="Q118" s="199">
        <v>29345.265436097536</v>
      </c>
      <c r="R118" s="199"/>
      <c r="S118" s="200">
        <v>585661.54088263295</v>
      </c>
      <c r="T118" s="199"/>
      <c r="U118" s="199">
        <v>-173356.60928263294</v>
      </c>
      <c r="V118" s="199">
        <v>851989.4249332617</v>
      </c>
      <c r="W118" s="199">
        <v>861875.22</v>
      </c>
      <c r="X118" s="199">
        <v>9885.7950667382684</v>
      </c>
    </row>
    <row r="119" spans="1:24">
      <c r="A119" s="187"/>
      <c r="B119" s="187"/>
      <c r="C119" s="189"/>
      <c r="D119" s="189"/>
      <c r="E119" s="187" t="s">
        <v>242</v>
      </c>
      <c r="F119" s="199">
        <v>0</v>
      </c>
      <c r="G119" s="199">
        <v>0</v>
      </c>
      <c r="H119" s="199">
        <v>0</v>
      </c>
      <c r="I119" s="199">
        <v>0</v>
      </c>
      <c r="J119" s="199">
        <v>0</v>
      </c>
      <c r="K119" s="199">
        <v>0</v>
      </c>
      <c r="L119" s="199">
        <v>0</v>
      </c>
      <c r="M119" s="199">
        <v>0</v>
      </c>
      <c r="N119" s="199">
        <v>0</v>
      </c>
      <c r="O119" s="199">
        <v>0</v>
      </c>
      <c r="P119" s="199">
        <v>0</v>
      </c>
      <c r="Q119" s="199">
        <v>0</v>
      </c>
      <c r="R119" s="199"/>
      <c r="S119" s="200">
        <v>0</v>
      </c>
      <c r="T119" s="199"/>
      <c r="U119" s="242">
        <v>719663.86660000007</v>
      </c>
      <c r="V119" s="199"/>
      <c r="W119" s="199"/>
      <c r="X119" s="199"/>
    </row>
    <row r="120" spans="1:24">
      <c r="A120" s="187"/>
      <c r="B120" s="187"/>
      <c r="C120" s="189"/>
      <c r="D120" s="189"/>
      <c r="E120" s="202" t="s">
        <v>243</v>
      </c>
      <c r="F120" s="203">
        <v>0</v>
      </c>
      <c r="G120" s="203">
        <v>0</v>
      </c>
      <c r="H120" s="203">
        <v>0</v>
      </c>
      <c r="I120" s="203">
        <v>0</v>
      </c>
      <c r="J120" s="203">
        <v>0</v>
      </c>
      <c r="K120" s="203">
        <v>0</v>
      </c>
      <c r="L120" s="203">
        <v>0</v>
      </c>
      <c r="M120" s="203">
        <v>0</v>
      </c>
      <c r="N120" s="203">
        <v>0</v>
      </c>
      <c r="O120" s="203">
        <v>0</v>
      </c>
      <c r="P120" s="203">
        <v>0</v>
      </c>
      <c r="Q120" s="203">
        <v>0</v>
      </c>
      <c r="R120" s="203"/>
      <c r="S120" s="241">
        <v>0</v>
      </c>
      <c r="T120" s="199"/>
      <c r="U120" s="199">
        <v>492435.35600000003</v>
      </c>
      <c r="V120" s="199">
        <v>0</v>
      </c>
      <c r="W120" s="199"/>
      <c r="X120" s="199">
        <v>0</v>
      </c>
    </row>
    <row r="121" spans="1:24">
      <c r="A121" s="187"/>
      <c r="B121" s="187"/>
      <c r="C121" s="189"/>
      <c r="D121" s="189"/>
      <c r="E121" s="187" t="s">
        <v>246</v>
      </c>
      <c r="F121" s="199">
        <v>516161.22434097127</v>
      </c>
      <c r="G121" s="199">
        <v>394948.69930000004</v>
      </c>
      <c r="H121" s="199">
        <v>502705.58820986375</v>
      </c>
      <c r="I121" s="199">
        <v>505076.12102198112</v>
      </c>
      <c r="J121" s="199">
        <v>606380.6191800267</v>
      </c>
      <c r="K121" s="199">
        <v>537982.6132666833</v>
      </c>
      <c r="L121" s="199">
        <v>542271.14201887557</v>
      </c>
      <c r="M121" s="199">
        <v>544088.70210054552</v>
      </c>
      <c r="N121" s="199">
        <v>475186.65699766361</v>
      </c>
      <c r="O121" s="199">
        <v>532908.57224521658</v>
      </c>
      <c r="P121" s="199">
        <v>552107.54092782212</v>
      </c>
      <c r="Q121" s="199">
        <v>471418.16067020933</v>
      </c>
      <c r="R121" s="199"/>
      <c r="S121" s="200">
        <v>6181235.6402798593</v>
      </c>
      <c r="T121" s="199"/>
      <c r="U121" s="199">
        <v>351851.27862014156</v>
      </c>
      <c r="V121" s="199"/>
      <c r="W121" s="199"/>
      <c r="X121" s="199"/>
    </row>
    <row r="122" spans="1:24">
      <c r="A122" s="187"/>
      <c r="B122" s="187"/>
      <c r="C122" s="189"/>
      <c r="D122" s="189"/>
      <c r="E122" s="187"/>
      <c r="F122" s="199"/>
      <c r="G122" s="199"/>
      <c r="H122" s="199"/>
      <c r="I122" s="199"/>
      <c r="J122" s="199"/>
      <c r="K122" s="199"/>
      <c r="L122" s="199"/>
      <c r="M122" s="199"/>
      <c r="N122" s="199"/>
      <c r="O122" s="199"/>
      <c r="P122" s="199"/>
      <c r="Q122" s="199"/>
      <c r="R122" s="199"/>
      <c r="S122" s="223"/>
      <c r="T122" s="199"/>
      <c r="U122" s="199"/>
      <c r="V122" s="199"/>
      <c r="W122" s="199"/>
      <c r="X122" s="199"/>
    </row>
    <row r="123" spans="1:24">
      <c r="A123" s="187"/>
      <c r="B123" s="187"/>
      <c r="C123" s="189"/>
      <c r="D123" s="189"/>
      <c r="E123" s="187" t="s">
        <v>263</v>
      </c>
      <c r="F123" s="199">
        <v>288240.57498545758</v>
      </c>
      <c r="G123" s="199">
        <v>224675.68740000002</v>
      </c>
      <c r="H123" s="199">
        <v>271641.80305498478</v>
      </c>
      <c r="I123" s="199">
        <v>268548.47883552744</v>
      </c>
      <c r="J123" s="199">
        <v>312678.10736499977</v>
      </c>
      <c r="K123" s="199">
        <v>293770.65243880736</v>
      </c>
      <c r="L123" s="199">
        <v>296919.03400900547</v>
      </c>
      <c r="M123" s="199">
        <v>299114.33028100239</v>
      </c>
      <c r="N123" s="199">
        <v>257399.15358424245</v>
      </c>
      <c r="O123" s="199">
        <v>294914.48085195827</v>
      </c>
      <c r="P123" s="199">
        <v>294500.5213515599</v>
      </c>
      <c r="Q123" s="199">
        <v>258416.7065654851</v>
      </c>
      <c r="R123" s="199"/>
      <c r="S123" s="200">
        <v>3360819.5307230307</v>
      </c>
      <c r="T123" s="199"/>
      <c r="U123" s="242">
        <v>1276711.9630769705</v>
      </c>
      <c r="V123" s="199">
        <v>281212.93529999908</v>
      </c>
      <c r="W123" s="199"/>
      <c r="X123" s="199"/>
    </row>
    <row r="124" spans="1:24">
      <c r="A124" s="187"/>
      <c r="B124" s="187"/>
      <c r="C124" s="189"/>
      <c r="D124" s="189"/>
      <c r="E124" s="187"/>
      <c r="F124" s="199"/>
      <c r="G124" s="199"/>
      <c r="H124" s="199"/>
      <c r="I124" s="199"/>
      <c r="J124" s="199"/>
      <c r="K124" s="199"/>
      <c r="L124" s="199"/>
      <c r="M124" s="199"/>
      <c r="N124" s="199"/>
      <c r="O124" s="199"/>
      <c r="P124" s="199"/>
      <c r="Q124" s="199"/>
      <c r="R124" s="199"/>
      <c r="S124" s="223"/>
      <c r="T124" s="199"/>
      <c r="U124" s="199"/>
      <c r="V124" s="199"/>
      <c r="W124" s="199"/>
      <c r="X124" s="199"/>
    </row>
    <row r="125" spans="1:24">
      <c r="A125" s="187"/>
      <c r="B125" s="187"/>
      <c r="C125" s="189"/>
      <c r="D125" s="189"/>
      <c r="E125" s="187" t="s">
        <v>264</v>
      </c>
      <c r="F125" s="199">
        <v>1386868.7814366634</v>
      </c>
      <c r="G125" s="199">
        <v>1128068.5047000002</v>
      </c>
      <c r="H125" s="199">
        <v>1339353.7933926128</v>
      </c>
      <c r="I125" s="199">
        <v>1338886.2623041875</v>
      </c>
      <c r="J125" s="199">
        <v>1468172.7223177792</v>
      </c>
      <c r="K125" s="199">
        <v>1380063.799060822</v>
      </c>
      <c r="L125" s="199">
        <v>1383324.6249906947</v>
      </c>
      <c r="M125" s="199">
        <v>1433282.9791084798</v>
      </c>
      <c r="N125" s="199">
        <v>1251832.7001148812</v>
      </c>
      <c r="O125" s="199">
        <v>1433451.7344449873</v>
      </c>
      <c r="P125" s="199">
        <v>1405641.9842727431</v>
      </c>
      <c r="Q125" s="199">
        <v>1286956.4355160815</v>
      </c>
      <c r="R125" s="199"/>
      <c r="S125" s="199">
        <v>16235904.321659934</v>
      </c>
      <c r="T125" s="199"/>
      <c r="U125" s="199">
        <v>173297.69064006954</v>
      </c>
      <c r="V125" s="199"/>
      <c r="W125" s="199"/>
      <c r="X125" s="199"/>
    </row>
    <row r="126" spans="1:24">
      <c r="A126" s="187"/>
      <c r="B126" s="187"/>
      <c r="C126" s="189"/>
      <c r="D126" s="189"/>
      <c r="E126" s="221" t="s">
        <v>229</v>
      </c>
      <c r="F126" s="243">
        <v>-0.1345630755369881</v>
      </c>
      <c r="G126" s="243">
        <v>0.19787084665498811</v>
      </c>
      <c r="H126" s="243">
        <v>1.8498811749134036E-2</v>
      </c>
      <c r="I126" s="243">
        <v>-3.7020618286807139E-3</v>
      </c>
      <c r="J126" s="243">
        <v>-4.7824323836477278E-3</v>
      </c>
      <c r="K126" s="243">
        <v>-7.2019070993988299E-3</v>
      </c>
      <c r="L126" s="243">
        <v>3.7647054509237776E-4</v>
      </c>
      <c r="M126" s="243">
        <v>-6.1488593060077257E-3</v>
      </c>
      <c r="N126" s="243">
        <v>1.1149049119079102E-3</v>
      </c>
      <c r="O126" s="243">
        <v>2.4709201227683941E-3</v>
      </c>
      <c r="P126" s="243">
        <v>-1.1695169410157358E-2</v>
      </c>
      <c r="Q126" s="243">
        <v>-7.2815887974859717E-3</v>
      </c>
      <c r="R126" s="243"/>
      <c r="S126" s="243">
        <v>-3.4682399512969697E-3</v>
      </c>
      <c r="T126" s="199"/>
      <c r="U126" s="199"/>
      <c r="V126" s="199"/>
      <c r="W126" s="199"/>
      <c r="X126" s="199"/>
    </row>
    <row r="127" spans="1:24">
      <c r="A127" s="187"/>
      <c r="B127" s="187"/>
      <c r="C127" s="189"/>
      <c r="D127" s="189"/>
      <c r="E127" s="187"/>
      <c r="F127" s="199"/>
      <c r="G127" s="199"/>
      <c r="H127" s="199"/>
      <c r="I127" s="199"/>
      <c r="J127" s="199"/>
      <c r="K127" s="199"/>
      <c r="L127" s="199"/>
      <c r="M127" s="199"/>
      <c r="N127" s="199"/>
      <c r="O127" s="199"/>
      <c r="P127" s="199"/>
      <c r="Q127" s="199"/>
      <c r="R127" s="199"/>
      <c r="S127" s="244">
        <v>0.20699922000891821</v>
      </c>
      <c r="T127" s="199"/>
      <c r="U127" s="199" t="s">
        <v>265</v>
      </c>
      <c r="V127" s="199"/>
      <c r="W127" s="199"/>
      <c r="X127" s="199"/>
    </row>
    <row r="128" spans="1:24">
      <c r="A128" s="187"/>
      <c r="B128" s="187"/>
      <c r="C128" s="189"/>
      <c r="D128" s="189"/>
      <c r="E128" s="187"/>
      <c r="F128" s="199"/>
      <c r="G128" s="199"/>
      <c r="H128" s="199"/>
      <c r="I128" s="199"/>
      <c r="J128" s="199"/>
      <c r="K128" s="199"/>
      <c r="L128" s="199"/>
      <c r="M128" s="199"/>
      <c r="N128" s="199"/>
      <c r="O128" s="199"/>
      <c r="P128" s="199"/>
      <c r="Q128" s="199"/>
      <c r="R128" s="199"/>
      <c r="S128" s="244">
        <v>0.79300077999108176</v>
      </c>
      <c r="T128" s="199"/>
      <c r="U128" s="199" t="s">
        <v>266</v>
      </c>
      <c r="V128" s="199"/>
      <c r="W128" s="199"/>
      <c r="X128" s="199"/>
    </row>
    <row r="129" spans="1:24" ht="15" thickBot="1">
      <c r="A129" s="189"/>
      <c r="B129" s="189"/>
      <c r="C129" s="187"/>
      <c r="D129" s="187"/>
      <c r="E129" s="196" t="s">
        <v>267</v>
      </c>
      <c r="F129" s="197"/>
      <c r="G129" s="197"/>
      <c r="H129" s="197"/>
      <c r="I129" s="197"/>
      <c r="J129" s="197"/>
      <c r="K129" s="197"/>
      <c r="L129" s="197"/>
      <c r="M129" s="197"/>
      <c r="N129" s="197"/>
      <c r="O129" s="197"/>
      <c r="P129" s="197"/>
      <c r="Q129" s="197"/>
      <c r="R129" s="197"/>
      <c r="S129" s="196"/>
      <c r="T129" s="187"/>
      <c r="U129" s="187"/>
      <c r="V129" s="187"/>
      <c r="W129" s="187"/>
      <c r="X129" s="187"/>
    </row>
    <row r="130" spans="1:24">
      <c r="A130" s="189"/>
      <c r="B130" s="189"/>
      <c r="C130" s="187"/>
      <c r="D130" s="187"/>
      <c r="E130" s="187"/>
      <c r="F130" s="199"/>
      <c r="G130" s="199"/>
      <c r="H130" s="199"/>
      <c r="I130" s="199"/>
      <c r="J130" s="199"/>
      <c r="K130" s="199"/>
      <c r="L130" s="199"/>
      <c r="M130" s="199"/>
      <c r="N130" s="199"/>
      <c r="O130" s="199"/>
      <c r="P130" s="199"/>
      <c r="Q130" s="199"/>
      <c r="R130" s="199"/>
      <c r="S130" s="223"/>
      <c r="T130" s="199"/>
      <c r="U130" s="199"/>
      <c r="V130" s="199"/>
      <c r="W130" s="199"/>
      <c r="X130" s="199"/>
    </row>
    <row r="131" spans="1:24">
      <c r="A131" s="189"/>
      <c r="B131" s="189"/>
      <c r="C131" s="187"/>
      <c r="D131" s="187"/>
      <c r="E131" s="187" t="s">
        <v>268</v>
      </c>
      <c r="F131" s="231">
        <v>146742</v>
      </c>
      <c r="G131" s="231">
        <v>482276</v>
      </c>
      <c r="H131" s="231">
        <v>313832</v>
      </c>
      <c r="I131" s="231">
        <v>314248</v>
      </c>
      <c r="J131" s="231">
        <v>320062</v>
      </c>
      <c r="K131" s="231">
        <v>303406</v>
      </c>
      <c r="L131" s="231">
        <v>311475</v>
      </c>
      <c r="M131" s="231">
        <v>371832</v>
      </c>
      <c r="N131" s="231">
        <v>312966</v>
      </c>
      <c r="O131" s="231">
        <v>368325</v>
      </c>
      <c r="P131" s="231">
        <v>355197</v>
      </c>
      <c r="Q131" s="231">
        <v>331646</v>
      </c>
      <c r="R131" s="199"/>
      <c r="S131" s="200">
        <v>3932007</v>
      </c>
      <c r="T131" s="199"/>
      <c r="U131" s="199"/>
      <c r="V131" s="199"/>
      <c r="W131" s="199"/>
      <c r="X131" s="199"/>
    </row>
    <row r="132" spans="1:24" ht="29">
      <c r="A132" s="245" t="s">
        <v>269</v>
      </c>
      <c r="B132" s="245" t="s">
        <v>270</v>
      </c>
      <c r="C132" s="245" t="s">
        <v>271</v>
      </c>
      <c r="D132" s="245" t="s">
        <v>272</v>
      </c>
      <c r="E132" s="187"/>
      <c r="F132" s="199"/>
      <c r="G132" s="199"/>
      <c r="H132" s="199"/>
      <c r="I132" s="199"/>
      <c r="J132" s="199"/>
      <c r="K132" s="199"/>
      <c r="L132" s="199"/>
      <c r="M132" s="199"/>
      <c r="N132" s="199"/>
      <c r="O132" s="199"/>
      <c r="P132" s="199"/>
      <c r="Q132" s="199"/>
      <c r="R132" s="199"/>
      <c r="S132" s="223"/>
      <c r="T132" s="199"/>
      <c r="U132" s="199"/>
      <c r="V132" s="199"/>
      <c r="W132" s="199"/>
      <c r="X132" s="199"/>
    </row>
    <row r="133" spans="1:24">
      <c r="A133" s="189"/>
      <c r="B133" s="189"/>
      <c r="C133" s="187"/>
      <c r="D133" s="187"/>
      <c r="E133" s="188" t="s">
        <v>273</v>
      </c>
      <c r="F133" s="199"/>
      <c r="G133" s="199"/>
      <c r="H133" s="199"/>
      <c r="I133" s="199"/>
      <c r="J133" s="199"/>
      <c r="K133" s="199"/>
      <c r="L133" s="199"/>
      <c r="M133" s="199"/>
      <c r="N133" s="199"/>
      <c r="O133" s="199"/>
      <c r="P133" s="199"/>
      <c r="Q133" s="199"/>
      <c r="R133" s="199"/>
      <c r="S133" s="223"/>
      <c r="T133" s="199"/>
      <c r="U133" s="199"/>
      <c r="V133" s="199"/>
      <c r="W133" s="199"/>
      <c r="X133" s="199"/>
    </row>
    <row r="134" spans="1:24">
      <c r="A134" s="189"/>
      <c r="B134" s="189"/>
      <c r="C134" s="187"/>
      <c r="D134" s="187"/>
      <c r="E134" s="187" t="s">
        <v>274</v>
      </c>
      <c r="F134" s="199"/>
      <c r="G134" s="199"/>
      <c r="H134" s="199"/>
      <c r="I134" s="199"/>
      <c r="J134" s="199"/>
      <c r="K134" s="199"/>
      <c r="L134" s="199"/>
      <c r="M134" s="199"/>
      <c r="N134" s="199"/>
      <c r="O134" s="199"/>
      <c r="P134" s="199"/>
      <c r="Q134" s="199"/>
      <c r="R134" s="199"/>
      <c r="S134" s="200">
        <v>0</v>
      </c>
      <c r="T134" s="199"/>
      <c r="U134" s="199"/>
      <c r="V134" s="199"/>
      <c r="W134" s="199"/>
      <c r="X134" s="199"/>
    </row>
    <row r="135" spans="1:24">
      <c r="A135" s="246" t="s">
        <v>275</v>
      </c>
      <c r="B135" s="246" t="s">
        <v>276</v>
      </c>
      <c r="C135" s="247" t="s">
        <v>277</v>
      </c>
      <c r="D135" s="247" t="s">
        <v>278</v>
      </c>
      <c r="E135" s="187" t="s">
        <v>279</v>
      </c>
      <c r="F135" s="206">
        <v>155.28</v>
      </c>
      <c r="G135" s="206">
        <v>88.32</v>
      </c>
      <c r="H135" s="206">
        <v>107.28999999999999</v>
      </c>
      <c r="I135" s="206">
        <v>126.94999999999999</v>
      </c>
      <c r="J135" s="206">
        <v>65.489999999999995</v>
      </c>
      <c r="K135" s="206">
        <v>135.33000000000001</v>
      </c>
      <c r="L135" s="206">
        <v>102.77999999999999</v>
      </c>
      <c r="M135" s="206">
        <v>212.72</v>
      </c>
      <c r="N135" s="206">
        <v>129.78</v>
      </c>
      <c r="O135" s="206">
        <v>122.64</v>
      </c>
      <c r="P135" s="206">
        <v>164.22</v>
      </c>
      <c r="Q135" s="206">
        <v>163.87</v>
      </c>
      <c r="R135" s="199"/>
      <c r="S135" s="200">
        <v>1574.67</v>
      </c>
      <c r="T135" s="199"/>
      <c r="U135" s="199" t="s">
        <v>280</v>
      </c>
      <c r="V135" s="199"/>
      <c r="W135" s="199"/>
      <c r="X135" s="199"/>
    </row>
    <row r="136" spans="1:24">
      <c r="A136" s="246" t="s">
        <v>281</v>
      </c>
      <c r="B136" s="248"/>
      <c r="C136" s="249"/>
      <c r="D136" s="249"/>
      <c r="E136" s="187" t="s">
        <v>282</v>
      </c>
      <c r="F136" s="206">
        <v>1888.1799999999998</v>
      </c>
      <c r="G136" s="206">
        <v>1272.5800000000002</v>
      </c>
      <c r="H136" s="206">
        <v>1229.9099999999999</v>
      </c>
      <c r="I136" s="206">
        <v>1353.73</v>
      </c>
      <c r="J136" s="206">
        <v>1556.52</v>
      </c>
      <c r="K136" s="206">
        <v>1107.27</v>
      </c>
      <c r="L136" s="206">
        <v>1140.8699999999999</v>
      </c>
      <c r="M136" s="206">
        <v>1520.52</v>
      </c>
      <c r="N136" s="206">
        <v>1401.36</v>
      </c>
      <c r="O136" s="206">
        <v>1593.3999999999999</v>
      </c>
      <c r="P136" s="206">
        <v>1629.4500000000003</v>
      </c>
      <c r="Q136" s="206">
        <v>1582.16</v>
      </c>
      <c r="R136" s="199"/>
      <c r="S136" s="200">
        <v>17275.950000000004</v>
      </c>
      <c r="T136" s="199"/>
      <c r="U136" s="199" t="s">
        <v>283</v>
      </c>
      <c r="V136" s="199"/>
      <c r="W136" s="199"/>
      <c r="X136" s="199"/>
    </row>
    <row r="137" spans="1:24">
      <c r="A137" s="248" t="s">
        <v>284</v>
      </c>
      <c r="B137" s="246" t="s">
        <v>285</v>
      </c>
      <c r="C137" s="247" t="s">
        <v>286</v>
      </c>
      <c r="D137" s="249"/>
      <c r="E137" s="187" t="s">
        <v>287</v>
      </c>
      <c r="F137" s="206">
        <v>2451.84</v>
      </c>
      <c r="G137" s="206">
        <v>2028.8600000000001</v>
      </c>
      <c r="H137" s="206">
        <v>2571.8500000000004</v>
      </c>
      <c r="I137" s="206">
        <v>2376.23</v>
      </c>
      <c r="J137" s="206">
        <v>2298.4899999999998</v>
      </c>
      <c r="K137" s="206">
        <v>2547.4800000000005</v>
      </c>
      <c r="L137" s="206">
        <v>2440.4250000000002</v>
      </c>
      <c r="M137" s="206">
        <v>2466.8900000000003</v>
      </c>
      <c r="N137" s="206">
        <v>2001.1599999999999</v>
      </c>
      <c r="O137" s="206">
        <v>2416.1840000000002</v>
      </c>
      <c r="P137" s="206">
        <v>2234.66</v>
      </c>
      <c r="Q137" s="206">
        <v>2048.87</v>
      </c>
      <c r="R137" s="199"/>
      <c r="S137" s="200">
        <v>27882.938999999998</v>
      </c>
      <c r="T137" s="199"/>
      <c r="U137" s="199"/>
      <c r="V137" s="199"/>
      <c r="W137" s="199"/>
      <c r="X137" s="199"/>
    </row>
    <row r="138" spans="1:24">
      <c r="A138" s="246" t="s">
        <v>288</v>
      </c>
      <c r="B138" s="246" t="s">
        <v>289</v>
      </c>
      <c r="C138" s="247" t="s">
        <v>290</v>
      </c>
      <c r="D138" s="249"/>
      <c r="E138" s="187" t="s">
        <v>274</v>
      </c>
      <c r="F138" s="206">
        <v>0</v>
      </c>
      <c r="G138" s="206">
        <v>0</v>
      </c>
      <c r="H138" s="206">
        <v>0</v>
      </c>
      <c r="I138" s="206">
        <v>0</v>
      </c>
      <c r="J138" s="206">
        <v>13.49</v>
      </c>
      <c r="K138" s="206">
        <v>0</v>
      </c>
      <c r="L138" s="206">
        <v>30.07</v>
      </c>
      <c r="M138" s="206">
        <v>15.88</v>
      </c>
      <c r="N138" s="206">
        <v>25.66</v>
      </c>
      <c r="O138" s="206">
        <v>27.5</v>
      </c>
      <c r="P138" s="206">
        <v>22.76</v>
      </c>
      <c r="Q138" s="206">
        <v>31.840000000000003</v>
      </c>
      <c r="R138" s="199"/>
      <c r="S138" s="200">
        <v>167.20000000000002</v>
      </c>
      <c r="T138" s="199"/>
      <c r="U138" s="199"/>
      <c r="V138" s="199"/>
      <c r="W138" s="199"/>
      <c r="X138" s="199"/>
    </row>
    <row r="139" spans="1:24">
      <c r="A139" s="246" t="s">
        <v>291</v>
      </c>
      <c r="B139" s="248"/>
      <c r="C139" s="249"/>
      <c r="D139" s="249"/>
      <c r="E139" s="187" t="s">
        <v>292</v>
      </c>
      <c r="F139" s="206">
        <v>327.87349999999998</v>
      </c>
      <c r="G139" s="206">
        <v>348.15999999999997</v>
      </c>
      <c r="H139" s="206">
        <v>390.41</v>
      </c>
      <c r="I139" s="206">
        <v>363.31</v>
      </c>
      <c r="J139" s="206">
        <v>358.77</v>
      </c>
      <c r="K139" s="206">
        <v>354.53000000000003</v>
      </c>
      <c r="L139" s="206">
        <v>399.38</v>
      </c>
      <c r="M139" s="206">
        <v>400.33</v>
      </c>
      <c r="N139" s="206">
        <v>321.31</v>
      </c>
      <c r="O139" s="206">
        <v>338.74</v>
      </c>
      <c r="P139" s="206">
        <v>429.77</v>
      </c>
      <c r="Q139" s="206">
        <v>324.79000000000002</v>
      </c>
      <c r="R139" s="199"/>
      <c r="S139" s="200">
        <v>4357.3735000000006</v>
      </c>
      <c r="T139" s="199"/>
      <c r="U139" s="199"/>
      <c r="V139" s="199"/>
      <c r="W139" s="199"/>
      <c r="X139" s="199"/>
    </row>
    <row r="140" spans="1:24">
      <c r="A140" s="248" t="s">
        <v>293</v>
      </c>
      <c r="B140" s="248" t="s">
        <v>294</v>
      </c>
      <c r="C140" s="249" t="s">
        <v>295</v>
      </c>
      <c r="D140" s="249"/>
      <c r="E140" s="187" t="s">
        <v>296</v>
      </c>
      <c r="F140" s="206">
        <v>0</v>
      </c>
      <c r="G140" s="206">
        <v>0</v>
      </c>
      <c r="H140" s="206">
        <v>0</v>
      </c>
      <c r="I140" s="206">
        <v>0</v>
      </c>
      <c r="J140" s="206">
        <v>0</v>
      </c>
      <c r="K140" s="206">
        <v>0</v>
      </c>
      <c r="L140" s="206">
        <v>0</v>
      </c>
      <c r="M140" s="206">
        <v>0</v>
      </c>
      <c r="N140" s="206">
        <v>0</v>
      </c>
      <c r="O140" s="206">
        <v>0</v>
      </c>
      <c r="P140" s="206">
        <v>0</v>
      </c>
      <c r="Q140" s="206">
        <v>0</v>
      </c>
      <c r="R140" s="199"/>
      <c r="S140" s="200">
        <v>0</v>
      </c>
      <c r="T140" s="199"/>
      <c r="U140" s="199"/>
      <c r="V140" s="199"/>
      <c r="W140" s="199"/>
      <c r="X140" s="199"/>
    </row>
    <row r="141" spans="1:24">
      <c r="A141" s="248" t="s">
        <v>297</v>
      </c>
      <c r="B141" s="248"/>
      <c r="C141" s="249"/>
      <c r="D141" s="249"/>
      <c r="E141" s="187" t="s">
        <v>298</v>
      </c>
      <c r="F141" s="203">
        <v>0</v>
      </c>
      <c r="G141" s="203">
        <v>0</v>
      </c>
      <c r="H141" s="203">
        <v>0</v>
      </c>
      <c r="I141" s="203">
        <v>0</v>
      </c>
      <c r="J141" s="203">
        <v>0</v>
      </c>
      <c r="K141" s="203">
        <v>0</v>
      </c>
      <c r="L141" s="203">
        <v>0</v>
      </c>
      <c r="M141" s="203">
        <v>0</v>
      </c>
      <c r="N141" s="203">
        <v>0</v>
      </c>
      <c r="O141" s="203">
        <v>0</v>
      </c>
      <c r="P141" s="203">
        <v>0</v>
      </c>
      <c r="Q141" s="203">
        <v>0</v>
      </c>
      <c r="R141" s="199"/>
      <c r="S141" s="200">
        <v>0</v>
      </c>
      <c r="T141" s="199"/>
      <c r="U141" s="199"/>
      <c r="V141" s="199"/>
      <c r="W141" s="199"/>
      <c r="X141" s="199"/>
    </row>
    <row r="142" spans="1:24">
      <c r="A142" s="189"/>
      <c r="B142" s="189"/>
      <c r="C142" s="187"/>
      <c r="D142" s="187"/>
      <c r="E142" s="187"/>
      <c r="F142" s="219">
        <v>4823.1734999999999</v>
      </c>
      <c r="G142" s="219">
        <v>3737.92</v>
      </c>
      <c r="H142" s="219">
        <v>4299.46</v>
      </c>
      <c r="I142" s="219">
        <v>4220.22</v>
      </c>
      <c r="J142" s="219">
        <v>4292.76</v>
      </c>
      <c r="K142" s="219">
        <v>4144.6100000000006</v>
      </c>
      <c r="L142" s="219">
        <v>4113.5249999999996</v>
      </c>
      <c r="M142" s="219">
        <v>4616.34</v>
      </c>
      <c r="N142" s="219">
        <v>3879.2699999999995</v>
      </c>
      <c r="O142" s="219">
        <v>4498.4639999999999</v>
      </c>
      <c r="P142" s="219">
        <v>4480.8600000000006</v>
      </c>
      <c r="Q142" s="219">
        <v>4151.5300000000007</v>
      </c>
      <c r="R142" s="219"/>
      <c r="S142" s="250">
        <v>51258.132499999992</v>
      </c>
      <c r="T142" s="199"/>
      <c r="U142" s="199"/>
      <c r="V142" s="199"/>
      <c r="W142" s="199"/>
      <c r="X142" s="199"/>
    </row>
    <row r="143" spans="1:24">
      <c r="A143" s="189"/>
      <c r="B143" s="189"/>
      <c r="C143" s="187"/>
      <c r="D143" s="187"/>
      <c r="E143" s="187"/>
      <c r="F143" s="199"/>
      <c r="G143" s="199"/>
      <c r="H143" s="199"/>
      <c r="I143" s="199"/>
      <c r="J143" s="199"/>
      <c r="K143" s="199"/>
      <c r="L143" s="199"/>
      <c r="M143" s="199"/>
      <c r="N143" s="199"/>
      <c r="O143" s="199"/>
      <c r="P143" s="199"/>
      <c r="Q143" s="199"/>
      <c r="R143" s="199"/>
      <c r="S143" s="223"/>
      <c r="T143" s="199"/>
      <c r="U143" s="199"/>
      <c r="V143" s="199"/>
      <c r="W143" s="199"/>
      <c r="X143" s="199"/>
    </row>
    <row r="144" spans="1:24">
      <c r="A144" s="189"/>
      <c r="B144" s="189"/>
      <c r="C144" s="187"/>
      <c r="D144" s="187"/>
      <c r="E144" s="188" t="s">
        <v>299</v>
      </c>
      <c r="F144" s="199"/>
      <c r="G144" s="199"/>
      <c r="H144" s="199"/>
      <c r="I144" s="199"/>
      <c r="J144" s="199"/>
      <c r="K144" s="199"/>
      <c r="L144" s="199"/>
      <c r="M144" s="199"/>
      <c r="N144" s="199"/>
      <c r="O144" s="199"/>
      <c r="P144" s="199"/>
      <c r="Q144" s="199"/>
      <c r="R144" s="199"/>
      <c r="S144" s="223"/>
      <c r="T144" s="199"/>
      <c r="U144" s="199"/>
      <c r="V144" s="199"/>
      <c r="W144" s="199"/>
      <c r="X144" s="199"/>
    </row>
    <row r="145" spans="1:24">
      <c r="A145" s="187"/>
      <c r="B145" s="187"/>
      <c r="C145" s="187"/>
      <c r="D145" s="187"/>
      <c r="E145" s="187" t="s">
        <v>279</v>
      </c>
      <c r="F145" s="238">
        <v>78.099999999999994</v>
      </c>
      <c r="G145" s="239">
        <v>78.099999999999994</v>
      </c>
      <c r="H145" s="239">
        <v>78.099999999999994</v>
      </c>
      <c r="I145" s="239">
        <v>78.099999999999994</v>
      </c>
      <c r="J145" s="239">
        <v>78.099999999999994</v>
      </c>
      <c r="K145" s="239">
        <v>78.099999999999994</v>
      </c>
      <c r="L145" s="239">
        <v>78.099999999999994</v>
      </c>
      <c r="M145" s="239">
        <v>78.099999999999994</v>
      </c>
      <c r="N145" s="239">
        <v>78.099999999999994</v>
      </c>
      <c r="O145" s="239">
        <v>78.099999999999994</v>
      </c>
      <c r="P145" s="239">
        <v>78.099999999999994</v>
      </c>
      <c r="Q145" s="239">
        <v>78.099999999999994</v>
      </c>
      <c r="R145" s="199"/>
      <c r="S145" s="223"/>
      <c r="T145" s="199"/>
      <c r="U145" s="199"/>
      <c r="V145" s="199"/>
      <c r="W145" s="199"/>
      <c r="X145" s="199"/>
    </row>
    <row r="146" spans="1:24">
      <c r="A146" s="187"/>
      <c r="B146" s="187"/>
      <c r="C146" s="187"/>
      <c r="D146" s="187"/>
      <c r="E146" s="187" t="s">
        <v>274</v>
      </c>
      <c r="F146" s="238">
        <v>0</v>
      </c>
      <c r="G146" s="239">
        <v>0</v>
      </c>
      <c r="H146" s="239">
        <v>0</v>
      </c>
      <c r="I146" s="239">
        <v>0</v>
      </c>
      <c r="J146" s="239">
        <v>0</v>
      </c>
      <c r="K146" s="239">
        <v>0</v>
      </c>
      <c r="L146" s="239">
        <v>0</v>
      </c>
      <c r="M146" s="239">
        <v>0</v>
      </c>
      <c r="N146" s="239">
        <v>0</v>
      </c>
      <c r="O146" s="239">
        <v>0</v>
      </c>
      <c r="P146" s="239">
        <v>0</v>
      </c>
      <c r="Q146" s="239">
        <v>0</v>
      </c>
      <c r="R146" s="199"/>
      <c r="S146" s="223"/>
      <c r="T146" s="199"/>
      <c r="U146" s="199"/>
      <c r="V146" s="199"/>
      <c r="W146" s="199"/>
      <c r="X146" s="199"/>
    </row>
    <row r="147" spans="1:24">
      <c r="A147" s="187"/>
      <c r="B147" s="187"/>
      <c r="C147" s="187"/>
      <c r="D147" s="187"/>
      <c r="E147" s="187" t="s">
        <v>282</v>
      </c>
      <c r="F147" s="238">
        <v>70</v>
      </c>
      <c r="G147" s="239">
        <v>70</v>
      </c>
      <c r="H147" s="239">
        <v>70</v>
      </c>
      <c r="I147" s="239">
        <v>70</v>
      </c>
      <c r="J147" s="239">
        <v>70</v>
      </c>
      <c r="K147" s="239">
        <v>70</v>
      </c>
      <c r="L147" s="239">
        <v>70</v>
      </c>
      <c r="M147" s="239">
        <v>70</v>
      </c>
      <c r="N147" s="239">
        <v>70</v>
      </c>
      <c r="O147" s="239">
        <v>70</v>
      </c>
      <c r="P147" s="239">
        <v>70</v>
      </c>
      <c r="Q147" s="239">
        <v>70</v>
      </c>
      <c r="R147" s="199"/>
      <c r="S147" s="223"/>
      <c r="T147" s="199"/>
      <c r="U147" s="199"/>
      <c r="V147" s="199"/>
      <c r="W147" s="199"/>
      <c r="X147" s="199"/>
    </row>
    <row r="148" spans="1:24">
      <c r="A148" s="187"/>
      <c r="B148" s="187"/>
      <c r="C148" s="187"/>
      <c r="D148" s="187"/>
      <c r="E148" s="187" t="s">
        <v>287</v>
      </c>
      <c r="F148" s="238">
        <v>84.92</v>
      </c>
      <c r="G148" s="239">
        <v>84.92</v>
      </c>
      <c r="H148" s="239">
        <v>84.92</v>
      </c>
      <c r="I148" s="239">
        <v>84.92</v>
      </c>
      <c r="J148" s="239">
        <v>84.92</v>
      </c>
      <c r="K148" s="239">
        <v>84.92</v>
      </c>
      <c r="L148" s="239">
        <v>84.92</v>
      </c>
      <c r="M148" s="239">
        <v>84.92</v>
      </c>
      <c r="N148" s="239">
        <v>84.92</v>
      </c>
      <c r="O148" s="239">
        <v>84.92</v>
      </c>
      <c r="P148" s="239">
        <v>84.92</v>
      </c>
      <c r="Q148" s="239">
        <v>84.92</v>
      </c>
      <c r="R148" s="199"/>
      <c r="S148" s="223"/>
      <c r="T148" s="199"/>
      <c r="U148" s="199"/>
      <c r="V148" s="199"/>
      <c r="W148" s="199"/>
      <c r="X148" s="199"/>
    </row>
    <row r="149" spans="1:24">
      <c r="A149" s="187"/>
      <c r="B149" s="187"/>
      <c r="C149" s="187"/>
      <c r="D149" s="187"/>
      <c r="E149" s="187" t="s">
        <v>274</v>
      </c>
      <c r="F149" s="238">
        <v>33.93</v>
      </c>
      <c r="G149" s="239">
        <v>33.93</v>
      </c>
      <c r="H149" s="239">
        <v>33.93</v>
      </c>
      <c r="I149" s="239">
        <v>33.93</v>
      </c>
      <c r="J149" s="239">
        <v>33.93</v>
      </c>
      <c r="K149" s="239">
        <v>33.93</v>
      </c>
      <c r="L149" s="239">
        <v>33.93</v>
      </c>
      <c r="M149" s="239">
        <v>33.93</v>
      </c>
      <c r="N149" s="239">
        <v>33.93</v>
      </c>
      <c r="O149" s="239">
        <v>33.93</v>
      </c>
      <c r="P149" s="239">
        <v>33.93</v>
      </c>
      <c r="Q149" s="239">
        <v>33.93</v>
      </c>
      <c r="R149" s="199"/>
      <c r="S149" s="223"/>
      <c r="T149" s="199"/>
      <c r="U149" s="199"/>
      <c r="V149" s="199"/>
      <c r="W149" s="199"/>
      <c r="X149" s="199"/>
    </row>
    <row r="150" spans="1:24">
      <c r="A150" s="187"/>
      <c r="B150" s="187"/>
      <c r="C150" s="187"/>
      <c r="D150" s="187"/>
      <c r="E150" s="187" t="s">
        <v>292</v>
      </c>
      <c r="F150" s="238">
        <v>100.27</v>
      </c>
      <c r="G150" s="239">
        <v>100.27</v>
      </c>
      <c r="H150" s="239">
        <v>100.27</v>
      </c>
      <c r="I150" s="239">
        <v>100.27</v>
      </c>
      <c r="J150" s="239">
        <v>100.27</v>
      </c>
      <c r="K150" s="239">
        <v>100.27</v>
      </c>
      <c r="L150" s="239">
        <v>100.27</v>
      </c>
      <c r="M150" s="239">
        <v>100.27</v>
      </c>
      <c r="N150" s="239">
        <v>100.27</v>
      </c>
      <c r="O150" s="239">
        <v>100.27</v>
      </c>
      <c r="P150" s="239">
        <v>100.27</v>
      </c>
      <c r="Q150" s="239">
        <v>100.27</v>
      </c>
      <c r="R150" s="199"/>
      <c r="S150" s="223"/>
      <c r="T150" s="199"/>
      <c r="U150" s="199"/>
      <c r="V150" s="199"/>
      <c r="W150" s="199"/>
      <c r="X150" s="199"/>
    </row>
    <row r="151" spans="1:24">
      <c r="A151" s="187"/>
      <c r="B151" s="187"/>
      <c r="C151" s="187"/>
      <c r="D151" s="187"/>
      <c r="E151" s="187"/>
      <c r="F151" s="199"/>
      <c r="G151" s="199"/>
      <c r="H151" s="199"/>
      <c r="I151" s="199"/>
      <c r="J151" s="199"/>
      <c r="K151" s="199"/>
      <c r="L151" s="199"/>
      <c r="M151" s="199"/>
      <c r="N151" s="199"/>
      <c r="O151" s="199"/>
      <c r="P151" s="199"/>
      <c r="Q151" s="199"/>
      <c r="R151" s="199"/>
      <c r="S151" s="223"/>
      <c r="T151" s="199"/>
      <c r="U151" s="199"/>
      <c r="V151" s="199"/>
      <c r="W151" s="199"/>
      <c r="X151" s="199"/>
    </row>
    <row r="152" spans="1:24">
      <c r="A152" s="187"/>
      <c r="B152" s="187"/>
      <c r="C152" s="187"/>
      <c r="D152" s="187"/>
      <c r="E152" s="187"/>
      <c r="F152" s="199"/>
      <c r="G152" s="199"/>
      <c r="H152" s="199"/>
      <c r="I152" s="199"/>
      <c r="J152" s="199"/>
      <c r="K152" s="199"/>
      <c r="L152" s="199"/>
      <c r="M152" s="199"/>
      <c r="N152" s="199"/>
      <c r="O152" s="199"/>
      <c r="P152" s="199"/>
      <c r="Q152" s="199"/>
      <c r="R152" s="199"/>
      <c r="S152" s="223"/>
      <c r="T152" s="199"/>
      <c r="U152" s="199"/>
      <c r="V152" s="199"/>
      <c r="W152" s="199"/>
      <c r="X152" s="199"/>
    </row>
    <row r="153" spans="1:24">
      <c r="A153" s="187"/>
      <c r="B153" s="187"/>
      <c r="C153" s="187"/>
      <c r="D153" s="187"/>
      <c r="E153" s="187" t="s">
        <v>300</v>
      </c>
      <c r="F153" s="199">
        <v>373258.72864499997</v>
      </c>
      <c r="G153" s="199">
        <v>296281.39439999999</v>
      </c>
      <c r="H153" s="199">
        <v>343641.61270000006</v>
      </c>
      <c r="I153" s="199">
        <v>332979.64529999997</v>
      </c>
      <c r="J153" s="199">
        <v>340575.75439999998</v>
      </c>
      <c r="K153" s="199">
        <v>329389.62470000004</v>
      </c>
      <c r="L153" s="199">
        <v>328167.89870000008</v>
      </c>
      <c r="M153" s="199">
        <v>356604.59629999998</v>
      </c>
      <c r="N153" s="199">
        <v>301122.10470000003</v>
      </c>
      <c r="O153" s="199">
        <v>351618.88008000003</v>
      </c>
      <c r="P153" s="199">
        <v>347694.11190000002</v>
      </c>
      <c r="Q153" s="199">
        <v>318388.26490000001</v>
      </c>
      <c r="R153" s="199"/>
      <c r="S153" s="200">
        <v>4019722.6167250001</v>
      </c>
      <c r="T153" s="199"/>
      <c r="U153" s="199"/>
      <c r="V153" s="199"/>
      <c r="W153" s="199"/>
      <c r="X153" s="199"/>
    </row>
    <row r="154" spans="1:24">
      <c r="A154" s="187"/>
      <c r="B154" s="187"/>
      <c r="C154" s="187"/>
      <c r="D154" s="187"/>
      <c r="E154" s="187" t="s">
        <v>301</v>
      </c>
      <c r="F154" s="199">
        <v>226516.72864499997</v>
      </c>
      <c r="G154" s="199">
        <v>-185994.60560000001</v>
      </c>
      <c r="H154" s="199">
        <v>29809.612700000056</v>
      </c>
      <c r="I154" s="199">
        <v>18731.645299999975</v>
      </c>
      <c r="J154" s="199">
        <v>20513.754399999976</v>
      </c>
      <c r="K154" s="199">
        <v>25983.624700000044</v>
      </c>
      <c r="L154" s="199">
        <v>16692.898700000078</v>
      </c>
      <c r="M154" s="199">
        <v>-15227.403700000024</v>
      </c>
      <c r="N154" s="199">
        <v>-11843.895299999975</v>
      </c>
      <c r="O154" s="199">
        <v>-16706.119919999968</v>
      </c>
      <c r="P154" s="199">
        <v>-7502.8880999999819</v>
      </c>
      <c r="Q154" s="199">
        <v>-13257.735099999991</v>
      </c>
      <c r="R154" s="199"/>
      <c r="S154" s="200">
        <v>87715.616725000145</v>
      </c>
      <c r="T154" s="199"/>
      <c r="U154" s="199"/>
      <c r="V154" s="199"/>
      <c r="W154" s="199"/>
      <c r="X154" s="199"/>
    </row>
    <row r="155" spans="1:24">
      <c r="A155" s="187"/>
      <c r="B155" s="187"/>
      <c r="C155" s="187"/>
      <c r="D155" s="187"/>
      <c r="E155" s="187" t="s">
        <v>302</v>
      </c>
      <c r="F155" s="251">
        <v>1.5436393714478469</v>
      </c>
      <c r="G155" s="251">
        <v>-0.38566009007290436</v>
      </c>
      <c r="H155" s="251">
        <v>9.4985892770654543E-2</v>
      </c>
      <c r="I155" s="251">
        <v>5.9607842532012852E-2</v>
      </c>
      <c r="J155" s="251">
        <v>6.4093064468759106E-2</v>
      </c>
      <c r="K155" s="251">
        <v>8.5639785304180024E-2</v>
      </c>
      <c r="L155" s="251">
        <v>5.3593061080343778E-2</v>
      </c>
      <c r="M155" s="251">
        <v>-4.0952375535187997E-2</v>
      </c>
      <c r="N155" s="251">
        <v>-3.7844031939571629E-2</v>
      </c>
      <c r="O155" s="251">
        <v>-4.5357007859906248E-2</v>
      </c>
      <c r="P155" s="251">
        <v>-2.1123174182214325E-2</v>
      </c>
      <c r="Q155" s="251">
        <v>-3.9975561592782635E-2</v>
      </c>
      <c r="R155" s="199"/>
      <c r="S155" s="252">
        <v>2.2308102891220729E-2</v>
      </c>
      <c r="T155" s="199"/>
      <c r="U155" s="199"/>
      <c r="V155" s="199"/>
      <c r="W155" s="199"/>
      <c r="X155" s="199"/>
    </row>
    <row r="156" spans="1:24">
      <c r="A156" s="187"/>
      <c r="B156" s="187"/>
      <c r="C156" s="187"/>
      <c r="D156" s="187"/>
      <c r="E156" s="187"/>
      <c r="F156" s="199"/>
      <c r="G156" s="199"/>
      <c r="H156" s="199"/>
      <c r="I156" s="199"/>
      <c r="J156" s="199"/>
      <c r="K156" s="199"/>
      <c r="L156" s="199"/>
      <c r="M156" s="199"/>
      <c r="N156" s="199"/>
      <c r="O156" s="199"/>
      <c r="P156" s="199"/>
      <c r="Q156" s="199"/>
      <c r="R156" s="199"/>
      <c r="S156" s="223"/>
      <c r="T156" s="199"/>
      <c r="U156" s="199"/>
      <c r="V156" s="199"/>
      <c r="W156" s="199"/>
      <c r="X156" s="199"/>
    </row>
    <row r="157" spans="1:24">
      <c r="A157" s="187"/>
      <c r="B157" s="187"/>
      <c r="C157" s="187"/>
      <c r="D157" s="187"/>
      <c r="E157" s="188" t="s">
        <v>303</v>
      </c>
      <c r="F157" s="199"/>
      <c r="G157" s="199"/>
      <c r="H157" s="199"/>
      <c r="I157" s="199"/>
      <c r="J157" s="199"/>
      <c r="K157" s="199"/>
      <c r="L157" s="199"/>
      <c r="M157" s="199"/>
      <c r="N157" s="199"/>
      <c r="O157" s="199"/>
      <c r="P157" s="199"/>
      <c r="Q157" s="199"/>
      <c r="R157" s="199"/>
      <c r="S157" s="223"/>
      <c r="T157" s="199"/>
      <c r="U157" s="199"/>
      <c r="V157" s="199"/>
      <c r="W157" s="199"/>
      <c r="X157" s="199"/>
    </row>
    <row r="158" spans="1:24">
      <c r="A158" s="187"/>
      <c r="B158" s="187"/>
      <c r="C158" s="187"/>
      <c r="D158" s="187"/>
      <c r="E158" s="187" t="s">
        <v>274</v>
      </c>
      <c r="F158" s="199">
        <v>0</v>
      </c>
      <c r="G158" s="199">
        <v>0</v>
      </c>
      <c r="H158" s="199">
        <v>0</v>
      </c>
      <c r="I158" s="199">
        <v>0</v>
      </c>
      <c r="J158" s="199">
        <v>0</v>
      </c>
      <c r="K158" s="199">
        <v>0</v>
      </c>
      <c r="L158" s="199">
        <v>0</v>
      </c>
      <c r="M158" s="199">
        <v>0</v>
      </c>
      <c r="N158" s="199">
        <v>0</v>
      </c>
      <c r="O158" s="199">
        <v>0</v>
      </c>
      <c r="P158" s="199">
        <v>0</v>
      </c>
      <c r="Q158" s="199">
        <v>0</v>
      </c>
      <c r="R158" s="199">
        <v>0</v>
      </c>
      <c r="S158" s="200">
        <v>0</v>
      </c>
      <c r="T158" s="199"/>
      <c r="U158" s="199"/>
      <c r="V158" s="199"/>
      <c r="W158" s="199"/>
      <c r="X158" s="199"/>
    </row>
    <row r="159" spans="1:24">
      <c r="A159" s="187"/>
      <c r="B159" s="187"/>
      <c r="C159" s="187"/>
      <c r="D159" s="187"/>
      <c r="E159" s="187" t="s">
        <v>279</v>
      </c>
      <c r="F159" s="199">
        <v>113.19</v>
      </c>
      <c r="G159" s="199">
        <v>65.930000000000007</v>
      </c>
      <c r="H159" s="199">
        <v>85.19</v>
      </c>
      <c r="I159" s="199">
        <v>97.11</v>
      </c>
      <c r="J159" s="199">
        <v>40.58</v>
      </c>
      <c r="K159" s="199">
        <v>112.13</v>
      </c>
      <c r="L159" s="199">
        <v>74.41</v>
      </c>
      <c r="M159" s="199">
        <v>179.98000000000002</v>
      </c>
      <c r="N159" s="199">
        <v>107.58999999999999</v>
      </c>
      <c r="O159" s="199">
        <v>84.4</v>
      </c>
      <c r="P159" s="199">
        <v>128.95999999999998</v>
      </c>
      <c r="Q159" s="199">
        <v>131.75</v>
      </c>
      <c r="R159" s="199">
        <v>0</v>
      </c>
      <c r="S159" s="200">
        <v>1221.22</v>
      </c>
      <c r="T159" s="199"/>
      <c r="U159" s="232">
        <v>4.1099352658776976E-2</v>
      </c>
      <c r="V159" s="199"/>
      <c r="W159" s="199"/>
      <c r="X159" s="199"/>
    </row>
    <row r="160" spans="1:24">
      <c r="A160" s="187"/>
      <c r="B160" s="187"/>
      <c r="C160" s="187"/>
      <c r="D160" s="187"/>
      <c r="E160" s="187" t="s">
        <v>282</v>
      </c>
      <c r="F160" s="199">
        <v>1130.94</v>
      </c>
      <c r="G160" s="199">
        <v>753.45</v>
      </c>
      <c r="H160" s="199">
        <v>718.65</v>
      </c>
      <c r="I160" s="199">
        <v>788.58</v>
      </c>
      <c r="J160" s="199">
        <v>913.65000000000009</v>
      </c>
      <c r="K160" s="199">
        <v>706.75</v>
      </c>
      <c r="L160" s="199">
        <v>598.89</v>
      </c>
      <c r="M160" s="199">
        <v>818.43999999999994</v>
      </c>
      <c r="N160" s="199">
        <v>749</v>
      </c>
      <c r="O160" s="199">
        <v>886.58</v>
      </c>
      <c r="P160" s="199">
        <v>878.97</v>
      </c>
      <c r="Q160" s="199">
        <v>851.53</v>
      </c>
      <c r="R160" s="199"/>
      <c r="S160" s="200">
        <v>9795.43</v>
      </c>
      <c r="T160" s="199"/>
      <c r="U160" s="232">
        <v>0.32965872816885061</v>
      </c>
      <c r="V160" s="232"/>
      <c r="W160" s="199"/>
      <c r="X160" s="199"/>
    </row>
    <row r="161" spans="1:24">
      <c r="A161" s="187"/>
      <c r="B161" s="187"/>
      <c r="C161" s="187"/>
      <c r="D161" s="187"/>
      <c r="E161" s="187" t="s">
        <v>287</v>
      </c>
      <c r="F161" s="199">
        <v>1277.43</v>
      </c>
      <c r="G161" s="199">
        <v>1022.9</v>
      </c>
      <c r="H161" s="199">
        <v>1340.8200000000002</v>
      </c>
      <c r="I161" s="199">
        <v>1199.08</v>
      </c>
      <c r="J161" s="199">
        <v>1188.77</v>
      </c>
      <c r="K161" s="199">
        <v>1318.49</v>
      </c>
      <c r="L161" s="199">
        <v>1396.54</v>
      </c>
      <c r="M161" s="199">
        <v>1349.6100000000001</v>
      </c>
      <c r="N161" s="199">
        <v>987.26</v>
      </c>
      <c r="O161" s="199">
        <v>1301.05</v>
      </c>
      <c r="P161" s="199">
        <v>1192.27</v>
      </c>
      <c r="Q161" s="199">
        <v>1026.73</v>
      </c>
      <c r="R161" s="199">
        <v>0</v>
      </c>
      <c r="S161" s="200">
        <v>14600.949999999999</v>
      </c>
      <c r="T161" s="199"/>
      <c r="U161" s="232">
        <v>0.49138533040989307</v>
      </c>
      <c r="V161" s="199"/>
      <c r="W161" s="199"/>
      <c r="X161" s="199"/>
    </row>
    <row r="162" spans="1:24">
      <c r="A162" s="187"/>
      <c r="B162" s="187"/>
      <c r="C162" s="187"/>
      <c r="D162" s="187"/>
      <c r="E162" s="187" t="s">
        <v>274</v>
      </c>
      <c r="F162" s="199">
        <v>0</v>
      </c>
      <c r="G162" s="199">
        <v>0</v>
      </c>
      <c r="H162" s="199">
        <v>0</v>
      </c>
      <c r="I162" s="199">
        <v>0</v>
      </c>
      <c r="J162" s="199">
        <v>0</v>
      </c>
      <c r="K162" s="199">
        <v>0</v>
      </c>
      <c r="L162" s="199">
        <v>30.07</v>
      </c>
      <c r="M162" s="199">
        <v>8.06</v>
      </c>
      <c r="N162" s="199">
        <v>25.66</v>
      </c>
      <c r="O162" s="199">
        <v>22.03</v>
      </c>
      <c r="P162" s="199">
        <v>22.76</v>
      </c>
      <c r="Q162" s="199">
        <v>22.87</v>
      </c>
      <c r="R162" s="199">
        <v>0</v>
      </c>
      <c r="S162" s="200">
        <v>131.45000000000002</v>
      </c>
      <c r="T162" s="199"/>
      <c r="U162" s="232">
        <v>4.4238629460672391E-3</v>
      </c>
      <c r="V162" s="199"/>
      <c r="W162" s="199"/>
      <c r="X162" s="199"/>
    </row>
    <row r="163" spans="1:24">
      <c r="A163" s="187"/>
      <c r="B163" s="187"/>
      <c r="C163" s="187"/>
      <c r="D163" s="187"/>
      <c r="E163" s="187" t="s">
        <v>292</v>
      </c>
      <c r="F163" s="199">
        <v>305.45999999999998</v>
      </c>
      <c r="G163" s="199">
        <v>334.03</v>
      </c>
      <c r="H163" s="199">
        <v>359.43</v>
      </c>
      <c r="I163" s="199">
        <v>339.43</v>
      </c>
      <c r="J163" s="199">
        <v>317.3</v>
      </c>
      <c r="K163" s="199">
        <v>325.48</v>
      </c>
      <c r="L163" s="199">
        <v>359.42</v>
      </c>
      <c r="M163" s="199">
        <v>349.59</v>
      </c>
      <c r="N163" s="199">
        <v>295.11</v>
      </c>
      <c r="O163" s="199">
        <v>301.45</v>
      </c>
      <c r="P163" s="199">
        <v>382</v>
      </c>
      <c r="Q163" s="199">
        <v>296.10000000000002</v>
      </c>
      <c r="R163" s="199">
        <v>0</v>
      </c>
      <c r="S163" s="200">
        <v>3964.8</v>
      </c>
      <c r="T163" s="199"/>
      <c r="U163" s="232">
        <v>0.13343272581641225</v>
      </c>
      <c r="V163" s="199"/>
      <c r="W163" s="199"/>
      <c r="X163" s="199"/>
    </row>
    <row r="164" spans="1:24">
      <c r="A164" s="187"/>
      <c r="B164" s="187"/>
      <c r="C164" s="187"/>
      <c r="D164" s="187"/>
      <c r="E164" s="187" t="s">
        <v>296</v>
      </c>
      <c r="F164" s="199">
        <v>0</v>
      </c>
      <c r="G164" s="199">
        <v>0</v>
      </c>
      <c r="H164" s="199">
        <v>0</v>
      </c>
      <c r="I164" s="199">
        <v>0</v>
      </c>
      <c r="J164" s="199">
        <v>0</v>
      </c>
      <c r="K164" s="199">
        <v>0</v>
      </c>
      <c r="L164" s="199">
        <v>0</v>
      </c>
      <c r="M164" s="199">
        <v>0</v>
      </c>
      <c r="N164" s="199">
        <v>0</v>
      </c>
      <c r="O164" s="199">
        <v>0</v>
      </c>
      <c r="P164" s="199">
        <v>0</v>
      </c>
      <c r="Q164" s="199">
        <v>0</v>
      </c>
      <c r="R164" s="199">
        <v>0</v>
      </c>
      <c r="S164" s="200">
        <v>0</v>
      </c>
      <c r="T164" s="199"/>
      <c r="U164" s="199"/>
      <c r="V164" s="199"/>
      <c r="W164" s="199"/>
      <c r="X164" s="199"/>
    </row>
    <row r="165" spans="1:24">
      <c r="A165" s="187"/>
      <c r="B165" s="187"/>
      <c r="C165" s="187"/>
      <c r="D165" s="187"/>
      <c r="E165" s="187" t="s">
        <v>298</v>
      </c>
      <c r="F165" s="199">
        <v>0</v>
      </c>
      <c r="G165" s="199">
        <v>0</v>
      </c>
      <c r="H165" s="199">
        <v>0</v>
      </c>
      <c r="I165" s="199">
        <v>0</v>
      </c>
      <c r="J165" s="199">
        <v>0</v>
      </c>
      <c r="K165" s="199">
        <v>0</v>
      </c>
      <c r="L165" s="199">
        <v>0</v>
      </c>
      <c r="M165" s="199">
        <v>0</v>
      </c>
      <c r="N165" s="199">
        <v>0</v>
      </c>
      <c r="O165" s="199">
        <v>0</v>
      </c>
      <c r="P165" s="199">
        <v>0</v>
      </c>
      <c r="Q165" s="199">
        <v>0</v>
      </c>
      <c r="R165" s="199">
        <v>0</v>
      </c>
      <c r="S165" s="200">
        <v>0</v>
      </c>
      <c r="T165" s="199"/>
      <c r="U165" s="199"/>
      <c r="V165" s="199"/>
      <c r="W165" s="199"/>
      <c r="X165" s="199"/>
    </row>
    <row r="166" spans="1:24">
      <c r="A166" s="187"/>
      <c r="B166" s="187"/>
      <c r="C166" s="187"/>
      <c r="D166" s="187"/>
      <c r="E166" s="187"/>
      <c r="F166" s="219">
        <v>2827.0200000000004</v>
      </c>
      <c r="G166" s="219">
        <v>2176.3100000000004</v>
      </c>
      <c r="H166" s="219">
        <v>2504.0899999999997</v>
      </c>
      <c r="I166" s="219">
        <v>2424.1999999999998</v>
      </c>
      <c r="J166" s="219">
        <v>2460.3000000000002</v>
      </c>
      <c r="K166" s="219">
        <v>2462.85</v>
      </c>
      <c r="L166" s="219">
        <v>2459.3300000000004</v>
      </c>
      <c r="M166" s="219">
        <v>2705.6800000000003</v>
      </c>
      <c r="N166" s="219">
        <v>2164.62</v>
      </c>
      <c r="O166" s="219">
        <v>2595.5099999999998</v>
      </c>
      <c r="P166" s="219">
        <v>2604.96</v>
      </c>
      <c r="Q166" s="219">
        <v>2328.98</v>
      </c>
      <c r="R166" s="219"/>
      <c r="S166" s="250">
        <v>29713.849999999995</v>
      </c>
      <c r="T166" s="199"/>
      <c r="U166" s="199"/>
      <c r="V166" s="199"/>
      <c r="W166" s="199"/>
      <c r="X166" s="199"/>
    </row>
    <row r="167" spans="1:24">
      <c r="A167" s="187"/>
      <c r="B167" s="187"/>
      <c r="C167" s="187"/>
      <c r="D167" s="187"/>
      <c r="E167" s="187"/>
      <c r="F167" s="199"/>
      <c r="G167" s="199"/>
      <c r="H167" s="199"/>
      <c r="I167" s="199"/>
      <c r="J167" s="199"/>
      <c r="K167" s="199"/>
      <c r="L167" s="199"/>
      <c r="M167" s="199"/>
      <c r="N167" s="199"/>
      <c r="O167" s="199"/>
      <c r="P167" s="199"/>
      <c r="Q167" s="199"/>
      <c r="R167" s="199"/>
      <c r="S167" s="223"/>
      <c r="T167" s="199"/>
      <c r="U167" s="199"/>
      <c r="V167" s="199"/>
      <c r="W167" s="199"/>
      <c r="X167" s="199"/>
    </row>
    <row r="168" spans="1:24">
      <c r="A168" s="187"/>
      <c r="B168" s="187"/>
      <c r="C168" s="187"/>
      <c r="D168" s="187"/>
      <c r="E168" s="188" t="s">
        <v>304</v>
      </c>
      <c r="F168" s="199"/>
      <c r="G168" s="199"/>
      <c r="H168" s="199"/>
      <c r="I168" s="199"/>
      <c r="J168" s="199"/>
      <c r="K168" s="199"/>
      <c r="L168" s="199"/>
      <c r="M168" s="199"/>
      <c r="N168" s="199"/>
      <c r="O168" s="199"/>
      <c r="P168" s="199"/>
      <c r="Q168" s="199"/>
      <c r="R168" s="199"/>
      <c r="S168" s="223"/>
      <c r="T168" s="199"/>
      <c r="U168" s="199"/>
      <c r="V168" s="199"/>
      <c r="W168" s="199"/>
      <c r="X168" s="199"/>
    </row>
    <row r="169" spans="1:24">
      <c r="A169" s="187"/>
      <c r="B169" s="187"/>
      <c r="C169" s="187"/>
      <c r="D169" s="187"/>
      <c r="E169" s="187" t="s">
        <v>274</v>
      </c>
      <c r="F169" s="199">
        <v>0</v>
      </c>
      <c r="G169" s="199">
        <v>0</v>
      </c>
      <c r="H169" s="199">
        <v>0</v>
      </c>
      <c r="I169" s="199">
        <v>0</v>
      </c>
      <c r="J169" s="199">
        <v>0</v>
      </c>
      <c r="K169" s="199">
        <v>0</v>
      </c>
      <c r="L169" s="199">
        <v>0</v>
      </c>
      <c r="M169" s="199">
        <v>0</v>
      </c>
      <c r="N169" s="199">
        <v>0</v>
      </c>
      <c r="O169" s="199">
        <v>0</v>
      </c>
      <c r="P169" s="199">
        <v>0</v>
      </c>
      <c r="Q169" s="199">
        <v>0</v>
      </c>
      <c r="R169" s="199"/>
      <c r="S169" s="200">
        <v>0</v>
      </c>
      <c r="T169" s="199"/>
      <c r="U169" s="199"/>
      <c r="V169" s="199"/>
      <c r="W169" s="199"/>
      <c r="X169" s="199"/>
    </row>
    <row r="170" spans="1:24">
      <c r="A170" s="187"/>
      <c r="B170" s="187"/>
      <c r="C170" s="187"/>
      <c r="D170" s="187"/>
      <c r="E170" s="187" t="s">
        <v>279</v>
      </c>
      <c r="F170" s="199">
        <v>42.09</v>
      </c>
      <c r="G170" s="199">
        <v>22.389999999999986</v>
      </c>
      <c r="H170" s="199">
        <v>22.099999999999994</v>
      </c>
      <c r="I170" s="199">
        <v>29.839999999999989</v>
      </c>
      <c r="J170" s="199">
        <v>24.909999999999997</v>
      </c>
      <c r="K170" s="199">
        <v>23.200000000000017</v>
      </c>
      <c r="L170" s="199">
        <v>28.36999999999999</v>
      </c>
      <c r="M170" s="199">
        <v>32.739999999999981</v>
      </c>
      <c r="N170" s="199">
        <v>22.190000000000012</v>
      </c>
      <c r="O170" s="199">
        <v>38.239999999999995</v>
      </c>
      <c r="P170" s="199">
        <v>35.260000000000019</v>
      </c>
      <c r="Q170" s="199">
        <v>32.120000000000005</v>
      </c>
      <c r="R170" s="199"/>
      <c r="S170" s="200">
        <v>353.45000000000005</v>
      </c>
      <c r="T170" s="199"/>
      <c r="U170" s="199"/>
      <c r="V170" s="199"/>
      <c r="W170" s="199"/>
      <c r="X170" s="199"/>
    </row>
    <row r="171" spans="1:24">
      <c r="A171" s="187"/>
      <c r="B171" s="187"/>
      <c r="C171" s="187"/>
      <c r="D171" s="187"/>
      <c r="E171" s="187" t="s">
        <v>282</v>
      </c>
      <c r="F171" s="199">
        <v>757.23999999999978</v>
      </c>
      <c r="G171" s="199">
        <v>519.13000000000011</v>
      </c>
      <c r="H171" s="199">
        <v>511.25999999999988</v>
      </c>
      <c r="I171" s="199">
        <v>565.15</v>
      </c>
      <c r="J171" s="199">
        <v>642.86999999999989</v>
      </c>
      <c r="K171" s="199">
        <v>400.52</v>
      </c>
      <c r="L171" s="199">
        <v>541.9799999999999</v>
      </c>
      <c r="M171" s="199">
        <v>702.08</v>
      </c>
      <c r="N171" s="199">
        <v>652.3599999999999</v>
      </c>
      <c r="O171" s="199">
        <v>706.81999999999982</v>
      </c>
      <c r="P171" s="199">
        <v>750.48000000000025</v>
      </c>
      <c r="Q171" s="199">
        <v>730.63000000000011</v>
      </c>
      <c r="R171" s="199"/>
      <c r="S171" s="200">
        <v>7480.5199999999995</v>
      </c>
      <c r="T171" s="199"/>
      <c r="U171" s="199"/>
      <c r="V171" s="199"/>
      <c r="W171" s="199"/>
      <c r="X171" s="199"/>
    </row>
    <row r="172" spans="1:24">
      <c r="A172" s="187"/>
      <c r="B172" s="187"/>
      <c r="C172" s="187"/>
      <c r="D172" s="187"/>
      <c r="E172" s="187" t="s">
        <v>287</v>
      </c>
      <c r="F172" s="199">
        <v>1174.4100000000001</v>
      </c>
      <c r="G172" s="199">
        <v>1005.9600000000002</v>
      </c>
      <c r="H172" s="199">
        <v>1231.0300000000002</v>
      </c>
      <c r="I172" s="199">
        <v>1177.1500000000001</v>
      </c>
      <c r="J172" s="199">
        <v>1109.7199999999998</v>
      </c>
      <c r="K172" s="199">
        <v>1228.9900000000005</v>
      </c>
      <c r="L172" s="199">
        <v>1043.8850000000002</v>
      </c>
      <c r="M172" s="199">
        <v>1117.2800000000002</v>
      </c>
      <c r="N172" s="199">
        <v>1013.8999999999999</v>
      </c>
      <c r="O172" s="199">
        <v>1115.1340000000002</v>
      </c>
      <c r="P172" s="199">
        <v>1042.3899999999999</v>
      </c>
      <c r="Q172" s="199">
        <v>1022.1399999999999</v>
      </c>
      <c r="R172" s="199"/>
      <c r="S172" s="200">
        <v>13281.989</v>
      </c>
      <c r="T172" s="199"/>
      <c r="U172" s="199"/>
      <c r="V172" s="199"/>
      <c r="W172" s="199"/>
      <c r="X172" s="199"/>
    </row>
    <row r="173" spans="1:24">
      <c r="A173" s="187"/>
      <c r="B173" s="187"/>
      <c r="C173" s="187"/>
      <c r="D173" s="187"/>
      <c r="E173" s="187" t="s">
        <v>274</v>
      </c>
      <c r="F173" s="199">
        <v>0</v>
      </c>
      <c r="G173" s="199">
        <v>0</v>
      </c>
      <c r="H173" s="199">
        <v>0</v>
      </c>
      <c r="I173" s="199">
        <v>0</v>
      </c>
      <c r="J173" s="199">
        <v>13.49</v>
      </c>
      <c r="K173" s="199">
        <v>0</v>
      </c>
      <c r="L173" s="199">
        <v>0</v>
      </c>
      <c r="M173" s="199">
        <v>7.82</v>
      </c>
      <c r="N173" s="199">
        <v>0</v>
      </c>
      <c r="O173" s="199">
        <v>5.4699999999999989</v>
      </c>
      <c r="P173" s="199">
        <v>0</v>
      </c>
      <c r="Q173" s="199">
        <v>8.9700000000000024</v>
      </c>
      <c r="R173" s="199"/>
      <c r="S173" s="200">
        <v>35.75</v>
      </c>
      <c r="T173" s="199"/>
      <c r="U173" s="199"/>
      <c r="V173" s="199"/>
      <c r="W173" s="199"/>
      <c r="X173" s="199"/>
    </row>
    <row r="174" spans="1:24">
      <c r="A174" s="187"/>
      <c r="B174" s="187"/>
      <c r="C174" s="187"/>
      <c r="D174" s="187"/>
      <c r="E174" s="187" t="s">
        <v>292</v>
      </c>
      <c r="F174" s="199">
        <v>22.413499999999999</v>
      </c>
      <c r="G174" s="199">
        <v>14.129999999999995</v>
      </c>
      <c r="H174" s="199">
        <v>30.980000000000018</v>
      </c>
      <c r="I174" s="199">
        <v>23.879999999999995</v>
      </c>
      <c r="J174" s="199">
        <v>41.46999999999997</v>
      </c>
      <c r="K174" s="199">
        <v>29.050000000000011</v>
      </c>
      <c r="L174" s="199">
        <v>39.95999999999998</v>
      </c>
      <c r="M174" s="199">
        <v>50.740000000000009</v>
      </c>
      <c r="N174" s="199">
        <v>26.199999999999989</v>
      </c>
      <c r="O174" s="199">
        <v>37.29000000000002</v>
      </c>
      <c r="P174" s="199">
        <v>47.769999999999982</v>
      </c>
      <c r="Q174" s="199">
        <v>28.689999999999998</v>
      </c>
      <c r="R174" s="199"/>
      <c r="S174" s="200">
        <v>392.57349999999997</v>
      </c>
      <c r="T174" s="199"/>
      <c r="U174" s="199"/>
      <c r="V174" s="199"/>
      <c r="W174" s="199"/>
      <c r="X174" s="199"/>
    </row>
    <row r="175" spans="1:24">
      <c r="A175" s="187"/>
      <c r="B175" s="187"/>
      <c r="C175" s="187"/>
      <c r="D175" s="187"/>
      <c r="E175" s="187" t="s">
        <v>296</v>
      </c>
      <c r="F175" s="199">
        <v>0</v>
      </c>
      <c r="G175" s="199">
        <v>0</v>
      </c>
      <c r="H175" s="199">
        <v>0</v>
      </c>
      <c r="I175" s="199">
        <v>0</v>
      </c>
      <c r="J175" s="199">
        <v>0</v>
      </c>
      <c r="K175" s="199">
        <v>0</v>
      </c>
      <c r="L175" s="199">
        <v>0</v>
      </c>
      <c r="M175" s="199">
        <v>0</v>
      </c>
      <c r="N175" s="199">
        <v>0</v>
      </c>
      <c r="O175" s="199">
        <v>0</v>
      </c>
      <c r="P175" s="199">
        <v>0</v>
      </c>
      <c r="Q175" s="199">
        <v>0</v>
      </c>
      <c r="R175" s="199"/>
      <c r="S175" s="200">
        <v>0</v>
      </c>
      <c r="T175" s="199"/>
      <c r="U175" s="199"/>
      <c r="V175" s="199"/>
      <c r="W175" s="199"/>
      <c r="X175" s="199"/>
    </row>
    <row r="176" spans="1:24">
      <c r="A176" s="187"/>
      <c r="B176" s="187"/>
      <c r="C176" s="187"/>
      <c r="D176" s="187"/>
      <c r="E176" s="187" t="s">
        <v>298</v>
      </c>
      <c r="F176" s="199">
        <v>0</v>
      </c>
      <c r="G176" s="199">
        <v>0</v>
      </c>
      <c r="H176" s="199">
        <v>0</v>
      </c>
      <c r="I176" s="199">
        <v>0</v>
      </c>
      <c r="J176" s="199">
        <v>0</v>
      </c>
      <c r="K176" s="199">
        <v>0</v>
      </c>
      <c r="L176" s="199">
        <v>0</v>
      </c>
      <c r="M176" s="199">
        <v>0</v>
      </c>
      <c r="N176" s="199">
        <v>0</v>
      </c>
      <c r="O176" s="199">
        <v>0</v>
      </c>
      <c r="P176" s="199">
        <v>0</v>
      </c>
      <c r="Q176" s="199">
        <v>0</v>
      </c>
      <c r="R176" s="199"/>
      <c r="S176" s="200">
        <v>0</v>
      </c>
      <c r="T176" s="199"/>
      <c r="U176" s="199"/>
      <c r="V176" s="199"/>
      <c r="W176" s="199"/>
      <c r="X176" s="199"/>
    </row>
    <row r="177" spans="1:24">
      <c r="A177" s="187"/>
      <c r="B177" s="187"/>
      <c r="C177" s="187"/>
      <c r="D177" s="187"/>
      <c r="E177" s="187"/>
      <c r="F177" s="219">
        <v>1996.1534999999999</v>
      </c>
      <c r="G177" s="219">
        <v>1561.6100000000001</v>
      </c>
      <c r="H177" s="219">
        <v>1795.3700000000001</v>
      </c>
      <c r="I177" s="219">
        <v>1796.02</v>
      </c>
      <c r="J177" s="219">
        <v>1832.4599999999996</v>
      </c>
      <c r="K177" s="219">
        <v>1681.7600000000004</v>
      </c>
      <c r="L177" s="219">
        <v>1654.1950000000002</v>
      </c>
      <c r="M177" s="219">
        <v>1910.6600000000003</v>
      </c>
      <c r="N177" s="219">
        <v>1714.6499999999999</v>
      </c>
      <c r="O177" s="219">
        <v>1902.954</v>
      </c>
      <c r="P177" s="219">
        <v>1875.9</v>
      </c>
      <c r="Q177" s="219">
        <v>1822.55</v>
      </c>
      <c r="R177" s="219"/>
      <c r="S177" s="250">
        <v>21544.282500000001</v>
      </c>
      <c r="T177" s="199"/>
      <c r="U177" s="199"/>
      <c r="V177" s="199"/>
      <c r="W177" s="199"/>
      <c r="X177" s="199"/>
    </row>
    <row r="178" spans="1:24">
      <c r="A178" s="187"/>
      <c r="B178" s="187"/>
      <c r="C178" s="187"/>
      <c r="D178" s="187"/>
      <c r="E178" s="187"/>
      <c r="F178" s="199"/>
      <c r="G178" s="199"/>
      <c r="H178" s="199"/>
      <c r="I178" s="199"/>
      <c r="J178" s="199"/>
      <c r="K178" s="199"/>
      <c r="L178" s="199"/>
      <c r="M178" s="199"/>
      <c r="N178" s="199"/>
      <c r="O178" s="199"/>
      <c r="P178" s="199"/>
      <c r="Q178" s="199"/>
      <c r="R178" s="199"/>
      <c r="S178" s="223"/>
      <c r="T178" s="199"/>
      <c r="U178" s="199"/>
      <c r="V178" s="199"/>
      <c r="W178" s="199"/>
      <c r="X178" s="199"/>
    </row>
    <row r="179" spans="1:24">
      <c r="A179" s="187"/>
      <c r="B179" s="187"/>
      <c r="C179" s="187"/>
      <c r="D179" s="187"/>
      <c r="E179" s="187"/>
      <c r="F179" s="199"/>
      <c r="G179" s="199"/>
      <c r="H179" s="199"/>
      <c r="I179" s="199"/>
      <c r="J179" s="199"/>
      <c r="K179" s="199"/>
      <c r="L179" s="199"/>
      <c r="M179" s="199"/>
      <c r="N179" s="199"/>
      <c r="O179" s="199"/>
      <c r="P179" s="199"/>
      <c r="Q179" s="199" t="s">
        <v>265</v>
      </c>
      <c r="R179" s="199"/>
      <c r="S179" s="253">
        <v>0.57969045204680447</v>
      </c>
      <c r="T179" s="199"/>
      <c r="U179" s="199"/>
      <c r="V179" s="199"/>
      <c r="W179" s="199"/>
      <c r="X179" s="199"/>
    </row>
    <row r="180" spans="1:24">
      <c r="A180" s="187"/>
      <c r="B180" s="187"/>
      <c r="C180" s="187"/>
      <c r="D180" s="187"/>
      <c r="E180" s="187"/>
      <c r="F180" s="199"/>
      <c r="G180" s="199"/>
      <c r="H180" s="199"/>
      <c r="I180" s="199"/>
      <c r="J180" s="199"/>
      <c r="K180" s="199"/>
      <c r="L180" s="199"/>
      <c r="M180" s="199"/>
      <c r="N180" s="199"/>
      <c r="O180" s="199"/>
      <c r="P180" s="199"/>
      <c r="Q180" s="199" t="s">
        <v>305</v>
      </c>
      <c r="R180" s="199"/>
      <c r="S180" s="244">
        <v>0.42030954795319558</v>
      </c>
      <c r="T180" s="199"/>
      <c r="U180" s="199"/>
      <c r="V180" s="199"/>
      <c r="W180" s="199"/>
      <c r="X180" s="199"/>
    </row>
    <row r="181" spans="1:24">
      <c r="A181" s="187"/>
      <c r="B181" s="187"/>
      <c r="C181" s="187"/>
      <c r="D181" s="187"/>
      <c r="E181" s="187"/>
      <c r="F181" s="199"/>
      <c r="G181" s="199"/>
      <c r="H181" s="199"/>
      <c r="I181" s="199"/>
      <c r="J181" s="199"/>
      <c r="K181" s="199"/>
      <c r="L181" s="199"/>
      <c r="M181" s="199"/>
      <c r="N181" s="199"/>
      <c r="O181" s="199"/>
      <c r="P181" s="199"/>
      <c r="Q181" s="199"/>
      <c r="R181" s="199"/>
      <c r="S181" s="223"/>
      <c r="T181" s="199"/>
      <c r="U181" s="199"/>
      <c r="V181" s="199"/>
      <c r="W181" s="199"/>
      <c r="X181" s="199"/>
    </row>
    <row r="182" spans="1:24">
      <c r="A182" s="187"/>
      <c r="B182" s="187"/>
      <c r="C182" s="187"/>
      <c r="D182" s="187"/>
      <c r="E182" s="187"/>
      <c r="F182" s="199"/>
      <c r="G182" s="199"/>
      <c r="H182" s="199"/>
      <c r="I182" s="199"/>
      <c r="J182" s="199"/>
      <c r="K182" s="199"/>
      <c r="L182" s="199"/>
      <c r="M182" s="199"/>
      <c r="N182" s="199"/>
      <c r="O182" s="199"/>
      <c r="P182" s="199"/>
      <c r="Q182" s="199"/>
      <c r="R182" s="199"/>
      <c r="S182" s="223"/>
      <c r="T182" s="199"/>
      <c r="U182" s="199"/>
      <c r="V182" s="199"/>
      <c r="W182" s="199"/>
      <c r="X182" s="199"/>
    </row>
    <row r="183" spans="1:24">
      <c r="A183" s="187"/>
      <c r="B183" s="187"/>
      <c r="C183" s="187"/>
      <c r="D183" s="187"/>
      <c r="E183" s="187"/>
      <c r="F183" s="199"/>
      <c r="G183" s="199"/>
      <c r="H183" s="199"/>
      <c r="I183" s="199"/>
      <c r="J183" s="199"/>
      <c r="K183" s="199"/>
      <c r="L183" s="199"/>
      <c r="M183" s="199"/>
      <c r="N183" s="199"/>
      <c r="O183" s="199"/>
      <c r="P183" s="199"/>
      <c r="Q183" s="199"/>
      <c r="R183" s="199"/>
      <c r="S183" s="223"/>
      <c r="T183" s="199"/>
      <c r="U183" s="199"/>
      <c r="V183" s="199"/>
      <c r="W183" s="199"/>
      <c r="X183" s="199"/>
    </row>
    <row r="184" spans="1:24">
      <c r="A184" s="187"/>
      <c r="B184" s="187"/>
      <c r="C184" s="187"/>
      <c r="D184" s="187"/>
      <c r="E184" s="187"/>
      <c r="F184" s="199"/>
      <c r="G184" s="199"/>
      <c r="H184" s="199"/>
      <c r="I184" s="199"/>
      <c r="J184" s="199"/>
      <c r="K184" s="199"/>
      <c r="L184" s="199"/>
      <c r="M184" s="199"/>
      <c r="N184" s="199"/>
      <c r="O184" s="199"/>
      <c r="P184" s="199"/>
      <c r="Q184" s="199"/>
      <c r="R184" s="199"/>
      <c r="S184" s="223"/>
      <c r="T184" s="199"/>
      <c r="U184" s="199"/>
      <c r="V184" s="199"/>
      <c r="W184" s="199"/>
      <c r="X184" s="199"/>
    </row>
    <row r="185" spans="1:24">
      <c r="A185" s="187"/>
      <c r="B185" s="187"/>
      <c r="C185" s="187"/>
      <c r="D185" s="187"/>
      <c r="E185" s="187"/>
      <c r="F185" s="199"/>
      <c r="G185" s="199"/>
      <c r="H185" s="199"/>
      <c r="I185" s="199"/>
      <c r="J185" s="199"/>
      <c r="K185" s="199"/>
      <c r="L185" s="199"/>
      <c r="M185" s="199"/>
      <c r="N185" s="199"/>
      <c r="O185" s="199"/>
      <c r="P185" s="199"/>
      <c r="Q185" s="199"/>
      <c r="R185" s="199"/>
      <c r="S185" s="223"/>
      <c r="T185" s="199"/>
      <c r="U185" s="199"/>
      <c r="V185" s="199"/>
      <c r="W185" s="199"/>
      <c r="X185" s="199"/>
    </row>
    <row r="186" spans="1:24">
      <c r="A186" s="187"/>
      <c r="B186" s="187"/>
      <c r="C186" s="187"/>
      <c r="D186" s="187"/>
      <c r="E186" s="187"/>
      <c r="F186" s="199"/>
      <c r="G186" s="199"/>
      <c r="H186" s="199"/>
      <c r="I186" s="199"/>
      <c r="J186" s="199"/>
      <c r="K186" s="199"/>
      <c r="L186" s="199"/>
      <c r="M186" s="199"/>
      <c r="N186" s="199"/>
      <c r="O186" s="199"/>
      <c r="P186" s="199"/>
      <c r="Q186" s="199"/>
      <c r="R186" s="199"/>
      <c r="S186" s="223"/>
      <c r="T186" s="199"/>
      <c r="U186" s="199"/>
      <c r="V186" s="199"/>
      <c r="W186" s="199"/>
      <c r="X186" s="199"/>
    </row>
    <row r="187" spans="1:24">
      <c r="A187" s="187"/>
      <c r="B187" s="187"/>
      <c r="C187" s="187"/>
      <c r="D187" s="187"/>
      <c r="E187" s="187"/>
      <c r="F187" s="199"/>
      <c r="G187" s="199"/>
      <c r="H187" s="199"/>
      <c r="I187" s="199"/>
      <c r="J187" s="199"/>
      <c r="K187" s="199"/>
      <c r="L187" s="199"/>
      <c r="M187" s="199"/>
      <c r="N187" s="199"/>
      <c r="O187" s="199"/>
      <c r="P187" s="199"/>
      <c r="Q187" s="199"/>
      <c r="R187" s="199"/>
      <c r="S187" s="223"/>
      <c r="T187" s="199"/>
      <c r="U187" s="199"/>
      <c r="V187" s="199"/>
      <c r="W187" s="199"/>
      <c r="X187" s="199"/>
    </row>
    <row r="188" spans="1:24">
      <c r="A188" s="187"/>
      <c r="B188" s="187"/>
      <c r="C188" s="187"/>
      <c r="D188" s="187"/>
      <c r="E188" s="187"/>
      <c r="F188" s="199"/>
      <c r="G188" s="199"/>
      <c r="H188" s="199"/>
      <c r="I188" s="199"/>
      <c r="J188" s="199"/>
      <c r="K188" s="199"/>
      <c r="L188" s="199"/>
      <c r="M188" s="199"/>
      <c r="N188" s="199"/>
      <c r="O188" s="199"/>
      <c r="P188" s="199"/>
      <c r="Q188" s="199"/>
      <c r="R188" s="199"/>
      <c r="S188" s="223"/>
      <c r="T188" s="199"/>
      <c r="U188" s="199"/>
      <c r="V188" s="199"/>
      <c r="W188" s="199"/>
      <c r="X188" s="199"/>
    </row>
    <row r="189" spans="1:24">
      <c r="A189" s="187"/>
      <c r="B189" s="187"/>
      <c r="C189" s="187"/>
      <c r="D189" s="187"/>
      <c r="E189" s="187"/>
      <c r="F189" s="199"/>
      <c r="G189" s="199"/>
      <c r="H189" s="199"/>
      <c r="I189" s="199"/>
      <c r="J189" s="199"/>
      <c r="K189" s="199"/>
      <c r="L189" s="199"/>
      <c r="M189" s="199"/>
      <c r="N189" s="199"/>
      <c r="O189" s="199"/>
      <c r="P189" s="199"/>
      <c r="Q189" s="199"/>
      <c r="R189" s="199"/>
      <c r="S189" s="223"/>
      <c r="T189" s="199"/>
      <c r="U189" s="199"/>
      <c r="V189" s="199"/>
      <c r="W189" s="199"/>
      <c r="X189" s="199"/>
    </row>
    <row r="190" spans="1:24">
      <c r="A190" s="187"/>
      <c r="B190" s="187"/>
      <c r="C190" s="187"/>
      <c r="D190" s="187"/>
      <c r="E190" s="187"/>
      <c r="F190" s="199"/>
      <c r="G190" s="199"/>
      <c r="H190" s="199"/>
      <c r="I190" s="199"/>
      <c r="J190" s="199"/>
      <c r="K190" s="199"/>
      <c r="L190" s="199"/>
      <c r="M190" s="199"/>
      <c r="N190" s="199"/>
      <c r="O190" s="199"/>
      <c r="P190" s="199"/>
      <c r="Q190" s="199"/>
      <c r="R190" s="199"/>
      <c r="S190" s="223"/>
      <c r="T190" s="199"/>
      <c r="U190" s="199"/>
      <c r="V190" s="199"/>
      <c r="W190" s="199"/>
      <c r="X190" s="199"/>
    </row>
    <row r="191" spans="1:24">
      <c r="A191" s="187"/>
      <c r="B191" s="187"/>
      <c r="C191" s="187"/>
      <c r="D191" s="187"/>
      <c r="E191" s="187"/>
      <c r="F191" s="199"/>
      <c r="G191" s="199"/>
      <c r="H191" s="199"/>
      <c r="I191" s="199"/>
      <c r="J191" s="199"/>
      <c r="K191" s="199"/>
      <c r="L191" s="199"/>
      <c r="M191" s="199"/>
      <c r="N191" s="199"/>
      <c r="O191" s="199"/>
      <c r="P191" s="199"/>
      <c r="Q191" s="199"/>
      <c r="R191" s="199"/>
      <c r="S191" s="223"/>
      <c r="T191" s="199"/>
      <c r="U191" s="199"/>
      <c r="V191" s="199"/>
      <c r="W191" s="199"/>
      <c r="X191" s="199"/>
    </row>
    <row r="192" spans="1:24">
      <c r="A192" s="187"/>
      <c r="B192" s="187"/>
      <c r="C192" s="187"/>
      <c r="D192" s="187"/>
      <c r="E192" s="187"/>
      <c r="F192" s="199"/>
      <c r="G192" s="199"/>
      <c r="H192" s="199"/>
      <c r="I192" s="199"/>
      <c r="J192" s="199"/>
      <c r="K192" s="199"/>
      <c r="L192" s="199"/>
      <c r="M192" s="199"/>
      <c r="N192" s="199"/>
      <c r="O192" s="199"/>
      <c r="P192" s="199"/>
      <c r="Q192" s="199"/>
      <c r="R192" s="199"/>
      <c r="S192" s="223"/>
      <c r="T192" s="199"/>
      <c r="U192" s="199"/>
      <c r="V192" s="199"/>
      <c r="W192" s="199"/>
      <c r="X192" s="199"/>
    </row>
    <row r="193" spans="1:24">
      <c r="A193" s="187"/>
      <c r="B193" s="187"/>
      <c r="C193" s="187"/>
      <c r="D193" s="187"/>
      <c r="E193" s="187"/>
      <c r="F193" s="199"/>
      <c r="G193" s="199"/>
      <c r="H193" s="199"/>
      <c r="I193" s="199"/>
      <c r="J193" s="199"/>
      <c r="K193" s="199"/>
      <c r="L193" s="199"/>
      <c r="M193" s="199"/>
      <c r="N193" s="199"/>
      <c r="O193" s="199"/>
      <c r="P193" s="199"/>
      <c r="Q193" s="199"/>
      <c r="R193" s="199"/>
      <c r="S193" s="223"/>
      <c r="T193" s="199"/>
      <c r="U193" s="199"/>
      <c r="V193" s="199"/>
      <c r="W193" s="199"/>
      <c r="X193" s="199"/>
    </row>
    <row r="194" spans="1:24">
      <c r="A194" s="187"/>
      <c r="B194" s="187"/>
      <c r="C194" s="187"/>
      <c r="D194" s="187"/>
      <c r="E194" s="187"/>
      <c r="F194" s="199"/>
      <c r="G194" s="199"/>
      <c r="H194" s="199"/>
      <c r="I194" s="199"/>
      <c r="J194" s="199"/>
      <c r="K194" s="199"/>
      <c r="L194" s="199"/>
      <c r="M194" s="199"/>
      <c r="N194" s="199"/>
      <c r="O194" s="199"/>
      <c r="P194" s="199"/>
      <c r="Q194" s="199"/>
      <c r="R194" s="199"/>
      <c r="S194" s="223"/>
      <c r="T194" s="199"/>
      <c r="U194" s="199"/>
      <c r="V194" s="199"/>
      <c r="W194" s="199"/>
      <c r="X194" s="199"/>
    </row>
    <row r="195" spans="1:24">
      <c r="A195" s="187"/>
      <c r="B195" s="187"/>
      <c r="C195" s="187"/>
      <c r="D195" s="187"/>
      <c r="E195" s="187"/>
      <c r="F195" s="199"/>
      <c r="G195" s="199"/>
      <c r="H195" s="199"/>
      <c r="I195" s="199"/>
      <c r="J195" s="199"/>
      <c r="K195" s="199"/>
      <c r="L195" s="199"/>
      <c r="M195" s="199"/>
      <c r="N195" s="199"/>
      <c r="O195" s="199"/>
      <c r="P195" s="199"/>
      <c r="Q195" s="199"/>
      <c r="R195" s="199"/>
      <c r="S195" s="223"/>
      <c r="T195" s="199"/>
      <c r="U195" s="199"/>
      <c r="V195" s="199"/>
      <c r="W195" s="199"/>
      <c r="X195" s="199"/>
    </row>
    <row r="196" spans="1:24">
      <c r="A196" s="187"/>
      <c r="B196" s="187"/>
      <c r="C196" s="187"/>
      <c r="D196" s="187"/>
      <c r="E196" s="187"/>
      <c r="F196" s="199"/>
      <c r="G196" s="199"/>
      <c r="H196" s="199"/>
      <c r="I196" s="199"/>
      <c r="J196" s="199"/>
      <c r="K196" s="199"/>
      <c r="L196" s="199"/>
      <c r="M196" s="199"/>
      <c r="N196" s="199"/>
      <c r="O196" s="199"/>
      <c r="P196" s="199"/>
      <c r="Q196" s="199"/>
      <c r="R196" s="199"/>
      <c r="S196" s="223"/>
      <c r="T196" s="199"/>
      <c r="U196" s="199"/>
      <c r="V196" s="199"/>
      <c r="W196" s="199"/>
      <c r="X196" s="199"/>
    </row>
    <row r="197" spans="1:24">
      <c r="A197" s="187"/>
      <c r="B197" s="187"/>
      <c r="C197" s="187"/>
      <c r="D197" s="187"/>
      <c r="E197" s="187"/>
      <c r="F197" s="199"/>
      <c r="G197" s="199"/>
      <c r="H197" s="199"/>
      <c r="I197" s="199"/>
      <c r="J197" s="199"/>
      <c r="K197" s="199"/>
      <c r="L197" s="199"/>
      <c r="M197" s="199"/>
      <c r="N197" s="199"/>
      <c r="O197" s="199"/>
      <c r="P197" s="199"/>
      <c r="Q197" s="199"/>
      <c r="R197" s="199"/>
      <c r="S197" s="223"/>
      <c r="T197" s="199"/>
      <c r="U197" s="199"/>
      <c r="V197" s="199"/>
      <c r="W197" s="199"/>
      <c r="X197" s="199"/>
    </row>
    <row r="198" spans="1:24">
      <c r="A198" s="187"/>
      <c r="B198" s="187"/>
      <c r="C198" s="187"/>
      <c r="D198" s="187"/>
      <c r="E198" s="187"/>
      <c r="F198" s="199"/>
      <c r="G198" s="199"/>
      <c r="H198" s="199"/>
      <c r="I198" s="199"/>
      <c r="J198" s="199"/>
      <c r="K198" s="199"/>
      <c r="L198" s="199"/>
      <c r="M198" s="199"/>
      <c r="N198" s="199"/>
      <c r="O198" s="199"/>
      <c r="P198" s="199"/>
      <c r="Q198" s="199"/>
      <c r="R198" s="199"/>
      <c r="S198" s="223"/>
      <c r="T198" s="199"/>
      <c r="U198" s="199"/>
      <c r="V198" s="199"/>
      <c r="W198" s="199"/>
      <c r="X198" s="199"/>
    </row>
    <row r="199" spans="1:24">
      <c r="A199" s="187"/>
      <c r="B199" s="187"/>
      <c r="C199" s="187"/>
      <c r="D199" s="187"/>
      <c r="E199" s="187"/>
      <c r="F199" s="199"/>
      <c r="G199" s="199"/>
      <c r="H199" s="199"/>
      <c r="I199" s="199"/>
      <c r="J199" s="199"/>
      <c r="K199" s="199"/>
      <c r="L199" s="199"/>
      <c r="M199" s="199"/>
      <c r="N199" s="199"/>
      <c r="O199" s="199"/>
      <c r="P199" s="199"/>
      <c r="Q199" s="199"/>
      <c r="R199" s="199"/>
      <c r="S199" s="223"/>
      <c r="T199" s="199"/>
      <c r="U199" s="199"/>
      <c r="V199" s="199"/>
      <c r="W199" s="199"/>
      <c r="X199" s="199"/>
    </row>
    <row r="200" spans="1:24">
      <c r="A200" s="187"/>
      <c r="B200" s="187"/>
      <c r="C200" s="187"/>
      <c r="D200" s="187"/>
      <c r="E200" s="187"/>
      <c r="F200" s="199"/>
      <c r="G200" s="199"/>
      <c r="H200" s="199"/>
      <c r="I200" s="199"/>
      <c r="J200" s="199"/>
      <c r="K200" s="199"/>
      <c r="L200" s="199"/>
      <c r="M200" s="199"/>
      <c r="N200" s="199"/>
      <c r="O200" s="199"/>
      <c r="P200" s="199"/>
      <c r="Q200" s="199"/>
      <c r="R200" s="199"/>
      <c r="S200" s="223"/>
      <c r="T200" s="199"/>
      <c r="U200" s="199"/>
      <c r="V200" s="199"/>
      <c r="W200" s="199"/>
      <c r="X200" s="199"/>
    </row>
    <row r="201" spans="1:24">
      <c r="A201" s="187"/>
      <c r="B201" s="187"/>
      <c r="C201" s="187"/>
      <c r="D201" s="187"/>
      <c r="E201" s="187"/>
      <c r="F201" s="199"/>
      <c r="G201" s="199"/>
      <c r="H201" s="199"/>
      <c r="I201" s="199"/>
      <c r="J201" s="199"/>
      <c r="K201" s="199"/>
      <c r="L201" s="199"/>
      <c r="M201" s="199"/>
      <c r="N201" s="199"/>
      <c r="O201" s="199"/>
      <c r="P201" s="199"/>
      <c r="Q201" s="199"/>
      <c r="R201" s="199"/>
      <c r="S201" s="223"/>
      <c r="T201" s="199"/>
      <c r="U201" s="199"/>
      <c r="V201" s="199"/>
      <c r="W201" s="199"/>
      <c r="X201" s="199"/>
    </row>
    <row r="202" spans="1:24">
      <c r="A202" s="187"/>
      <c r="B202" s="187"/>
      <c r="C202" s="187"/>
      <c r="D202" s="187"/>
      <c r="E202" s="187"/>
      <c r="F202" s="199"/>
      <c r="G202" s="199"/>
      <c r="H202" s="199"/>
      <c r="I202" s="199"/>
      <c r="J202" s="199"/>
      <c r="K202" s="199"/>
      <c r="L202" s="199"/>
      <c r="M202" s="199"/>
      <c r="N202" s="199"/>
      <c r="O202" s="199"/>
      <c r="P202" s="199"/>
      <c r="Q202" s="199"/>
      <c r="R202" s="199"/>
      <c r="S202" s="223"/>
      <c r="T202" s="199"/>
      <c r="U202" s="199"/>
      <c r="V202" s="199"/>
      <c r="W202" s="199"/>
      <c r="X202" s="199"/>
    </row>
    <row r="203" spans="1:24">
      <c r="A203" s="187"/>
      <c r="B203" s="187"/>
      <c r="C203" s="187"/>
      <c r="D203" s="187"/>
      <c r="E203" s="187"/>
      <c r="F203" s="199"/>
      <c r="G203" s="199"/>
      <c r="H203" s="199"/>
      <c r="I203" s="199"/>
      <c r="J203" s="199"/>
      <c r="K203" s="199"/>
      <c r="L203" s="199"/>
      <c r="M203" s="199"/>
      <c r="N203" s="199"/>
      <c r="O203" s="199"/>
      <c r="P203" s="199"/>
      <c r="Q203" s="199"/>
      <c r="R203" s="199"/>
      <c r="S203" s="223"/>
      <c r="T203" s="199"/>
      <c r="U203" s="199"/>
      <c r="V203" s="199"/>
      <c r="W203" s="199"/>
      <c r="X203" s="199"/>
    </row>
    <row r="204" spans="1:24">
      <c r="A204" s="187"/>
      <c r="B204" s="187"/>
      <c r="C204" s="187"/>
      <c r="D204" s="187"/>
      <c r="E204" s="187"/>
      <c r="F204" s="199"/>
      <c r="G204" s="199"/>
      <c r="H204" s="199"/>
      <c r="I204" s="199"/>
      <c r="J204" s="199"/>
      <c r="K204" s="199"/>
      <c r="L204" s="199"/>
      <c r="M204" s="199"/>
      <c r="N204" s="199"/>
      <c r="O204" s="199"/>
      <c r="P204" s="199"/>
      <c r="Q204" s="199"/>
      <c r="R204" s="199"/>
      <c r="S204" s="223"/>
      <c r="T204" s="199"/>
      <c r="U204" s="199"/>
      <c r="V204" s="199"/>
      <c r="W204" s="199"/>
      <c r="X204" s="199"/>
    </row>
    <row r="205" spans="1:24">
      <c r="A205" s="187"/>
      <c r="B205" s="187"/>
      <c r="C205" s="187"/>
      <c r="D205" s="187"/>
      <c r="E205" s="187"/>
      <c r="F205" s="199"/>
      <c r="G205" s="199"/>
      <c r="H205" s="199"/>
      <c r="I205" s="199"/>
      <c r="J205" s="199"/>
      <c r="K205" s="199"/>
      <c r="L205" s="199"/>
      <c r="M205" s="199"/>
      <c r="N205" s="199"/>
      <c r="O205" s="199"/>
      <c r="P205" s="199"/>
      <c r="Q205" s="199"/>
      <c r="R205" s="199"/>
      <c r="S205" s="223"/>
      <c r="T205" s="199"/>
      <c r="U205" s="199"/>
      <c r="V205" s="199"/>
      <c r="W205" s="199"/>
      <c r="X205" s="199"/>
    </row>
    <row r="206" spans="1:24">
      <c r="A206" s="187"/>
      <c r="B206" s="187"/>
      <c r="C206" s="187"/>
      <c r="D206" s="187"/>
      <c r="E206" s="187"/>
      <c r="F206" s="199"/>
      <c r="G206" s="199"/>
      <c r="H206" s="199"/>
      <c r="I206" s="199"/>
      <c r="J206" s="199"/>
      <c r="K206" s="199"/>
      <c r="L206" s="199"/>
      <c r="M206" s="199"/>
      <c r="N206" s="199"/>
      <c r="O206" s="199"/>
      <c r="P206" s="199"/>
      <c r="Q206" s="199"/>
      <c r="R206" s="199"/>
      <c r="S206" s="223"/>
      <c r="T206" s="199"/>
      <c r="U206" s="199"/>
      <c r="V206" s="199"/>
      <c r="W206" s="199"/>
      <c r="X206" s="199"/>
    </row>
    <row r="207" spans="1:24">
      <c r="A207" s="187"/>
      <c r="B207" s="187"/>
      <c r="C207" s="187"/>
      <c r="D207" s="187"/>
      <c r="E207" s="187"/>
      <c r="F207" s="199"/>
      <c r="G207" s="199"/>
      <c r="H207" s="199"/>
      <c r="I207" s="199"/>
      <c r="J207" s="199"/>
      <c r="K207" s="199"/>
      <c r="L207" s="199"/>
      <c r="M207" s="199"/>
      <c r="N207" s="199"/>
      <c r="O207" s="199"/>
      <c r="P207" s="199"/>
      <c r="Q207" s="199"/>
      <c r="R207" s="199"/>
      <c r="S207" s="223"/>
      <c r="T207" s="199"/>
      <c r="U207" s="199"/>
      <c r="V207" s="199"/>
      <c r="W207" s="199"/>
      <c r="X207" s="199"/>
    </row>
    <row r="208" spans="1:24">
      <c r="A208" s="187"/>
      <c r="B208" s="187"/>
      <c r="C208" s="187"/>
      <c r="D208" s="187"/>
      <c r="E208" s="187"/>
      <c r="F208" s="199"/>
      <c r="G208" s="199"/>
      <c r="H208" s="199"/>
      <c r="I208" s="199"/>
      <c r="J208" s="199"/>
      <c r="K208" s="199"/>
      <c r="L208" s="199"/>
      <c r="M208" s="199"/>
      <c r="N208" s="199"/>
      <c r="O208" s="199"/>
      <c r="P208" s="199"/>
      <c r="Q208" s="199"/>
      <c r="R208" s="199"/>
      <c r="S208" s="223"/>
      <c r="T208" s="199"/>
      <c r="U208" s="199"/>
      <c r="V208" s="199"/>
      <c r="W208" s="199"/>
      <c r="X208" s="199"/>
    </row>
    <row r="209" spans="1:24">
      <c r="A209" s="187"/>
      <c r="B209" s="187"/>
      <c r="C209" s="187"/>
      <c r="D209" s="187"/>
      <c r="E209" s="187"/>
      <c r="F209" s="199"/>
      <c r="G209" s="199"/>
      <c r="H209" s="199"/>
      <c r="I209" s="199"/>
      <c r="J209" s="199"/>
      <c r="K209" s="199"/>
      <c r="L209" s="199"/>
      <c r="M209" s="199"/>
      <c r="N209" s="199"/>
      <c r="O209" s="199"/>
      <c r="P209" s="199"/>
      <c r="Q209" s="199"/>
      <c r="R209" s="199"/>
      <c r="S209" s="223"/>
      <c r="T209" s="199"/>
      <c r="U209" s="199"/>
      <c r="V209" s="199"/>
      <c r="W209" s="199"/>
      <c r="X209" s="199"/>
    </row>
    <row r="210" spans="1:24">
      <c r="A210" s="187"/>
      <c r="B210" s="187"/>
      <c r="C210" s="187"/>
      <c r="D210" s="187"/>
      <c r="E210" s="187"/>
      <c r="F210" s="199"/>
      <c r="G210" s="199"/>
      <c r="H210" s="199"/>
      <c r="I210" s="199"/>
      <c r="J210" s="199"/>
      <c r="K210" s="199"/>
      <c r="L210" s="199"/>
      <c r="M210" s="199"/>
      <c r="N210" s="199"/>
      <c r="O210" s="199"/>
      <c r="P210" s="199"/>
      <c r="Q210" s="199"/>
      <c r="R210" s="199"/>
      <c r="S210" s="223"/>
      <c r="T210" s="199"/>
      <c r="U210" s="199"/>
      <c r="V210" s="199"/>
      <c r="W210" s="199"/>
      <c r="X210" s="199"/>
    </row>
    <row r="211" spans="1:24">
      <c r="A211" s="187"/>
      <c r="B211" s="187"/>
      <c r="C211" s="187"/>
      <c r="D211" s="187"/>
      <c r="E211" s="187"/>
      <c r="F211" s="199"/>
      <c r="G211" s="199"/>
      <c r="H211" s="199"/>
      <c r="I211" s="199"/>
      <c r="J211" s="199"/>
      <c r="K211" s="199"/>
      <c r="L211" s="199"/>
      <c r="M211" s="199"/>
      <c r="N211" s="199"/>
      <c r="O211" s="199"/>
      <c r="P211" s="199"/>
      <c r="Q211" s="199"/>
      <c r="R211" s="199"/>
      <c r="S211" s="223"/>
      <c r="T211" s="199"/>
      <c r="U211" s="199"/>
      <c r="V211" s="199"/>
      <c r="W211" s="199"/>
      <c r="X211" s="199"/>
    </row>
    <row r="212" spans="1:24">
      <c r="A212" s="187"/>
      <c r="B212" s="187"/>
      <c r="C212" s="187"/>
      <c r="D212" s="187"/>
      <c r="E212" s="187"/>
      <c r="F212" s="199"/>
      <c r="G212" s="199"/>
      <c r="H212" s="199"/>
      <c r="I212" s="199"/>
      <c r="J212" s="199"/>
      <c r="K212" s="199"/>
      <c r="L212" s="199"/>
      <c r="M212" s="199"/>
      <c r="N212" s="199"/>
      <c r="O212" s="199"/>
      <c r="P212" s="199"/>
      <c r="Q212" s="199"/>
      <c r="R212" s="199"/>
      <c r="S212" s="223"/>
      <c r="T212" s="199"/>
      <c r="U212" s="199"/>
      <c r="V212" s="199"/>
      <c r="W212" s="199"/>
      <c r="X212" s="199"/>
    </row>
    <row r="213" spans="1:24">
      <c r="A213" s="187"/>
      <c r="B213" s="187"/>
      <c r="C213" s="187"/>
      <c r="D213" s="187"/>
      <c r="E213" s="187"/>
      <c r="F213" s="199"/>
      <c r="G213" s="199"/>
      <c r="H213" s="199"/>
      <c r="I213" s="199"/>
      <c r="J213" s="199"/>
      <c r="K213" s="199"/>
      <c r="L213" s="199"/>
      <c r="M213" s="199"/>
      <c r="N213" s="199"/>
      <c r="O213" s="199"/>
      <c r="P213" s="199"/>
      <c r="Q213" s="199"/>
      <c r="R213" s="199"/>
      <c r="S213" s="223"/>
      <c r="T213" s="199"/>
      <c r="U213" s="199"/>
      <c r="V213" s="199"/>
      <c r="W213" s="199"/>
      <c r="X213" s="199"/>
    </row>
    <row r="214" spans="1:24">
      <c r="A214" s="187"/>
      <c r="B214" s="187"/>
      <c r="C214" s="187"/>
      <c r="D214" s="187"/>
      <c r="E214" s="187"/>
      <c r="F214" s="199"/>
      <c r="G214" s="199"/>
      <c r="H214" s="199"/>
      <c r="I214" s="199"/>
      <c r="J214" s="199"/>
      <c r="K214" s="199"/>
      <c r="L214" s="199"/>
      <c r="M214" s="199"/>
      <c r="N214" s="199"/>
      <c r="O214" s="199"/>
      <c r="P214" s="199"/>
      <c r="Q214" s="199"/>
      <c r="R214" s="199"/>
      <c r="S214" s="223"/>
      <c r="T214" s="199"/>
      <c r="U214" s="199"/>
      <c r="V214" s="199"/>
      <c r="W214" s="199"/>
      <c r="X214" s="199"/>
    </row>
    <row r="215" spans="1:24">
      <c r="A215" s="187"/>
      <c r="B215" s="187"/>
      <c r="C215" s="187"/>
      <c r="D215" s="187"/>
      <c r="E215" s="187"/>
      <c r="F215" s="199"/>
      <c r="G215" s="199"/>
      <c r="H215" s="199"/>
      <c r="I215" s="199"/>
      <c r="J215" s="199"/>
      <c r="K215" s="199"/>
      <c r="L215" s="199"/>
      <c r="M215" s="199"/>
      <c r="N215" s="199"/>
      <c r="O215" s="199"/>
      <c r="P215" s="199"/>
      <c r="Q215" s="199"/>
      <c r="R215" s="199"/>
      <c r="S215" s="223"/>
      <c r="T215" s="199"/>
      <c r="U215" s="199"/>
      <c r="V215" s="199"/>
      <c r="W215" s="199"/>
      <c r="X215" s="199"/>
    </row>
    <row r="216" spans="1:24">
      <c r="A216" s="187"/>
      <c r="B216" s="187"/>
      <c r="C216" s="187"/>
      <c r="D216" s="187"/>
      <c r="E216" s="187"/>
      <c r="F216" s="199"/>
      <c r="G216" s="199"/>
      <c r="H216" s="199"/>
      <c r="I216" s="199"/>
      <c r="J216" s="199"/>
      <c r="K216" s="199"/>
      <c r="L216" s="199"/>
      <c r="M216" s="199"/>
      <c r="N216" s="199"/>
      <c r="O216" s="199"/>
      <c r="P216" s="199"/>
      <c r="Q216" s="199"/>
      <c r="R216" s="199"/>
      <c r="S216" s="223"/>
      <c r="T216" s="199"/>
      <c r="U216" s="199"/>
      <c r="V216" s="199"/>
      <c r="W216" s="199"/>
      <c r="X216" s="199"/>
    </row>
    <row r="217" spans="1:24">
      <c r="A217" s="187"/>
      <c r="B217" s="187"/>
      <c r="C217" s="187"/>
      <c r="D217" s="187"/>
      <c r="E217" s="187"/>
      <c r="F217" s="199"/>
      <c r="G217" s="199"/>
      <c r="H217" s="199"/>
      <c r="I217" s="199"/>
      <c r="J217" s="199"/>
      <c r="K217" s="199"/>
      <c r="L217" s="199"/>
      <c r="M217" s="199"/>
      <c r="N217" s="199"/>
      <c r="O217" s="199"/>
      <c r="P217" s="199"/>
      <c r="Q217" s="199"/>
      <c r="R217" s="199"/>
      <c r="S217" s="223"/>
      <c r="T217" s="199"/>
      <c r="U217" s="199"/>
      <c r="V217" s="199"/>
      <c r="W217" s="199"/>
      <c r="X217" s="199"/>
    </row>
    <row r="218" spans="1:24">
      <c r="A218" s="187"/>
      <c r="B218" s="187"/>
      <c r="C218" s="187"/>
      <c r="D218" s="187"/>
      <c r="E218" s="187"/>
      <c r="F218" s="199"/>
      <c r="G218" s="199"/>
      <c r="H218" s="199"/>
      <c r="I218" s="199"/>
      <c r="J218" s="199"/>
      <c r="K218" s="199"/>
      <c r="L218" s="199"/>
      <c r="M218" s="199"/>
      <c r="N218" s="199"/>
      <c r="O218" s="199"/>
      <c r="P218" s="199"/>
      <c r="Q218" s="199"/>
      <c r="R218" s="199"/>
      <c r="S218" s="223"/>
      <c r="T218" s="199"/>
      <c r="U218" s="199"/>
      <c r="V218" s="199"/>
      <c r="W218" s="199"/>
      <c r="X218" s="199"/>
    </row>
    <row r="219" spans="1:24">
      <c r="A219" s="187"/>
      <c r="B219" s="187"/>
      <c r="C219" s="187"/>
      <c r="D219" s="187"/>
      <c r="E219" s="187"/>
      <c r="F219" s="199"/>
      <c r="G219" s="199"/>
      <c r="H219" s="199"/>
      <c r="I219" s="199"/>
      <c r="J219" s="199"/>
      <c r="K219" s="199"/>
      <c r="L219" s="199"/>
      <c r="M219" s="199"/>
      <c r="N219" s="199"/>
      <c r="O219" s="199"/>
      <c r="P219" s="199"/>
      <c r="Q219" s="199"/>
      <c r="R219" s="199"/>
      <c r="S219" s="223"/>
      <c r="T219" s="199"/>
      <c r="U219" s="199"/>
      <c r="V219" s="199"/>
      <c r="W219" s="199"/>
      <c r="X219" s="199"/>
    </row>
    <row r="220" spans="1:24">
      <c r="A220" s="187"/>
      <c r="B220" s="187"/>
      <c r="C220" s="187"/>
      <c r="D220" s="187"/>
      <c r="E220" s="187"/>
      <c r="F220" s="199"/>
      <c r="G220" s="199"/>
      <c r="H220" s="199"/>
      <c r="I220" s="199"/>
      <c r="J220" s="199"/>
      <c r="K220" s="199"/>
      <c r="L220" s="199"/>
      <c r="M220" s="199"/>
      <c r="N220" s="199"/>
      <c r="O220" s="199"/>
      <c r="P220" s="199"/>
      <c r="Q220" s="199"/>
      <c r="R220" s="199"/>
      <c r="S220" s="223"/>
      <c r="T220" s="199"/>
      <c r="U220" s="199"/>
      <c r="V220" s="199"/>
      <c r="W220" s="199"/>
      <c r="X220" s="199"/>
    </row>
    <row r="221" spans="1:24">
      <c r="A221" s="187"/>
      <c r="B221" s="187"/>
      <c r="C221" s="187"/>
      <c r="D221" s="187"/>
      <c r="E221" s="187"/>
      <c r="F221" s="199"/>
      <c r="G221" s="199"/>
      <c r="H221" s="199"/>
      <c r="I221" s="199"/>
      <c r="J221" s="199"/>
      <c r="K221" s="199"/>
      <c r="L221" s="199"/>
      <c r="M221" s="199"/>
      <c r="N221" s="199"/>
      <c r="O221" s="199"/>
      <c r="P221" s="199"/>
      <c r="Q221" s="199"/>
      <c r="R221" s="199"/>
      <c r="S221" s="223"/>
      <c r="T221" s="199"/>
      <c r="U221" s="199"/>
      <c r="V221" s="199"/>
      <c r="W221" s="199"/>
      <c r="X221" s="199"/>
    </row>
    <row r="222" spans="1:24">
      <c r="A222" s="187"/>
      <c r="B222" s="187"/>
      <c r="C222" s="187"/>
      <c r="D222" s="187"/>
      <c r="E222" s="187"/>
      <c r="F222" s="199"/>
      <c r="G222" s="199"/>
      <c r="H222" s="199"/>
      <c r="I222" s="199"/>
      <c r="J222" s="199"/>
      <c r="K222" s="199"/>
      <c r="L222" s="199"/>
      <c r="M222" s="199"/>
      <c r="N222" s="199"/>
      <c r="O222" s="199"/>
      <c r="P222" s="199"/>
      <c r="Q222" s="199"/>
      <c r="R222" s="199"/>
      <c r="S222" s="223"/>
      <c r="T222" s="199"/>
      <c r="U222" s="199"/>
      <c r="V222" s="199"/>
      <c r="W222" s="199"/>
      <c r="X222" s="199"/>
    </row>
    <row r="223" spans="1:24">
      <c r="A223" s="187"/>
      <c r="B223" s="187"/>
      <c r="C223" s="187"/>
      <c r="D223" s="187"/>
      <c r="E223" s="187"/>
      <c r="F223" s="199"/>
      <c r="G223" s="199"/>
      <c r="H223" s="199"/>
      <c r="I223" s="199"/>
      <c r="J223" s="199"/>
      <c r="K223" s="199"/>
      <c r="L223" s="199"/>
      <c r="M223" s="199"/>
      <c r="N223" s="199"/>
      <c r="O223" s="199"/>
      <c r="P223" s="199"/>
      <c r="Q223" s="199"/>
      <c r="R223" s="199"/>
      <c r="S223" s="223"/>
      <c r="T223" s="199"/>
      <c r="U223" s="199"/>
      <c r="V223" s="199"/>
      <c r="W223" s="199"/>
      <c r="X223" s="199"/>
    </row>
    <row r="224" spans="1:24">
      <c r="A224" s="187"/>
      <c r="B224" s="187"/>
      <c r="C224" s="187"/>
      <c r="D224" s="187"/>
      <c r="E224" s="187"/>
      <c r="F224" s="199"/>
      <c r="G224" s="199"/>
      <c r="H224" s="199"/>
      <c r="I224" s="199"/>
      <c r="J224" s="199"/>
      <c r="K224" s="199"/>
      <c r="L224" s="199"/>
      <c r="M224" s="199"/>
      <c r="N224" s="199"/>
      <c r="O224" s="199"/>
      <c r="P224" s="199"/>
      <c r="Q224" s="199"/>
      <c r="R224" s="199"/>
      <c r="S224" s="223"/>
      <c r="T224" s="199"/>
      <c r="U224" s="199"/>
      <c r="V224" s="199"/>
      <c r="W224" s="199"/>
      <c r="X224" s="199"/>
    </row>
    <row r="225" spans="1:24">
      <c r="A225" s="187"/>
      <c r="B225" s="187"/>
      <c r="C225" s="187"/>
      <c r="D225" s="187"/>
      <c r="E225" s="187"/>
      <c r="F225" s="199"/>
      <c r="G225" s="199"/>
      <c r="H225" s="199"/>
      <c r="I225" s="199"/>
      <c r="J225" s="199"/>
      <c r="K225" s="199"/>
      <c r="L225" s="199"/>
      <c r="M225" s="199"/>
      <c r="N225" s="199"/>
      <c r="O225" s="199"/>
      <c r="P225" s="199"/>
      <c r="Q225" s="199"/>
      <c r="R225" s="199"/>
      <c r="S225" s="223"/>
      <c r="T225" s="199"/>
      <c r="U225" s="199"/>
      <c r="V225" s="199"/>
      <c r="W225" s="199"/>
      <c r="X225" s="199"/>
    </row>
    <row r="226" spans="1:24">
      <c r="A226" s="187"/>
      <c r="B226" s="187"/>
      <c r="C226" s="187"/>
      <c r="D226" s="187"/>
      <c r="E226" s="187"/>
      <c r="F226" s="199"/>
      <c r="G226" s="199"/>
      <c r="H226" s="199"/>
      <c r="I226" s="199"/>
      <c r="J226" s="199"/>
      <c r="K226" s="199"/>
      <c r="L226" s="199"/>
      <c r="M226" s="199"/>
      <c r="N226" s="199"/>
      <c r="O226" s="199"/>
      <c r="P226" s="199"/>
      <c r="Q226" s="199"/>
      <c r="R226" s="199"/>
      <c r="S226" s="223"/>
      <c r="T226" s="199"/>
      <c r="U226" s="199"/>
      <c r="V226" s="199"/>
      <c r="W226" s="199"/>
      <c r="X226" s="199"/>
    </row>
    <row r="227" spans="1:24">
      <c r="A227" s="187"/>
      <c r="B227" s="187"/>
      <c r="C227" s="187"/>
      <c r="D227" s="187"/>
      <c r="E227" s="187"/>
      <c r="F227" s="199"/>
      <c r="G227" s="199"/>
      <c r="H227" s="199"/>
      <c r="I227" s="199"/>
      <c r="J227" s="199"/>
      <c r="K227" s="199"/>
      <c r="L227" s="199"/>
      <c r="M227" s="199"/>
      <c r="N227" s="199"/>
      <c r="O227" s="199"/>
      <c r="P227" s="199"/>
      <c r="Q227" s="199"/>
      <c r="R227" s="199"/>
      <c r="S227" s="223"/>
      <c r="T227" s="199"/>
      <c r="U227" s="199"/>
      <c r="V227" s="199"/>
      <c r="W227" s="199"/>
      <c r="X227" s="199"/>
    </row>
    <row r="228" spans="1:24">
      <c r="A228" s="187"/>
      <c r="B228" s="187"/>
      <c r="C228" s="187"/>
      <c r="D228" s="187"/>
      <c r="E228" s="187"/>
      <c r="F228" s="199"/>
      <c r="G228" s="199"/>
      <c r="H228" s="199"/>
      <c r="I228" s="199"/>
      <c r="J228" s="199"/>
      <c r="K228" s="199"/>
      <c r="L228" s="199"/>
      <c r="M228" s="199"/>
      <c r="N228" s="199"/>
      <c r="O228" s="199"/>
      <c r="P228" s="199"/>
      <c r="Q228" s="199"/>
      <c r="R228" s="199"/>
      <c r="S228" s="223"/>
      <c r="T228" s="199"/>
      <c r="U228" s="199"/>
      <c r="V228" s="199"/>
      <c r="W228" s="199"/>
      <c r="X228" s="199"/>
    </row>
    <row r="229" spans="1:24">
      <c r="A229" s="187"/>
      <c r="B229" s="187"/>
      <c r="C229" s="187"/>
      <c r="D229" s="187"/>
      <c r="E229" s="187"/>
      <c r="F229" s="199"/>
      <c r="G229" s="199"/>
      <c r="H229" s="199"/>
      <c r="I229" s="199"/>
      <c r="J229" s="199"/>
      <c r="K229" s="199"/>
      <c r="L229" s="199"/>
      <c r="M229" s="199"/>
      <c r="N229" s="199"/>
      <c r="O229" s="199"/>
      <c r="P229" s="199"/>
      <c r="Q229" s="199"/>
      <c r="R229" s="199"/>
      <c r="S229" s="223"/>
      <c r="T229" s="199"/>
      <c r="U229" s="199"/>
      <c r="V229" s="199"/>
      <c r="W229" s="199"/>
      <c r="X229" s="199"/>
    </row>
    <row r="230" spans="1:24">
      <c r="A230" s="187"/>
      <c r="B230" s="187"/>
      <c r="C230" s="187"/>
      <c r="D230" s="187"/>
      <c r="E230" s="187"/>
      <c r="F230" s="199"/>
      <c r="G230" s="199"/>
      <c r="H230" s="199"/>
      <c r="I230" s="199"/>
      <c r="J230" s="199"/>
      <c r="K230" s="199"/>
      <c r="L230" s="199"/>
      <c r="M230" s="199"/>
      <c r="N230" s="199"/>
      <c r="O230" s="199"/>
      <c r="P230" s="199"/>
      <c r="Q230" s="199"/>
      <c r="R230" s="199"/>
      <c r="S230" s="223"/>
      <c r="T230" s="199"/>
      <c r="U230" s="199"/>
      <c r="V230" s="199"/>
      <c r="W230" s="199"/>
      <c r="X230" s="199"/>
    </row>
    <row r="231" spans="1:24">
      <c r="A231" s="187"/>
      <c r="B231" s="187"/>
      <c r="C231" s="187"/>
      <c r="D231" s="187"/>
      <c r="E231" s="187"/>
      <c r="F231" s="199"/>
      <c r="G231" s="199"/>
      <c r="H231" s="199"/>
      <c r="I231" s="199"/>
      <c r="J231" s="199"/>
      <c r="K231" s="199"/>
      <c r="L231" s="199"/>
      <c r="M231" s="199"/>
      <c r="N231" s="199"/>
      <c r="O231" s="199"/>
      <c r="P231" s="199"/>
      <c r="Q231" s="199"/>
      <c r="R231" s="199"/>
      <c r="S231" s="223"/>
      <c r="T231" s="199"/>
      <c r="U231" s="199"/>
      <c r="V231" s="199"/>
      <c r="W231" s="199"/>
      <c r="X231" s="199"/>
    </row>
    <row r="232" spans="1:24">
      <c r="A232" s="187"/>
      <c r="B232" s="187"/>
      <c r="C232" s="187"/>
      <c r="D232" s="187"/>
      <c r="E232" s="187"/>
      <c r="F232" s="199"/>
      <c r="G232" s="199"/>
      <c r="H232" s="199"/>
      <c r="I232" s="199"/>
      <c r="J232" s="199"/>
      <c r="K232" s="199"/>
      <c r="L232" s="199"/>
      <c r="M232" s="199"/>
      <c r="N232" s="199"/>
      <c r="O232" s="199"/>
      <c r="P232" s="199"/>
      <c r="Q232" s="199"/>
      <c r="R232" s="199"/>
      <c r="S232" s="223"/>
      <c r="T232" s="199"/>
      <c r="U232" s="199"/>
      <c r="V232" s="199"/>
      <c r="W232" s="199"/>
      <c r="X232" s="199"/>
    </row>
    <row r="233" spans="1:24">
      <c r="A233" s="187"/>
      <c r="B233" s="187"/>
      <c r="C233" s="187"/>
      <c r="D233" s="187"/>
      <c r="E233" s="187"/>
      <c r="F233" s="199"/>
      <c r="G233" s="199"/>
      <c r="H233" s="199"/>
      <c r="I233" s="199"/>
      <c r="J233" s="199"/>
      <c r="K233" s="199"/>
      <c r="L233" s="199"/>
      <c r="M233" s="199"/>
      <c r="N233" s="199"/>
      <c r="O233" s="199"/>
      <c r="P233" s="199"/>
      <c r="Q233" s="199"/>
      <c r="R233" s="199"/>
      <c r="S233" s="223"/>
      <c r="T233" s="199"/>
      <c r="U233" s="199"/>
      <c r="V233" s="199"/>
      <c r="W233" s="199"/>
      <c r="X233" s="199"/>
    </row>
    <row r="234" spans="1:24">
      <c r="A234" s="187"/>
      <c r="B234" s="187"/>
      <c r="C234" s="187"/>
      <c r="D234" s="187"/>
      <c r="E234" s="187"/>
      <c r="F234" s="199"/>
      <c r="G234" s="199"/>
      <c r="H234" s="199"/>
      <c r="I234" s="199"/>
      <c r="J234" s="199"/>
      <c r="K234" s="199"/>
      <c r="L234" s="199"/>
      <c r="M234" s="199"/>
      <c r="N234" s="199"/>
      <c r="O234" s="199"/>
      <c r="P234" s="199"/>
      <c r="Q234" s="199"/>
      <c r="R234" s="199"/>
      <c r="S234" s="223"/>
      <c r="T234" s="199"/>
      <c r="U234" s="199"/>
      <c r="V234" s="199"/>
      <c r="W234" s="199"/>
      <c r="X234" s="199"/>
    </row>
    <row r="235" spans="1:24">
      <c r="A235" s="187"/>
      <c r="B235" s="187"/>
      <c r="C235" s="187"/>
      <c r="D235" s="187"/>
      <c r="E235" s="187"/>
      <c r="F235" s="199"/>
      <c r="G235" s="199"/>
      <c r="H235" s="199"/>
      <c r="I235" s="199"/>
      <c r="J235" s="199"/>
      <c r="K235" s="199"/>
      <c r="L235" s="199"/>
      <c r="M235" s="199"/>
      <c r="N235" s="199"/>
      <c r="O235" s="199"/>
      <c r="P235" s="199"/>
      <c r="Q235" s="199"/>
      <c r="R235" s="199"/>
      <c r="S235" s="223"/>
      <c r="T235" s="199"/>
      <c r="U235" s="199"/>
      <c r="V235" s="199"/>
      <c r="W235" s="199"/>
      <c r="X235" s="199"/>
    </row>
    <row r="236" spans="1:24">
      <c r="A236" s="187"/>
      <c r="B236" s="187"/>
      <c r="C236" s="187"/>
      <c r="D236" s="187"/>
      <c r="E236" s="187"/>
      <c r="F236" s="199"/>
      <c r="G236" s="199"/>
      <c r="H236" s="199"/>
      <c r="I236" s="199"/>
      <c r="J236" s="199"/>
      <c r="K236" s="199"/>
      <c r="L236" s="199"/>
      <c r="M236" s="199"/>
      <c r="N236" s="199"/>
      <c r="O236" s="199"/>
      <c r="P236" s="199"/>
      <c r="Q236" s="199"/>
      <c r="R236" s="199"/>
      <c r="S236" s="223"/>
      <c r="T236" s="199"/>
      <c r="U236" s="199"/>
      <c r="V236" s="199"/>
      <c r="W236" s="199"/>
      <c r="X236" s="199"/>
    </row>
    <row r="237" spans="1:24">
      <c r="A237" s="187"/>
      <c r="B237" s="187"/>
      <c r="C237" s="187"/>
      <c r="D237" s="187"/>
      <c r="E237" s="187"/>
      <c r="F237" s="199"/>
      <c r="G237" s="199"/>
      <c r="H237" s="199"/>
      <c r="I237" s="199"/>
      <c r="J237" s="199"/>
      <c r="K237" s="199"/>
      <c r="L237" s="199"/>
      <c r="M237" s="199"/>
      <c r="N237" s="199"/>
      <c r="O237" s="199"/>
      <c r="P237" s="199"/>
      <c r="Q237" s="199"/>
      <c r="R237" s="199"/>
      <c r="S237" s="223"/>
      <c r="T237" s="199"/>
      <c r="U237" s="199"/>
      <c r="V237" s="199"/>
      <c r="W237" s="199"/>
      <c r="X237" s="199"/>
    </row>
    <row r="238" spans="1:24">
      <c r="A238" s="187"/>
      <c r="B238" s="187"/>
      <c r="C238" s="187"/>
      <c r="D238" s="187"/>
      <c r="E238" s="187"/>
      <c r="F238" s="199"/>
      <c r="G238" s="199"/>
      <c r="H238" s="199"/>
      <c r="I238" s="199"/>
      <c r="J238" s="199"/>
      <c r="K238" s="199"/>
      <c r="L238" s="199"/>
      <c r="M238" s="199"/>
      <c r="N238" s="199"/>
      <c r="O238" s="199"/>
      <c r="P238" s="199"/>
      <c r="Q238" s="199"/>
      <c r="R238" s="199"/>
      <c r="S238" s="223"/>
      <c r="T238" s="199"/>
      <c r="U238" s="199"/>
      <c r="V238" s="199"/>
      <c r="W238" s="199"/>
      <c r="X238" s="199"/>
    </row>
    <row r="239" spans="1:24">
      <c r="A239" s="187"/>
      <c r="B239" s="187"/>
      <c r="C239" s="187"/>
      <c r="D239" s="187"/>
      <c r="E239" s="187"/>
      <c r="F239" s="199"/>
      <c r="G239" s="199"/>
      <c r="H239" s="199"/>
      <c r="I239" s="199"/>
      <c r="J239" s="199"/>
      <c r="K239" s="199"/>
      <c r="L239" s="199"/>
      <c r="M239" s="199"/>
      <c r="N239" s="199"/>
      <c r="O239" s="199"/>
      <c r="P239" s="199"/>
      <c r="Q239" s="199"/>
      <c r="R239" s="199"/>
      <c r="S239" s="223"/>
      <c r="T239" s="199"/>
      <c r="U239" s="199"/>
      <c r="V239" s="199"/>
      <c r="W239" s="199"/>
      <c r="X239" s="199"/>
    </row>
    <row r="240" spans="1:24">
      <c r="A240" s="187"/>
      <c r="B240" s="187"/>
      <c r="C240" s="187"/>
      <c r="D240" s="187"/>
      <c r="E240" s="187"/>
      <c r="F240" s="199"/>
      <c r="G240" s="199"/>
      <c r="H240" s="199"/>
      <c r="I240" s="199"/>
      <c r="J240" s="199"/>
      <c r="K240" s="199"/>
      <c r="L240" s="199"/>
      <c r="M240" s="199"/>
      <c r="N240" s="199"/>
      <c r="O240" s="199"/>
      <c r="P240" s="199"/>
      <c r="Q240" s="199"/>
      <c r="R240" s="199"/>
      <c r="S240" s="223"/>
      <c r="T240" s="199"/>
      <c r="U240" s="199"/>
      <c r="V240" s="199"/>
      <c r="W240" s="199"/>
      <c r="X240" s="199"/>
    </row>
    <row r="241" spans="1:24">
      <c r="A241" s="187"/>
      <c r="B241" s="187"/>
      <c r="C241" s="187"/>
      <c r="D241" s="187"/>
      <c r="E241" s="187"/>
      <c r="F241" s="199"/>
      <c r="G241" s="199"/>
      <c r="H241" s="199"/>
      <c r="I241" s="199"/>
      <c r="J241" s="199"/>
      <c r="K241" s="199"/>
      <c r="L241" s="199"/>
      <c r="M241" s="199"/>
      <c r="N241" s="199"/>
      <c r="O241" s="199"/>
      <c r="P241" s="199"/>
      <c r="Q241" s="199"/>
      <c r="R241" s="199"/>
      <c r="S241" s="223"/>
      <c r="T241" s="199"/>
      <c r="U241" s="199"/>
      <c r="V241" s="199"/>
      <c r="W241" s="199"/>
      <c r="X241" s="199"/>
    </row>
    <row r="242" spans="1:24">
      <c r="A242" s="187"/>
      <c r="B242" s="187"/>
      <c r="C242" s="187"/>
      <c r="D242" s="187"/>
      <c r="E242" s="187"/>
      <c r="F242" s="199"/>
      <c r="G242" s="199"/>
      <c r="H242" s="199"/>
      <c r="I242" s="199"/>
      <c r="J242" s="199"/>
      <c r="K242" s="199"/>
      <c r="L242" s="199"/>
      <c r="M242" s="199"/>
      <c r="N242" s="199"/>
      <c r="O242" s="199"/>
      <c r="P242" s="199"/>
      <c r="Q242" s="199"/>
      <c r="R242" s="199"/>
      <c r="S242" s="223"/>
      <c r="T242" s="199"/>
      <c r="U242" s="199"/>
      <c r="V242" s="199"/>
      <c r="W242" s="199"/>
      <c r="X242" s="199"/>
    </row>
    <row r="243" spans="1:24">
      <c r="A243" s="187"/>
      <c r="B243" s="187"/>
      <c r="C243" s="187"/>
      <c r="D243" s="187"/>
      <c r="E243" s="187"/>
      <c r="F243" s="199"/>
      <c r="G243" s="199"/>
      <c r="H243" s="199"/>
      <c r="I243" s="199"/>
      <c r="J243" s="199"/>
      <c r="K243" s="199"/>
      <c r="L243" s="199"/>
      <c r="M243" s="199"/>
      <c r="N243" s="199"/>
      <c r="O243" s="199"/>
      <c r="P243" s="199"/>
      <c r="Q243" s="199"/>
      <c r="R243" s="199"/>
      <c r="S243" s="223"/>
      <c r="T243" s="199"/>
      <c r="U243" s="199"/>
      <c r="V243" s="199"/>
      <c r="W243" s="199"/>
      <c r="X243" s="199"/>
    </row>
    <row r="244" spans="1:24">
      <c r="A244" s="187"/>
      <c r="B244" s="187"/>
      <c r="C244" s="187"/>
      <c r="D244" s="187"/>
      <c r="E244" s="187"/>
      <c r="F244" s="199"/>
      <c r="G244" s="199"/>
      <c r="H244" s="199"/>
      <c r="I244" s="199"/>
      <c r="J244" s="199"/>
      <c r="K244" s="199"/>
      <c r="L244" s="199"/>
      <c r="M244" s="199"/>
      <c r="N244" s="199"/>
      <c r="O244" s="199"/>
      <c r="P244" s="199"/>
      <c r="Q244" s="199"/>
      <c r="R244" s="199"/>
      <c r="S244" s="223"/>
      <c r="T244" s="199"/>
      <c r="U244" s="199"/>
      <c r="V244" s="199"/>
      <c r="W244" s="199"/>
      <c r="X244" s="199"/>
    </row>
    <row r="245" spans="1:24">
      <c r="A245" s="187"/>
      <c r="B245" s="187"/>
      <c r="C245" s="187"/>
      <c r="D245" s="187"/>
      <c r="E245" s="187"/>
      <c r="F245" s="199"/>
      <c r="G245" s="199"/>
      <c r="H245" s="199"/>
      <c r="I245" s="199"/>
      <c r="J245" s="199"/>
      <c r="K245" s="199"/>
      <c r="L245" s="199"/>
      <c r="M245" s="199"/>
      <c r="N245" s="199"/>
      <c r="O245" s="199"/>
      <c r="P245" s="199"/>
      <c r="Q245" s="199"/>
      <c r="R245" s="199"/>
      <c r="S245" s="223"/>
      <c r="T245" s="199"/>
      <c r="U245" s="199"/>
      <c r="V245" s="199"/>
      <c r="W245" s="199"/>
      <c r="X245" s="199"/>
    </row>
    <row r="246" spans="1:24">
      <c r="A246" s="187"/>
      <c r="B246" s="187"/>
      <c r="C246" s="187"/>
      <c r="D246" s="187"/>
      <c r="E246" s="187"/>
      <c r="F246" s="199"/>
      <c r="G246" s="199"/>
      <c r="H246" s="199"/>
      <c r="I246" s="199"/>
      <c r="J246" s="199"/>
      <c r="K246" s="199"/>
      <c r="L246" s="199"/>
      <c r="M246" s="199"/>
      <c r="N246" s="199"/>
      <c r="O246" s="199"/>
      <c r="P246" s="199"/>
      <c r="Q246" s="199"/>
      <c r="R246" s="199"/>
      <c r="S246" s="223"/>
      <c r="T246" s="199"/>
      <c r="U246" s="199"/>
      <c r="V246" s="199"/>
      <c r="W246" s="199"/>
      <c r="X246" s="199"/>
    </row>
    <row r="247" spans="1:24">
      <c r="A247" s="187"/>
      <c r="B247" s="187"/>
      <c r="C247" s="187"/>
      <c r="D247" s="187"/>
      <c r="E247" s="187"/>
      <c r="F247" s="199"/>
      <c r="G247" s="199"/>
      <c r="H247" s="199"/>
      <c r="I247" s="199"/>
      <c r="J247" s="199"/>
      <c r="K247" s="199"/>
      <c r="L247" s="199"/>
      <c r="M247" s="199"/>
      <c r="N247" s="199"/>
      <c r="O247" s="199"/>
      <c r="P247" s="199"/>
      <c r="Q247" s="199"/>
      <c r="R247" s="199"/>
      <c r="S247" s="223"/>
      <c r="T247" s="199"/>
      <c r="U247" s="199"/>
      <c r="V247" s="199"/>
      <c r="W247" s="199"/>
      <c r="X247" s="199"/>
    </row>
    <row r="248" spans="1:24">
      <c r="A248" s="187"/>
      <c r="B248" s="187"/>
      <c r="C248" s="187"/>
      <c r="D248" s="187"/>
      <c r="E248" s="187"/>
      <c r="F248" s="199"/>
      <c r="G248" s="199"/>
      <c r="H248" s="199"/>
      <c r="I248" s="199"/>
      <c r="J248" s="199"/>
      <c r="K248" s="199"/>
      <c r="L248" s="199"/>
      <c r="M248" s="199"/>
      <c r="N248" s="199"/>
      <c r="O248" s="199"/>
      <c r="P248" s="199"/>
      <c r="Q248" s="199"/>
      <c r="R248" s="199"/>
      <c r="S248" s="223"/>
      <c r="T248" s="199"/>
      <c r="U248" s="199"/>
      <c r="V248" s="199"/>
      <c r="W248" s="199"/>
      <c r="X248" s="199"/>
    </row>
    <row r="249" spans="1:24">
      <c r="A249" s="187"/>
      <c r="B249" s="187"/>
      <c r="C249" s="187"/>
      <c r="D249" s="187"/>
      <c r="E249" s="187"/>
      <c r="F249" s="199"/>
      <c r="G249" s="199"/>
      <c r="H249" s="199"/>
      <c r="I249" s="199"/>
      <c r="J249" s="199"/>
      <c r="K249" s="199"/>
      <c r="L249" s="199"/>
      <c r="M249" s="199"/>
      <c r="N249" s="199"/>
      <c r="O249" s="199"/>
      <c r="P249" s="199"/>
      <c r="Q249" s="199"/>
      <c r="R249" s="199"/>
      <c r="S249" s="223"/>
      <c r="T249" s="199"/>
      <c r="U249" s="199"/>
      <c r="V249" s="199"/>
      <c r="W249" s="199"/>
      <c r="X249" s="199"/>
    </row>
    <row r="250" spans="1:24">
      <c r="A250" s="187"/>
      <c r="B250" s="187"/>
      <c r="C250" s="187"/>
      <c r="D250" s="187"/>
      <c r="E250" s="187"/>
      <c r="F250" s="199"/>
      <c r="G250" s="199"/>
      <c r="H250" s="199"/>
      <c r="I250" s="199"/>
      <c r="J250" s="199"/>
      <c r="K250" s="199"/>
      <c r="L250" s="199"/>
      <c r="M250" s="199"/>
      <c r="N250" s="199"/>
      <c r="O250" s="199"/>
      <c r="P250" s="199"/>
      <c r="Q250" s="199"/>
      <c r="R250" s="199"/>
      <c r="S250" s="223"/>
      <c r="T250" s="199"/>
      <c r="U250" s="199"/>
      <c r="V250" s="199"/>
      <c r="W250" s="199"/>
      <c r="X250" s="199"/>
    </row>
    <row r="251" spans="1:24">
      <c r="A251" s="187"/>
      <c r="B251" s="187"/>
      <c r="C251" s="187"/>
      <c r="D251" s="187"/>
      <c r="E251" s="187"/>
      <c r="F251" s="199"/>
      <c r="G251" s="199"/>
      <c r="H251" s="199"/>
      <c r="I251" s="199"/>
      <c r="J251" s="199"/>
      <c r="K251" s="199"/>
      <c r="L251" s="199"/>
      <c r="M251" s="199"/>
      <c r="N251" s="199"/>
      <c r="O251" s="199"/>
      <c r="P251" s="199"/>
      <c r="Q251" s="199"/>
      <c r="R251" s="199"/>
      <c r="S251" s="223"/>
      <c r="T251" s="199"/>
      <c r="U251" s="199"/>
      <c r="V251" s="199"/>
      <c r="W251" s="199"/>
      <c r="X251" s="199"/>
    </row>
    <row r="252" spans="1:24">
      <c r="A252" s="187"/>
      <c r="B252" s="187"/>
      <c r="C252" s="187"/>
      <c r="D252" s="187"/>
      <c r="E252" s="187"/>
      <c r="F252" s="199"/>
      <c r="G252" s="199"/>
      <c r="H252" s="199"/>
      <c r="I252" s="199"/>
      <c r="J252" s="199"/>
      <c r="K252" s="199"/>
      <c r="L252" s="199"/>
      <c r="M252" s="199"/>
      <c r="N252" s="199"/>
      <c r="O252" s="199"/>
      <c r="P252" s="199"/>
      <c r="Q252" s="199"/>
      <c r="R252" s="199"/>
      <c r="S252" s="223"/>
      <c r="T252" s="199"/>
      <c r="U252" s="199"/>
      <c r="V252" s="199"/>
      <c r="W252" s="199"/>
      <c r="X252" s="199"/>
    </row>
    <row r="253" spans="1:24">
      <c r="A253" s="187"/>
      <c r="B253" s="187"/>
      <c r="C253" s="187"/>
      <c r="D253" s="187"/>
      <c r="E253" s="187"/>
      <c r="F253" s="199"/>
      <c r="G253" s="199"/>
      <c r="H253" s="199"/>
      <c r="I253" s="199"/>
      <c r="J253" s="199"/>
      <c r="K253" s="199"/>
      <c r="L253" s="199"/>
      <c r="M253" s="199"/>
      <c r="N253" s="199"/>
      <c r="O253" s="199"/>
      <c r="P253" s="199"/>
      <c r="Q253" s="199"/>
      <c r="R253" s="199"/>
      <c r="S253" s="223"/>
      <c r="T253" s="199"/>
      <c r="U253" s="199"/>
      <c r="V253" s="199"/>
      <c r="W253" s="199"/>
      <c r="X253" s="199"/>
    </row>
    <row r="254" spans="1:24">
      <c r="A254" s="187"/>
      <c r="B254" s="187"/>
      <c r="C254" s="187"/>
      <c r="D254" s="187"/>
      <c r="E254" s="187"/>
      <c r="F254" s="199"/>
      <c r="G254" s="199"/>
      <c r="H254" s="199"/>
      <c r="I254" s="199"/>
      <c r="J254" s="199"/>
      <c r="K254" s="199"/>
      <c r="L254" s="199"/>
      <c r="M254" s="199"/>
      <c r="N254" s="199"/>
      <c r="O254" s="199"/>
      <c r="P254" s="199"/>
      <c r="Q254" s="199"/>
      <c r="R254" s="199"/>
      <c r="S254" s="223"/>
      <c r="T254" s="199"/>
      <c r="U254" s="199"/>
      <c r="V254" s="199"/>
      <c r="W254" s="199"/>
      <c r="X254" s="199"/>
    </row>
    <row r="255" spans="1:24">
      <c r="A255" s="187"/>
      <c r="B255" s="187"/>
      <c r="C255" s="187"/>
      <c r="D255" s="187"/>
      <c r="E255" s="187"/>
      <c r="F255" s="199"/>
      <c r="G255" s="199"/>
      <c r="H255" s="199"/>
      <c r="I255" s="199"/>
      <c r="J255" s="199"/>
      <c r="K255" s="199"/>
      <c r="L255" s="199"/>
      <c r="M255" s="199"/>
      <c r="N255" s="199"/>
      <c r="O255" s="199"/>
      <c r="P255" s="199"/>
      <c r="Q255" s="199"/>
      <c r="R255" s="199"/>
      <c r="S255" s="223"/>
      <c r="T255" s="199"/>
      <c r="U255" s="199"/>
      <c r="V255" s="199"/>
      <c r="W255" s="199"/>
      <c r="X255" s="199"/>
    </row>
    <row r="256" spans="1:24">
      <c r="A256" s="187"/>
      <c r="B256" s="187"/>
      <c r="C256" s="187"/>
      <c r="D256" s="187"/>
      <c r="E256" s="187"/>
      <c r="F256" s="199"/>
      <c r="G256" s="199"/>
      <c r="H256" s="199"/>
      <c r="I256" s="199"/>
      <c r="J256" s="199"/>
      <c r="K256" s="199"/>
      <c r="L256" s="199"/>
      <c r="M256" s="199"/>
      <c r="N256" s="199"/>
      <c r="O256" s="199"/>
      <c r="P256" s="199"/>
      <c r="Q256" s="199"/>
      <c r="R256" s="199"/>
      <c r="S256" s="223"/>
      <c r="T256" s="199"/>
      <c r="U256" s="199"/>
      <c r="V256" s="199"/>
      <c r="W256" s="199"/>
      <c r="X256" s="199"/>
    </row>
    <row r="257" spans="1:24">
      <c r="A257" s="187"/>
      <c r="B257" s="187"/>
      <c r="C257" s="187"/>
      <c r="D257" s="187"/>
      <c r="E257" s="187"/>
      <c r="F257" s="199"/>
      <c r="G257" s="199"/>
      <c r="H257" s="199"/>
      <c r="I257" s="199"/>
      <c r="J257" s="199"/>
      <c r="K257" s="199"/>
      <c r="L257" s="199"/>
      <c r="M257" s="199"/>
      <c r="N257" s="199"/>
      <c r="O257" s="199"/>
      <c r="P257" s="199"/>
      <c r="Q257" s="199"/>
      <c r="R257" s="199"/>
      <c r="S257" s="223"/>
      <c r="T257" s="199"/>
      <c r="U257" s="199"/>
      <c r="V257" s="199"/>
      <c r="W257" s="199"/>
      <c r="X257" s="199"/>
    </row>
    <row r="258" spans="1:24">
      <c r="A258" s="187"/>
      <c r="B258" s="187"/>
      <c r="C258" s="187"/>
      <c r="D258" s="187"/>
      <c r="E258" s="187"/>
      <c r="F258" s="199"/>
      <c r="G258" s="199"/>
      <c r="H258" s="199"/>
      <c r="I258" s="199"/>
      <c r="J258" s="199"/>
      <c r="K258" s="199"/>
      <c r="L258" s="199"/>
      <c r="M258" s="199"/>
      <c r="N258" s="199"/>
      <c r="O258" s="199"/>
      <c r="P258" s="199"/>
      <c r="Q258" s="199"/>
      <c r="R258" s="199"/>
      <c r="S258" s="223"/>
      <c r="T258" s="199"/>
      <c r="U258" s="199"/>
      <c r="V258" s="199"/>
      <c r="W258" s="199"/>
      <c r="X258" s="199"/>
    </row>
    <row r="259" spans="1:24">
      <c r="A259" s="187"/>
      <c r="B259" s="187"/>
      <c r="C259" s="187"/>
      <c r="D259" s="187"/>
      <c r="E259" s="187"/>
      <c r="F259" s="199"/>
      <c r="G259" s="199"/>
      <c r="H259" s="199"/>
      <c r="I259" s="199"/>
      <c r="J259" s="199"/>
      <c r="K259" s="199"/>
      <c r="L259" s="199"/>
      <c r="M259" s="199"/>
      <c r="N259" s="199"/>
      <c r="O259" s="199"/>
      <c r="P259" s="199"/>
      <c r="Q259" s="199"/>
      <c r="R259" s="199"/>
      <c r="S259" s="223"/>
      <c r="T259" s="199"/>
      <c r="U259" s="199"/>
      <c r="V259" s="199"/>
      <c r="W259" s="199"/>
      <c r="X259" s="199"/>
    </row>
    <row r="260" spans="1:24">
      <c r="A260" s="187"/>
      <c r="B260" s="187"/>
      <c r="C260" s="187"/>
      <c r="D260" s="187"/>
      <c r="E260" s="187"/>
      <c r="F260" s="199"/>
      <c r="G260" s="199"/>
      <c r="H260" s="199"/>
      <c r="I260" s="199"/>
      <c r="J260" s="199"/>
      <c r="K260" s="199"/>
      <c r="L260" s="199"/>
      <c r="M260" s="199"/>
      <c r="N260" s="199"/>
      <c r="O260" s="199"/>
      <c r="P260" s="199"/>
      <c r="Q260" s="199"/>
      <c r="R260" s="199"/>
      <c r="S260" s="223"/>
      <c r="T260" s="199"/>
      <c r="U260" s="199"/>
      <c r="V260" s="199"/>
      <c r="W260" s="199"/>
      <c r="X260" s="199"/>
    </row>
    <row r="261" spans="1:24">
      <c r="A261" s="187"/>
      <c r="B261" s="187"/>
      <c r="C261" s="187"/>
      <c r="D261" s="187"/>
      <c r="E261" s="187"/>
      <c r="F261" s="199"/>
      <c r="G261" s="199"/>
      <c r="H261" s="199"/>
      <c r="I261" s="199"/>
      <c r="J261" s="199"/>
      <c r="K261" s="199"/>
      <c r="L261" s="199"/>
      <c r="M261" s="199"/>
      <c r="N261" s="199"/>
      <c r="O261" s="199"/>
      <c r="P261" s="199"/>
      <c r="Q261" s="199"/>
      <c r="R261" s="199"/>
      <c r="S261" s="223"/>
      <c r="T261" s="199"/>
      <c r="U261" s="199"/>
      <c r="V261" s="199"/>
      <c r="W261" s="199"/>
      <c r="X261" s="199"/>
    </row>
    <row r="262" spans="1:24">
      <c r="A262" s="187"/>
      <c r="B262" s="187"/>
      <c r="C262" s="187"/>
      <c r="D262" s="187"/>
      <c r="E262" s="187"/>
      <c r="F262" s="199"/>
      <c r="G262" s="199"/>
      <c r="H262" s="199"/>
      <c r="I262" s="199"/>
      <c r="J262" s="199"/>
      <c r="K262" s="199"/>
      <c r="L262" s="199"/>
      <c r="M262" s="199"/>
      <c r="N262" s="199"/>
      <c r="O262" s="199"/>
      <c r="P262" s="199"/>
      <c r="Q262" s="199"/>
      <c r="R262" s="199"/>
      <c r="S262" s="223"/>
      <c r="T262" s="199"/>
      <c r="U262" s="199"/>
      <c r="V262" s="199"/>
      <c r="W262" s="199"/>
      <c r="X262" s="199"/>
    </row>
    <row r="263" spans="1:24">
      <c r="A263" s="187"/>
      <c r="B263" s="187"/>
      <c r="C263" s="187"/>
      <c r="D263" s="187"/>
      <c r="E263" s="187"/>
      <c r="F263" s="199"/>
      <c r="G263" s="199"/>
      <c r="H263" s="199"/>
      <c r="I263" s="199"/>
      <c r="J263" s="199"/>
      <c r="K263" s="199"/>
      <c r="L263" s="199"/>
      <c r="M263" s="199"/>
      <c r="N263" s="199"/>
      <c r="O263" s="199"/>
      <c r="P263" s="199"/>
      <c r="Q263" s="199"/>
      <c r="R263" s="199"/>
      <c r="S263" s="223"/>
      <c r="T263" s="199"/>
      <c r="U263" s="199"/>
      <c r="V263" s="199"/>
      <c r="W263" s="199"/>
      <c r="X263" s="199"/>
    </row>
    <row r="264" spans="1:24">
      <c r="A264" s="187"/>
      <c r="B264" s="187"/>
      <c r="C264" s="187"/>
      <c r="D264" s="187"/>
      <c r="E264" s="187"/>
      <c r="F264" s="199"/>
      <c r="G264" s="199"/>
      <c r="H264" s="199"/>
      <c r="I264" s="199"/>
      <c r="J264" s="199"/>
      <c r="K264" s="199"/>
      <c r="L264" s="199"/>
      <c r="M264" s="199"/>
      <c r="N264" s="199"/>
      <c r="O264" s="199"/>
      <c r="P264" s="199"/>
      <c r="Q264" s="199"/>
      <c r="R264" s="199"/>
      <c r="S264" s="223"/>
      <c r="T264" s="199"/>
      <c r="U264" s="199"/>
      <c r="V264" s="199"/>
      <c r="W264" s="199"/>
      <c r="X264" s="199"/>
    </row>
    <row r="265" spans="1:24">
      <c r="A265" s="187"/>
      <c r="B265" s="187"/>
      <c r="C265" s="187"/>
      <c r="D265" s="187"/>
      <c r="E265" s="187"/>
      <c r="F265" s="199"/>
      <c r="G265" s="199"/>
      <c r="H265" s="199"/>
      <c r="I265" s="199"/>
      <c r="J265" s="199"/>
      <c r="K265" s="199"/>
      <c r="L265" s="199"/>
      <c r="M265" s="199"/>
      <c r="N265" s="199"/>
      <c r="O265" s="199"/>
      <c r="P265" s="199"/>
      <c r="Q265" s="199"/>
      <c r="R265" s="199"/>
      <c r="S265" s="223"/>
      <c r="T265" s="199"/>
      <c r="U265" s="199"/>
      <c r="V265" s="199"/>
      <c r="W265" s="199"/>
      <c r="X265" s="199"/>
    </row>
    <row r="266" spans="1:24">
      <c r="A266" s="187"/>
      <c r="B266" s="187"/>
      <c r="C266" s="187"/>
      <c r="D266" s="187"/>
      <c r="E266" s="187"/>
      <c r="F266" s="199"/>
      <c r="G266" s="199"/>
      <c r="H266" s="199"/>
      <c r="I266" s="199"/>
      <c r="J266" s="199"/>
      <c r="K266" s="199"/>
      <c r="L266" s="199"/>
      <c r="M266" s="199"/>
      <c r="N266" s="199"/>
      <c r="O266" s="199"/>
      <c r="P266" s="199"/>
      <c r="Q266" s="199"/>
      <c r="R266" s="199"/>
      <c r="S266" s="223"/>
      <c r="T266" s="199"/>
      <c r="U266" s="199"/>
      <c r="V266" s="199"/>
      <c r="W266" s="199"/>
      <c r="X266" s="199"/>
    </row>
    <row r="267" spans="1:24">
      <c r="A267" s="187"/>
      <c r="B267" s="187"/>
      <c r="C267" s="187"/>
      <c r="D267" s="187"/>
      <c r="E267" s="187"/>
      <c r="F267" s="199"/>
      <c r="G267" s="199"/>
      <c r="H267" s="199"/>
      <c r="I267" s="199"/>
      <c r="J267" s="199"/>
      <c r="K267" s="199"/>
      <c r="L267" s="199"/>
      <c r="M267" s="199"/>
      <c r="N267" s="199"/>
      <c r="O267" s="199"/>
      <c r="P267" s="199"/>
      <c r="Q267" s="199"/>
      <c r="R267" s="199"/>
      <c r="S267" s="223"/>
      <c r="T267" s="199"/>
      <c r="U267" s="199"/>
      <c r="V267" s="199"/>
      <c r="W267" s="199"/>
      <c r="X267" s="199"/>
    </row>
    <row r="268" spans="1:24">
      <c r="A268" s="187"/>
      <c r="B268" s="187"/>
      <c r="C268" s="187"/>
      <c r="D268" s="187"/>
      <c r="E268" s="187"/>
      <c r="F268" s="199"/>
      <c r="G268" s="199"/>
      <c r="H268" s="199"/>
      <c r="I268" s="199"/>
      <c r="J268" s="199"/>
      <c r="K268" s="199"/>
      <c r="L268" s="199"/>
      <c r="M268" s="199"/>
      <c r="N268" s="199"/>
      <c r="O268" s="199"/>
      <c r="P268" s="199"/>
      <c r="Q268" s="199"/>
      <c r="R268" s="199"/>
      <c r="S268" s="223"/>
      <c r="T268" s="199"/>
      <c r="U268" s="199"/>
      <c r="V268" s="199"/>
      <c r="W268" s="199"/>
      <c r="X268" s="199"/>
    </row>
    <row r="269" spans="1:24">
      <c r="A269" s="187"/>
      <c r="B269" s="187"/>
      <c r="C269" s="187"/>
      <c r="D269" s="187"/>
      <c r="E269" s="187"/>
      <c r="F269" s="199"/>
      <c r="G269" s="199"/>
      <c r="H269" s="199"/>
      <c r="I269" s="199"/>
      <c r="J269" s="199"/>
      <c r="K269" s="199"/>
      <c r="L269" s="199"/>
      <c r="M269" s="199"/>
      <c r="N269" s="199"/>
      <c r="O269" s="199"/>
      <c r="P269" s="199"/>
      <c r="Q269" s="199"/>
      <c r="R269" s="199"/>
      <c r="S269" s="223"/>
      <c r="T269" s="199"/>
      <c r="U269" s="199"/>
      <c r="V269" s="199"/>
      <c r="W269" s="199"/>
      <c r="X269" s="199"/>
    </row>
    <row r="270" spans="1:24">
      <c r="A270" s="187"/>
      <c r="B270" s="187"/>
      <c r="C270" s="187"/>
      <c r="D270" s="187"/>
      <c r="E270" s="187"/>
      <c r="F270" s="199"/>
      <c r="G270" s="199"/>
      <c r="H270" s="199"/>
      <c r="I270" s="199"/>
      <c r="J270" s="199"/>
      <c r="K270" s="199"/>
      <c r="L270" s="199"/>
      <c r="M270" s="199"/>
      <c r="N270" s="199"/>
      <c r="O270" s="199"/>
      <c r="P270" s="199"/>
      <c r="Q270" s="199"/>
      <c r="R270" s="199"/>
      <c r="S270" s="223"/>
      <c r="T270" s="199"/>
      <c r="U270" s="199"/>
      <c r="V270" s="199"/>
      <c r="W270" s="199"/>
      <c r="X270" s="199"/>
    </row>
    <row r="271" spans="1:24">
      <c r="A271" s="187"/>
      <c r="B271" s="187"/>
      <c r="C271" s="187"/>
      <c r="D271" s="187"/>
      <c r="E271" s="187"/>
      <c r="F271" s="199"/>
      <c r="G271" s="199"/>
      <c r="H271" s="199"/>
      <c r="I271" s="199"/>
      <c r="J271" s="199"/>
      <c r="K271" s="199"/>
      <c r="L271" s="199"/>
      <c r="M271" s="199"/>
      <c r="N271" s="199"/>
      <c r="O271" s="199"/>
      <c r="P271" s="199"/>
      <c r="Q271" s="199"/>
      <c r="R271" s="199"/>
      <c r="S271" s="223"/>
      <c r="T271" s="199"/>
      <c r="U271" s="199"/>
      <c r="V271" s="199"/>
      <c r="W271" s="199"/>
      <c r="X271" s="199"/>
    </row>
    <row r="272" spans="1:24">
      <c r="A272" s="187"/>
      <c r="B272" s="187"/>
      <c r="C272" s="187"/>
      <c r="D272" s="187"/>
      <c r="E272" s="187"/>
      <c r="F272" s="199"/>
      <c r="G272" s="199"/>
      <c r="H272" s="199"/>
      <c r="I272" s="199"/>
      <c r="J272" s="199"/>
      <c r="K272" s="199"/>
      <c r="L272" s="199"/>
      <c r="M272" s="199"/>
      <c r="N272" s="199"/>
      <c r="O272" s="199"/>
      <c r="P272" s="199"/>
      <c r="Q272" s="199"/>
      <c r="R272" s="199"/>
      <c r="S272" s="223"/>
      <c r="T272" s="199"/>
      <c r="U272" s="199"/>
      <c r="V272" s="199"/>
      <c r="W272" s="199"/>
      <c r="X272" s="199"/>
    </row>
    <row r="273" spans="1:24">
      <c r="A273" s="187"/>
      <c r="B273" s="187"/>
      <c r="C273" s="187"/>
      <c r="D273" s="187"/>
      <c r="E273" s="187"/>
      <c r="F273" s="199"/>
      <c r="G273" s="199"/>
      <c r="H273" s="199"/>
      <c r="I273" s="199"/>
      <c r="J273" s="199"/>
      <c r="K273" s="199"/>
      <c r="L273" s="199"/>
      <c r="M273" s="199"/>
      <c r="N273" s="199"/>
      <c r="O273" s="199"/>
      <c r="P273" s="199"/>
      <c r="Q273" s="199"/>
      <c r="R273" s="199"/>
      <c r="S273" s="223"/>
      <c r="T273" s="199"/>
      <c r="U273" s="199"/>
      <c r="V273" s="199"/>
      <c r="W273" s="199"/>
      <c r="X273" s="199"/>
    </row>
    <row r="274" spans="1:24">
      <c r="A274" s="187"/>
      <c r="B274" s="187"/>
      <c r="C274" s="187"/>
      <c r="D274" s="187"/>
      <c r="E274" s="187"/>
      <c r="F274" s="199"/>
      <c r="G274" s="199"/>
      <c r="H274" s="199"/>
      <c r="I274" s="199"/>
      <c r="J274" s="199"/>
      <c r="K274" s="199"/>
      <c r="L274" s="199"/>
      <c r="M274" s="199"/>
      <c r="N274" s="199"/>
      <c r="O274" s="199"/>
      <c r="P274" s="199"/>
      <c r="Q274" s="199"/>
      <c r="R274" s="199"/>
      <c r="S274" s="223"/>
      <c r="T274" s="199"/>
      <c r="U274" s="199"/>
      <c r="V274" s="199"/>
      <c r="W274" s="199"/>
      <c r="X274" s="199"/>
    </row>
    <row r="275" spans="1:24">
      <c r="A275" s="187"/>
      <c r="B275" s="187"/>
      <c r="C275" s="187"/>
      <c r="D275" s="187"/>
      <c r="E275" s="187"/>
      <c r="F275" s="199"/>
      <c r="G275" s="199"/>
      <c r="H275" s="199"/>
      <c r="I275" s="199"/>
      <c r="J275" s="199"/>
      <c r="K275" s="199"/>
      <c r="L275" s="199"/>
      <c r="M275" s="199"/>
      <c r="N275" s="199"/>
      <c r="O275" s="199"/>
      <c r="P275" s="199"/>
      <c r="Q275" s="199"/>
      <c r="R275" s="199"/>
      <c r="S275" s="223"/>
      <c r="T275" s="199"/>
      <c r="U275" s="199"/>
      <c r="V275" s="199"/>
      <c r="W275" s="199"/>
      <c r="X275" s="199"/>
    </row>
    <row r="276" spans="1:24">
      <c r="A276" s="187"/>
      <c r="B276" s="187"/>
      <c r="C276" s="187"/>
      <c r="D276" s="187"/>
      <c r="E276" s="187"/>
      <c r="F276" s="199"/>
      <c r="G276" s="199"/>
      <c r="H276" s="199"/>
      <c r="I276" s="199"/>
      <c r="J276" s="199"/>
      <c r="K276" s="199"/>
      <c r="L276" s="199"/>
      <c r="M276" s="199"/>
      <c r="N276" s="199"/>
      <c r="O276" s="199"/>
      <c r="P276" s="199"/>
      <c r="Q276" s="199"/>
      <c r="R276" s="199"/>
      <c r="S276" s="223"/>
      <c r="T276" s="199"/>
      <c r="U276" s="199"/>
      <c r="V276" s="199"/>
      <c r="W276" s="199"/>
      <c r="X276" s="199"/>
    </row>
    <row r="277" spans="1:24">
      <c r="A277" s="187"/>
      <c r="B277" s="187"/>
      <c r="C277" s="187"/>
      <c r="D277" s="187"/>
      <c r="E277" s="187"/>
      <c r="F277" s="199"/>
      <c r="G277" s="199"/>
      <c r="H277" s="199"/>
      <c r="I277" s="199"/>
      <c r="J277" s="199"/>
      <c r="K277" s="199"/>
      <c r="L277" s="199"/>
      <c r="M277" s="199"/>
      <c r="N277" s="199"/>
      <c r="O277" s="199"/>
      <c r="P277" s="199"/>
      <c r="Q277" s="199"/>
      <c r="R277" s="199"/>
      <c r="S277" s="223"/>
      <c r="T277" s="199"/>
      <c r="U277" s="199"/>
      <c r="V277" s="199"/>
      <c r="W277" s="199"/>
      <c r="X277" s="199"/>
    </row>
    <row r="278" spans="1:24">
      <c r="A278" s="187"/>
      <c r="B278" s="187"/>
      <c r="C278" s="187"/>
      <c r="D278" s="187"/>
      <c r="E278" s="187"/>
      <c r="F278" s="199"/>
      <c r="G278" s="199"/>
      <c r="H278" s="199"/>
      <c r="I278" s="199"/>
      <c r="J278" s="199"/>
      <c r="K278" s="199"/>
      <c r="L278" s="199"/>
      <c r="M278" s="199"/>
      <c r="N278" s="199"/>
      <c r="O278" s="199"/>
      <c r="P278" s="199"/>
      <c r="Q278" s="199"/>
      <c r="R278" s="199"/>
      <c r="S278" s="223"/>
      <c r="T278" s="199"/>
      <c r="U278" s="199"/>
      <c r="V278" s="199"/>
      <c r="W278" s="199"/>
      <c r="X278" s="199"/>
    </row>
    <row r="279" spans="1:24">
      <c r="A279" s="187"/>
      <c r="B279" s="187"/>
      <c r="C279" s="187"/>
      <c r="D279" s="187"/>
      <c r="E279" s="187"/>
      <c r="F279" s="199"/>
      <c r="G279" s="199"/>
      <c r="H279" s="199"/>
      <c r="I279" s="199"/>
      <c r="J279" s="199"/>
      <c r="K279" s="199"/>
      <c r="L279" s="199"/>
      <c r="M279" s="199"/>
      <c r="N279" s="199"/>
      <c r="O279" s="199"/>
      <c r="P279" s="199"/>
      <c r="Q279" s="199"/>
      <c r="R279" s="199"/>
      <c r="S279" s="223"/>
      <c r="T279" s="199"/>
      <c r="U279" s="199"/>
      <c r="V279" s="199"/>
      <c r="W279" s="199"/>
      <c r="X279" s="199"/>
    </row>
    <row r="280" spans="1:24">
      <c r="A280" s="187"/>
      <c r="B280" s="187"/>
      <c r="C280" s="187"/>
      <c r="D280" s="187"/>
      <c r="E280" s="187"/>
      <c r="F280" s="199"/>
      <c r="G280" s="199"/>
      <c r="H280" s="199"/>
      <c r="I280" s="199"/>
      <c r="J280" s="199"/>
      <c r="K280" s="199"/>
      <c r="L280" s="199"/>
      <c r="M280" s="199"/>
      <c r="N280" s="199"/>
      <c r="O280" s="199"/>
      <c r="P280" s="199"/>
      <c r="Q280" s="199"/>
      <c r="R280" s="199"/>
      <c r="S280" s="223"/>
      <c r="T280" s="199"/>
      <c r="U280" s="199"/>
      <c r="V280" s="199"/>
      <c r="W280" s="199"/>
      <c r="X280" s="199"/>
    </row>
    <row r="281" spans="1:24">
      <c r="A281" s="187"/>
      <c r="B281" s="187"/>
      <c r="C281" s="187"/>
      <c r="D281" s="187"/>
      <c r="E281" s="187"/>
      <c r="F281" s="199"/>
      <c r="G281" s="199"/>
      <c r="H281" s="199"/>
      <c r="I281" s="199"/>
      <c r="J281" s="199"/>
      <c r="K281" s="199"/>
      <c r="L281" s="199"/>
      <c r="M281" s="199"/>
      <c r="N281" s="199"/>
      <c r="O281" s="199"/>
      <c r="P281" s="199"/>
      <c r="Q281" s="199"/>
      <c r="R281" s="199"/>
      <c r="S281" s="223"/>
      <c r="T281" s="199"/>
      <c r="U281" s="199"/>
      <c r="V281" s="199"/>
      <c r="W281" s="199"/>
      <c r="X281" s="199"/>
    </row>
    <row r="282" spans="1:24">
      <c r="A282" s="187"/>
      <c r="B282" s="187"/>
      <c r="C282" s="187"/>
      <c r="D282" s="187"/>
      <c r="E282" s="187"/>
      <c r="F282" s="199"/>
      <c r="G282" s="199"/>
      <c r="H282" s="199"/>
      <c r="I282" s="199"/>
      <c r="J282" s="199"/>
      <c r="K282" s="199"/>
      <c r="L282" s="199"/>
      <c r="M282" s="199"/>
      <c r="N282" s="199"/>
      <c r="O282" s="199"/>
      <c r="P282" s="199"/>
      <c r="Q282" s="199"/>
      <c r="R282" s="199"/>
      <c r="S282" s="223"/>
      <c r="T282" s="199"/>
      <c r="U282" s="199"/>
      <c r="V282" s="199"/>
      <c r="W282" s="199"/>
      <c r="X282" s="199"/>
    </row>
    <row r="283" spans="1:24">
      <c r="A283" s="187"/>
      <c r="B283" s="187"/>
      <c r="C283" s="187"/>
      <c r="D283" s="187"/>
      <c r="E283" s="187"/>
      <c r="F283" s="199"/>
      <c r="G283" s="199"/>
      <c r="H283" s="199"/>
      <c r="I283" s="199"/>
      <c r="J283" s="199"/>
      <c r="K283" s="199"/>
      <c r="L283" s="199"/>
      <c r="M283" s="199"/>
      <c r="N283" s="199"/>
      <c r="O283" s="199"/>
      <c r="P283" s="199"/>
      <c r="Q283" s="199"/>
      <c r="R283" s="199"/>
      <c r="S283" s="223"/>
      <c r="T283" s="199"/>
      <c r="U283" s="199"/>
      <c r="V283" s="199"/>
      <c r="W283" s="199"/>
      <c r="X283" s="199"/>
    </row>
    <row r="284" spans="1:24">
      <c r="A284" s="187"/>
      <c r="B284" s="187"/>
      <c r="C284" s="187"/>
      <c r="D284" s="187"/>
      <c r="E284" s="187"/>
      <c r="F284" s="199"/>
      <c r="G284" s="199"/>
      <c r="H284" s="199"/>
      <c r="I284" s="199"/>
      <c r="J284" s="199"/>
      <c r="K284" s="199"/>
      <c r="L284" s="199"/>
      <c r="M284" s="199"/>
      <c r="N284" s="199"/>
      <c r="O284" s="199"/>
      <c r="P284" s="199"/>
      <c r="Q284" s="199"/>
      <c r="R284" s="199"/>
      <c r="S284" s="223"/>
      <c r="T284" s="199"/>
      <c r="U284" s="199"/>
      <c r="V284" s="199"/>
      <c r="W284" s="199"/>
      <c r="X284" s="199"/>
    </row>
    <row r="285" spans="1:24">
      <c r="A285" s="187"/>
      <c r="B285" s="187"/>
      <c r="C285" s="187"/>
      <c r="D285" s="187"/>
      <c r="E285" s="187"/>
      <c r="F285" s="199"/>
      <c r="G285" s="199"/>
      <c r="H285" s="199"/>
      <c r="I285" s="199"/>
      <c r="J285" s="199"/>
      <c r="K285" s="199"/>
      <c r="L285" s="199"/>
      <c r="M285" s="199"/>
      <c r="N285" s="199"/>
      <c r="O285" s="199"/>
      <c r="P285" s="199"/>
      <c r="Q285" s="199"/>
      <c r="R285" s="199"/>
      <c r="S285" s="223"/>
      <c r="T285" s="199"/>
      <c r="U285" s="199"/>
      <c r="V285" s="199"/>
      <c r="W285" s="199"/>
      <c r="X285" s="199"/>
    </row>
    <row r="286" spans="1:24">
      <c r="A286" s="187"/>
      <c r="B286" s="187"/>
      <c r="C286" s="187"/>
      <c r="D286" s="187"/>
      <c r="E286" s="187"/>
      <c r="F286" s="199"/>
      <c r="G286" s="199"/>
      <c r="H286" s="199"/>
      <c r="I286" s="199"/>
      <c r="J286" s="199"/>
      <c r="K286" s="199"/>
      <c r="L286" s="199"/>
      <c r="M286" s="199"/>
      <c r="N286" s="199"/>
      <c r="O286" s="199"/>
      <c r="P286" s="199"/>
      <c r="Q286" s="199"/>
      <c r="R286" s="199"/>
      <c r="S286" s="223"/>
      <c r="T286" s="199"/>
      <c r="U286" s="199"/>
      <c r="V286" s="199"/>
      <c r="W286" s="199"/>
      <c r="X286" s="199"/>
    </row>
    <row r="287" spans="1:24">
      <c r="A287" s="187"/>
      <c r="B287" s="187"/>
      <c r="C287" s="187"/>
      <c r="D287" s="187"/>
      <c r="E287" s="187"/>
      <c r="F287" s="199"/>
      <c r="G287" s="199"/>
      <c r="H287" s="199"/>
      <c r="I287" s="199"/>
      <c r="J287" s="199"/>
      <c r="K287" s="199"/>
      <c r="L287" s="199"/>
      <c r="M287" s="199"/>
      <c r="N287" s="199"/>
      <c r="O287" s="199"/>
      <c r="P287" s="199"/>
      <c r="Q287" s="199"/>
      <c r="R287" s="199"/>
      <c r="S287" s="223"/>
      <c r="T287" s="199"/>
      <c r="U287" s="199"/>
      <c r="V287" s="199"/>
      <c r="W287" s="199"/>
      <c r="X287" s="199"/>
    </row>
  </sheetData>
  <mergeCells count="2">
    <mergeCell ref="A1:E1"/>
    <mergeCell ref="C3:D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227</IndustryCode>
    <CaseStatus xmlns="dc463f71-b30c-4ab2-9473-d307f9d35888">Closed</CaseStatus>
    <OpenedDate xmlns="dc463f71-b30c-4ab2-9473-d307f9d35888">2021-11-05T07:00:00+00:00</OpenedDate>
    <SignificantOrder xmlns="dc463f71-b30c-4ab2-9473-d307f9d35888">false</SignificantOrder>
    <Date1 xmlns="dc463f71-b30c-4ab2-9473-d307f9d35888">2021-11-29T08:00:00+00:00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Fiorito Enterprises Inc. &amp; Rabanco Companies</CaseCompanyNames>
    <Nickname xmlns="http://schemas.microsoft.com/sharepoint/v3" xsi:nil="true"/>
    <DocketNumber xmlns="dc463f71-b30c-4ab2-9473-d307f9d35888">210857</DocketNumber>
    <DelegatedOrder xmlns="dc463f71-b30c-4ab2-9473-d307f9d35888">false</DelegatedOrder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2B91AC9C852E4F40B3C68F5BC89085E7" ma:contentTypeVersion="44" ma:contentTypeDescription="" ma:contentTypeScope="" ma:versionID="94e8c2e11f5b7f457ed526fb711435b3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A7CCDAC-5E1F-495F-8818-BFE4B069189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7F72636-CD6D-473F-B634-3EB7618E7CB2}"/>
</file>

<file path=customXml/itemProps3.xml><?xml version="1.0" encoding="utf-8"?>
<ds:datastoreItem xmlns:ds="http://schemas.openxmlformats.org/officeDocument/2006/customXml" ds:itemID="{B67946F6-253B-40F3-ADF9-DBD760147FC0}">
  <ds:schemaRefs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7429f450-94b4-4416-870d-2c1407281566"/>
    <ds:schemaRef ds:uri="http://purl.org/dc/dcmitype/"/>
    <ds:schemaRef ds:uri="http://purl.org/dc/elements/1.1/"/>
    <ds:schemaRef ds:uri="http://purl.org/dc/terms/"/>
    <ds:schemaRef ds:uri="http://schemas.microsoft.com/office/infopath/2007/PartnerControls"/>
    <ds:schemaRef ds:uri="http://schemas.microsoft.com/office/2006/metadata/properties"/>
  </ds:schemaRefs>
</ds:datastoreItem>
</file>

<file path=customXml/itemProps4.xml><?xml version="1.0" encoding="utf-8"?>
<ds:datastoreItem xmlns:ds="http://schemas.openxmlformats.org/officeDocument/2006/customXml" ds:itemID="{60353690-2841-4657-9ECE-4A7527BD7A2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References</vt:lpstr>
      <vt:lpstr>Staff Calcs </vt:lpstr>
      <vt:lpstr>Tariff Changes</vt:lpstr>
      <vt:lpstr>Disposal</vt:lpstr>
    </vt:vector>
  </TitlesOfParts>
  <Company>Washington Utilities and Transportation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Staff Calcualtions</dc:title>
  <dc:creator>Mike Young</dc:creator>
  <cp:lastModifiedBy>Easley, Maria</cp:lastModifiedBy>
  <cp:lastPrinted>2016-12-19T19:27:45Z</cp:lastPrinted>
  <dcterms:created xsi:type="dcterms:W3CDTF">2013-10-29T22:33:54Z</dcterms:created>
  <dcterms:modified xsi:type="dcterms:W3CDTF">2021-11-29T15:01:32Z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0x0101006E56B4D1795A2E4DB2F0B01679ED314A002B91AC9C852E4F40B3C68F5BC89085E7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