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ustomProperty5.bin" ContentType="application/vnd.openxmlformats-officedocument.spreadsheetml.customProperty"/>
  <Override PartName="/xl/customProperty6.bin" ContentType="application/vnd.openxmlformats-officedocument.spreadsheetml.customProperty"/>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omments2.xml" ContentType="application/vnd.openxmlformats-officedocument.spreadsheetml.comments+xml"/>
  <Override PartName="/xl/drawings/drawing3.xml" ContentType="application/vnd.openxmlformats-officedocument.drawing+xml"/>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comments3.xml" ContentType="application/vnd.openxmlformats-officedocument.spreadsheetml.comments+xml"/>
  <Override PartName="/xl/drawings/drawing4.xml" ContentType="application/vnd.openxmlformats-officedocument.drawing+xml"/>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comments4.xml" ContentType="application/vnd.openxmlformats-officedocument.spreadsheetml.comments+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revisions/revisionHeaders.xml" ContentType="application/vnd.openxmlformats-officedocument.spreadsheetml.revisionHeaders+xml"/>
  <Override PartName="/xl/revisions/revisionLog2.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GrpRates\Public\Schedule 91\For 2021 Nov Update\"/>
    </mc:Choice>
  </mc:AlternateContent>
  <bookViews>
    <workbookView xWindow="0" yWindow="0" windowWidth="25200" windowHeight="10056" firstSheet="12" activeTab="15"/>
  </bookViews>
  <sheets>
    <sheet name="READ ME" sheetId="1" r:id="rId1"/>
    <sheet name="Summary of Changes to Inputs" sheetId="2" r:id="rId2"/>
    <sheet name="Output - Summary" sheetId="3" r:id="rId3"/>
    <sheet name="Output - 5yr Baseload" sheetId="4" r:id="rId4"/>
    <sheet name="Output - 10yr Baseload" sheetId="5" r:id="rId5"/>
    <sheet name="Output - 15yr Baseload" sheetId="6" r:id="rId6"/>
    <sheet name="Output - 10yr Wind" sheetId="7" r:id="rId7"/>
    <sheet name="Output - 15yr Wind" sheetId="8" r:id="rId8"/>
    <sheet name="Output - 10yr Solar" sheetId="9" r:id="rId9"/>
    <sheet name="Output - 15yr Solar" sheetId="10" r:id="rId10"/>
    <sheet name="Electric EES CE Std Energy" sheetId="11" r:id="rId11"/>
    <sheet name="FlatLoadShapeEnergy_perMWh" sheetId="12" r:id="rId12"/>
    <sheet name="Baseload Avoided Capacity Calcs" sheetId="13" r:id="rId13"/>
    <sheet name="Wind Avoided Capacity Calcs" sheetId="14" r:id="rId14"/>
    <sheet name="Solar Avoided Capacity Calcs" sheetId="15" r:id="rId15"/>
    <sheet name="Inputs-----&gt;" sheetId="16" r:id="rId16"/>
    <sheet name="Energy Prices" sheetId="17" r:id="rId17"/>
    <sheet name="Capacity Delivered" sheetId="18" r:id="rId18"/>
    <sheet name="Cost of Capital" sheetId="19" r:id="rId19"/>
  </sheets>
  <externalReferences>
    <externalReference r:id="rId20"/>
    <externalReference r:id="rId21"/>
  </externalReferences>
  <definedNames>
    <definedName name="_ftn1" localSheetId="12">'Baseload Avoided Capacity Calcs'!#REF!</definedName>
    <definedName name="_ftn1" localSheetId="14">'Solar Avoided Capacity Calcs'!#REF!</definedName>
    <definedName name="_ftn1" localSheetId="13">'Wind Avoided Capacity Calcs'!#REF!</definedName>
    <definedName name="_ftnref1" localSheetId="12">'Baseload Avoided Capacity Calcs'!#REF!</definedName>
    <definedName name="_ftnref1" localSheetId="14">'Solar Avoided Capacity Calcs'!#REF!</definedName>
    <definedName name="_ftnref1" localSheetId="13">'Wind Avoided Capacity Calcs'!#REF!</definedName>
    <definedName name="CaseDescription">[1]Assumptions!$A$2</definedName>
    <definedName name="MeasureList" localSheetId="4">#REF!</definedName>
    <definedName name="MeasureList" localSheetId="8">#REF!</definedName>
    <definedName name="MeasureList" localSheetId="6">#REF!</definedName>
    <definedName name="MeasureList" localSheetId="9">#REF!</definedName>
    <definedName name="MeasureList" localSheetId="7">#REF!</definedName>
    <definedName name="MeasureList" localSheetId="3">#REF!</definedName>
    <definedName name="MeasureList" localSheetId="2">#REF!</definedName>
    <definedName name="MeasureList" localSheetId="14">#REF!</definedName>
    <definedName name="MeasureList" localSheetId="1">#REF!</definedName>
    <definedName name="MeasureList" localSheetId="13">#REF!</definedName>
    <definedName name="MeasureList">#REF!</definedName>
    <definedName name="PreTaxWACC">[2]Assumptions!$O$24</definedName>
    <definedName name="_xlnm.Print_Area" localSheetId="12">'Baseload Avoided Capacity Calcs'!$B$4:$L$29</definedName>
    <definedName name="_xlnm.Print_Area" localSheetId="17">'Capacity Delivered'!$B$3:$S$28</definedName>
    <definedName name="_xlnm.Print_Area" localSheetId="10">'Electric EES CE Std Energy'!$B$2:$F$29</definedName>
    <definedName name="_xlnm.Print_Area" localSheetId="11">FlatLoadShapeEnergy_perMWh!$B$4:$P$33</definedName>
    <definedName name="_xlnm.Print_Area" localSheetId="4">'Output - 10yr Baseload'!$B$2:$AC$35</definedName>
    <definedName name="_xlnm.Print_Area" localSheetId="8">'Output - 10yr Solar'!$B$2:$AC$35</definedName>
    <definedName name="_xlnm.Print_Area" localSheetId="6">'Output - 10yr Wind'!$B$2:$AC$35</definedName>
    <definedName name="_xlnm.Print_Area" localSheetId="5">'Output - 15yr Baseload'!$B$2:$AD$35</definedName>
    <definedName name="_xlnm.Print_Area" localSheetId="9">'Output - 15yr Solar'!$B$2:$AD$35</definedName>
    <definedName name="_xlnm.Print_Area" localSheetId="7">'Output - 15yr Wind'!$B$2:$AD$35</definedName>
    <definedName name="_xlnm.Print_Area" localSheetId="3">'Output - 5yr Baseload'!$B$2:$AC$35</definedName>
    <definedName name="_xlnm.Print_Area" localSheetId="2">'Output - Summary'!$B$2:$AB$9</definedName>
    <definedName name="_xlnm.Print_Area" localSheetId="14">'Solar Avoided Capacity Calcs'!$B$4:$L$30</definedName>
    <definedName name="_xlnm.Print_Area" localSheetId="13">'Wind Avoided Capacity Calcs'!$B$4:$L$30</definedName>
    <definedName name="Rate_of_Return">'Cost of Capital'!$F$16</definedName>
    <definedName name="solver_typ" localSheetId="10" hidden="1">2</definedName>
    <definedName name="solver_typ" localSheetId="6" hidden="1">2</definedName>
    <definedName name="solver_typ" localSheetId="7" hidden="1">2</definedName>
    <definedName name="solver_ver" localSheetId="10" hidden="1">10</definedName>
    <definedName name="solver_ver" localSheetId="6" hidden="1">17</definedName>
    <definedName name="solver_ver" localSheetId="7" hidden="1">17</definedName>
    <definedName name="Title">[1]Assumptions!$A$1</definedName>
    <definedName name="wrn.Customer._.Counts._.Electric." localSheetId="15"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localSheetId="1"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localSheetId="15" hidden="1">{#N/A,#N/A,FALSE,"Pg 6b CustCount_Gas";#N/A,#N/A,FALSE,"QA";#N/A,#N/A,FALSE,"Report";#N/A,#N/A,FALSE,"forecast"}</definedName>
    <definedName name="wrn.Customer._.Counts._.Gas." localSheetId="1" hidden="1">{#N/A,#N/A,FALSE,"Pg 6b CustCount_Gas";#N/A,#N/A,FALSE,"QA";#N/A,#N/A,FALSE,"Report";#N/A,#N/A,FALSE,"forecast"}</definedName>
    <definedName name="wrn.Customer._.Counts._.Gas." hidden="1">{#N/A,#N/A,FALSE,"Pg 6b CustCount_Gas";#N/A,#N/A,FALSE,"QA";#N/A,#N/A,FALSE,"Report";#N/A,#N/A,FALSE,"forecast"}</definedName>
    <definedName name="wrn.Incentive._.Overhead." localSheetId="15" hidden="1">{#N/A,#N/A,FALSE,"Coversheet";#N/A,#N/A,FALSE,"QA"}</definedName>
    <definedName name="wrn.Incentive._.Overhead." localSheetId="1" hidden="1">{#N/A,#N/A,FALSE,"Coversheet";#N/A,#N/A,FALSE,"QA"}</definedName>
    <definedName name="wrn.Incentive._.Overhead." hidden="1">{#N/A,#N/A,FALSE,"Coversheet";#N/A,#N/A,FALSE,"QA"}</definedName>
    <definedName name="wrn.MARGIN_WO_QTR." localSheetId="15" hidden="1">{#N/A,#N/A,FALSE,"Month ";#N/A,#N/A,FALSE,"YTD";#N/A,#N/A,FALSE,"12 mo ended"}</definedName>
    <definedName name="wrn.MARGIN_WO_QTR." localSheetId="1" hidden="1">{#N/A,#N/A,FALSE,"Month ";#N/A,#N/A,FALSE,"YTD";#N/A,#N/A,FALSE,"12 mo ended"}</definedName>
    <definedName name="wrn.MARGIN_WO_QTR." hidden="1">{#N/A,#N/A,FALSE,"Month ";#N/A,#N/A,FALSE,"YTD";#N/A,#N/A,FALSE,"12 mo ended"}</definedName>
    <definedName name="wrn.Municipal._.Reports." localSheetId="1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localSheetId="1"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Small._.Tools._.Overhead." localSheetId="15" hidden="1">{#N/A,#N/A,FALSE,"2002 Small Tool OH";#N/A,#N/A,FALSE,"QA"}</definedName>
    <definedName name="wrn.Small._.Tools._.Overhead." localSheetId="1" hidden="1">{#N/A,#N/A,FALSE,"2002 Small Tool OH";#N/A,#N/A,FALSE,"QA"}</definedName>
    <definedName name="wrn.Small._.Tools._.Overhead." hidden="1">{#N/A,#N/A,FALSE,"2002 Small Tool OH";#N/A,#N/A,FALSE,"QA"}</definedName>
    <definedName name="Z_78103E26_15C6_4D37_9879_762EF0B43905_.wvu.PrintArea" localSheetId="12" hidden="1">'Baseload Avoided Capacity Calcs'!$B$4:$L$29</definedName>
    <definedName name="Z_78103E26_15C6_4D37_9879_762EF0B43905_.wvu.PrintArea" localSheetId="17" hidden="1">'Capacity Delivered'!$B$3:$S$28</definedName>
    <definedName name="Z_78103E26_15C6_4D37_9879_762EF0B43905_.wvu.PrintArea" localSheetId="10" hidden="1">'Electric EES CE Std Energy'!$B$2:$F$29</definedName>
    <definedName name="Z_78103E26_15C6_4D37_9879_762EF0B43905_.wvu.PrintArea" localSheetId="11" hidden="1">FlatLoadShapeEnergy_perMWh!$B$4:$P$33</definedName>
    <definedName name="Z_78103E26_15C6_4D37_9879_762EF0B43905_.wvu.PrintArea" localSheetId="4" hidden="1">'Output - 10yr Baseload'!$B$2:$AC$35</definedName>
    <definedName name="Z_78103E26_15C6_4D37_9879_762EF0B43905_.wvu.PrintArea" localSheetId="8" hidden="1">'Output - 10yr Solar'!$B$2:$AC$35</definedName>
    <definedName name="Z_78103E26_15C6_4D37_9879_762EF0B43905_.wvu.PrintArea" localSheetId="6" hidden="1">'Output - 10yr Wind'!$B$2:$AC$35</definedName>
    <definedName name="Z_78103E26_15C6_4D37_9879_762EF0B43905_.wvu.PrintArea" localSheetId="5" hidden="1">'Output - 15yr Baseload'!$B$2:$AD$35</definedName>
    <definedName name="Z_78103E26_15C6_4D37_9879_762EF0B43905_.wvu.PrintArea" localSheetId="9" hidden="1">'Output - 15yr Solar'!$B$2:$AD$35</definedName>
    <definedName name="Z_78103E26_15C6_4D37_9879_762EF0B43905_.wvu.PrintArea" localSheetId="7" hidden="1">'Output - 15yr Wind'!$B$2:$AD$35</definedName>
    <definedName name="Z_78103E26_15C6_4D37_9879_762EF0B43905_.wvu.PrintArea" localSheetId="3" hidden="1">'Output - 5yr Baseload'!$B$2:$AC$35</definedName>
    <definedName name="Z_78103E26_15C6_4D37_9879_762EF0B43905_.wvu.PrintArea" localSheetId="2" hidden="1">'Output - Summary'!$B$2:$AB$9</definedName>
    <definedName name="Z_78103E26_15C6_4D37_9879_762EF0B43905_.wvu.PrintArea" localSheetId="14" hidden="1">'Solar Avoided Capacity Calcs'!$B$4:$L$30</definedName>
    <definedName name="Z_78103E26_15C6_4D37_9879_762EF0B43905_.wvu.PrintArea" localSheetId="13" hidden="1">'Wind Avoided Capacity Calcs'!$B$4:$L$30</definedName>
  </definedNames>
  <calcPr calcId="162913"/>
  <customWorkbookViews>
    <customWorkbookView name="Cass, Mei - Personal View" guid="{78103E26-15C6-4D37-9879-762EF0B43905}" mergeInterval="0" personalView="1" maximized="1" xWindow="-9" yWindow="-9" windowWidth="1938" windowHeight="1098" activeSheetId="16" showComments="commIndAndComment"/>
  </customWorkbookViews>
</workbook>
</file>

<file path=xl/calcChain.xml><?xml version="1.0" encoding="utf-8"?>
<calcChain xmlns="http://schemas.openxmlformats.org/spreadsheetml/2006/main">
  <c r="E9" i="15" l="1"/>
  <c r="E9" i="14"/>
  <c r="E9" i="13"/>
  <c r="D4" i="11"/>
  <c r="N7" i="12" l="1"/>
  <c r="M7" i="15" l="1"/>
  <c r="S7" i="18"/>
  <c r="F20" i="4" l="1"/>
  <c r="P27" i="12"/>
  <c r="P23" i="12"/>
  <c r="M7" i="14"/>
  <c r="J7" i="14"/>
  <c r="H7" i="18"/>
  <c r="P8" i="12"/>
  <c r="P7" i="12"/>
  <c r="C25" i="1"/>
  <c r="C23" i="1"/>
  <c r="B61" i="2"/>
  <c r="B60" i="2"/>
  <c r="B59" i="2"/>
  <c r="B58" i="2"/>
  <c r="B57" i="2"/>
  <c r="B56" i="2"/>
  <c r="B55" i="2"/>
  <c r="B54" i="2"/>
  <c r="B53" i="2"/>
  <c r="B52" i="2"/>
  <c r="B51" i="2"/>
  <c r="B50" i="2"/>
  <c r="B49" i="2"/>
  <c r="B48" i="2"/>
  <c r="B47" i="2"/>
  <c r="B46" i="2"/>
  <c r="B45" i="2"/>
  <c r="B44" i="2"/>
  <c r="B43" i="2"/>
  <c r="B42" i="2"/>
  <c r="B41" i="2"/>
  <c r="B38" i="2"/>
  <c r="B37" i="2"/>
  <c r="B34" i="2"/>
  <c r="B33" i="2"/>
  <c r="E28" i="2"/>
  <c r="B27" i="2"/>
  <c r="B26" i="2"/>
  <c r="B25" i="2"/>
  <c r="B24" i="2"/>
  <c r="B23" i="2"/>
  <c r="B22" i="2"/>
  <c r="B21" i="2"/>
  <c r="B20" i="2"/>
  <c r="B19" i="2"/>
  <c r="B18" i="2"/>
  <c r="B17" i="2"/>
  <c r="B16" i="2"/>
  <c r="B15" i="2"/>
  <c r="B14" i="2"/>
  <c r="B13" i="2"/>
  <c r="B12" i="2"/>
  <c r="B11" i="2"/>
  <c r="B10" i="2"/>
  <c r="B9" i="2"/>
  <c r="B8" i="2"/>
  <c r="B7" i="2"/>
  <c r="B28" i="2" s="1"/>
  <c r="D7" i="14" l="1"/>
  <c r="D7" i="15"/>
  <c r="A30" i="13" l="1"/>
  <c r="A30" i="14"/>
  <c r="A30" i="15"/>
  <c r="D6" i="14" l="1"/>
  <c r="D6" i="15"/>
  <c r="D6" i="13"/>
  <c r="D6" i="12"/>
  <c r="L7" i="18" l="1"/>
  <c r="L8" i="18"/>
  <c r="L9" i="18"/>
  <c r="L10" i="18"/>
  <c r="L11" i="18"/>
  <c r="L12" i="18"/>
  <c r="L13" i="18"/>
  <c r="L14" i="18"/>
  <c r="L15" i="18"/>
  <c r="L16" i="18"/>
  <c r="L17" i="18"/>
  <c r="L18" i="18"/>
  <c r="L19" i="18"/>
  <c r="L20" i="18"/>
  <c r="L21" i="18"/>
  <c r="L22" i="18"/>
  <c r="L23" i="18"/>
  <c r="L24" i="18"/>
  <c r="L25" i="18"/>
  <c r="L26" i="18"/>
  <c r="L27" i="18"/>
  <c r="L28" i="18"/>
  <c r="P28" i="17" l="1"/>
  <c r="E6" i="15" l="1"/>
  <c r="E6" i="13"/>
  <c r="B63" i="2" s="1"/>
  <c r="E6" i="14"/>
  <c r="P7" i="14" l="1"/>
  <c r="P7" i="15"/>
  <c r="P7" i="13"/>
  <c r="P8" i="13" s="1"/>
  <c r="P29" i="17" l="1"/>
  <c r="F5" i="10" l="1"/>
  <c r="F5" i="9"/>
  <c r="F5" i="8"/>
  <c r="F5" i="7"/>
  <c r="F5" i="6"/>
  <c r="F5" i="5"/>
  <c r="F5" i="4"/>
  <c r="B8" i="18"/>
  <c r="B9" i="18" s="1"/>
  <c r="B10" i="18" s="1"/>
  <c r="B11" i="18" s="1"/>
  <c r="B12" i="18" s="1"/>
  <c r="B13" i="18" s="1"/>
  <c r="B14" i="18" s="1"/>
  <c r="B15" i="18" s="1"/>
  <c r="B16" i="18" s="1"/>
  <c r="B17" i="18" s="1"/>
  <c r="B18" i="18" s="1"/>
  <c r="B19" i="18" s="1"/>
  <c r="B20" i="18" s="1"/>
  <c r="B21" i="18" s="1"/>
  <c r="B22" i="18" s="1"/>
  <c r="B23" i="18" s="1"/>
  <c r="B24" i="18" s="1"/>
  <c r="B25" i="18" s="1"/>
  <c r="B26" i="18" s="1"/>
  <c r="B27" i="18" s="1"/>
  <c r="B28" i="18" s="1"/>
  <c r="R8" i="18"/>
  <c r="P7" i="18"/>
  <c r="I7" i="18"/>
  <c r="I7" i="15" l="1"/>
  <c r="Q7" i="18"/>
  <c r="I7" i="14"/>
  <c r="K7" i="18"/>
  <c r="G7" i="13" l="1"/>
  <c r="G7" i="15" l="1"/>
  <c r="G7" i="14"/>
  <c r="G7" i="12"/>
  <c r="C8" i="18" l="1"/>
  <c r="E19" i="19"/>
  <c r="C7" i="17"/>
  <c r="C8" i="17" s="1"/>
  <c r="C9" i="17" s="1"/>
  <c r="C10" i="17" s="1"/>
  <c r="C11" i="17" s="1"/>
  <c r="C12" i="17" s="1"/>
  <c r="C13" i="17" s="1"/>
  <c r="C14" i="17" s="1"/>
  <c r="C15" i="17" s="1"/>
  <c r="C16" i="17" s="1"/>
  <c r="C17" i="17" s="1"/>
  <c r="C18" i="17" s="1"/>
  <c r="C19" i="17" s="1"/>
  <c r="C20" i="17" s="1"/>
  <c r="C21" i="17" s="1"/>
  <c r="C22" i="17" s="1"/>
  <c r="C23" i="17" s="1"/>
  <c r="C24" i="17" s="1"/>
  <c r="C25" i="17" s="1"/>
  <c r="C26" i="17" s="1"/>
  <c r="C9" i="18" l="1"/>
  <c r="K8" i="18"/>
  <c r="F39" i="3"/>
  <c r="G39" i="3" s="1"/>
  <c r="H39" i="3" s="1"/>
  <c r="I39" i="3" s="1"/>
  <c r="J39" i="3" s="1"/>
  <c r="K39" i="3" s="1"/>
  <c r="L39" i="3" s="1"/>
  <c r="M39" i="3" s="1"/>
  <c r="N39" i="3" s="1"/>
  <c r="O39" i="3" s="1"/>
  <c r="P39" i="3" s="1"/>
  <c r="Q39" i="3" s="1"/>
  <c r="R39" i="3" s="1"/>
  <c r="S39" i="3" s="1"/>
  <c r="T39" i="3" s="1"/>
  <c r="U39" i="3" s="1"/>
  <c r="V39" i="3" s="1"/>
  <c r="F33" i="3"/>
  <c r="G33" i="3" s="1"/>
  <c r="H33" i="3" s="1"/>
  <c r="I33" i="3" s="1"/>
  <c r="J33" i="3" s="1"/>
  <c r="K33" i="3" s="1"/>
  <c r="L33" i="3" s="1"/>
  <c r="M33" i="3" s="1"/>
  <c r="N33" i="3" s="1"/>
  <c r="O33" i="3" s="1"/>
  <c r="P33" i="3" s="1"/>
  <c r="Q33" i="3" s="1"/>
  <c r="R33" i="3" s="1"/>
  <c r="S33" i="3" s="1"/>
  <c r="T33" i="3" s="1"/>
  <c r="U33" i="3" s="1"/>
  <c r="V33" i="3" s="1"/>
  <c r="F26" i="3"/>
  <c r="G26" i="3" s="1"/>
  <c r="H26" i="3" s="1"/>
  <c r="I26" i="3" s="1"/>
  <c r="J26" i="3" s="1"/>
  <c r="K26" i="3" s="1"/>
  <c r="L26" i="3" s="1"/>
  <c r="M26" i="3" s="1"/>
  <c r="N26" i="3" s="1"/>
  <c r="O26" i="3" s="1"/>
  <c r="P26" i="3" s="1"/>
  <c r="Q26" i="3" s="1"/>
  <c r="R26" i="3" s="1"/>
  <c r="S26" i="3" s="1"/>
  <c r="T26" i="3" s="1"/>
  <c r="U26" i="3" s="1"/>
  <c r="V26" i="3" s="1"/>
  <c r="G8" i="15"/>
  <c r="G9" i="15" s="1"/>
  <c r="G10" i="15" s="1"/>
  <c r="G11" i="15" s="1"/>
  <c r="G12" i="15" s="1"/>
  <c r="G13" i="15" s="1"/>
  <c r="G14" i="15" s="1"/>
  <c r="G15" i="15" s="1"/>
  <c r="G16" i="15" s="1"/>
  <c r="G17" i="15" s="1"/>
  <c r="G18" i="15" s="1"/>
  <c r="G19" i="15" s="1"/>
  <c r="G20" i="15" s="1"/>
  <c r="G21" i="15" s="1"/>
  <c r="G22" i="15" s="1"/>
  <c r="G23" i="15" s="1"/>
  <c r="G24" i="15" s="1"/>
  <c r="G25" i="15" s="1"/>
  <c r="G26" i="15" s="1"/>
  <c r="G27" i="15" s="1"/>
  <c r="C10" i="18" l="1"/>
  <c r="K9" i="18"/>
  <c r="N8" i="18"/>
  <c r="N9" i="18"/>
  <c r="N10" i="18"/>
  <c r="N11" i="18"/>
  <c r="N12" i="18"/>
  <c r="N13" i="18"/>
  <c r="N14" i="18"/>
  <c r="N15" i="18"/>
  <c r="N16" i="18"/>
  <c r="N17" i="18"/>
  <c r="N18" i="18"/>
  <c r="N19" i="18"/>
  <c r="N20" i="18"/>
  <c r="N21" i="18"/>
  <c r="N22" i="18"/>
  <c r="N23" i="18"/>
  <c r="N24" i="18"/>
  <c r="N25" i="18"/>
  <c r="N26" i="18"/>
  <c r="N27" i="18"/>
  <c r="N28" i="18"/>
  <c r="N7" i="18"/>
  <c r="R9" i="18"/>
  <c r="R10" i="18"/>
  <c r="R11" i="18"/>
  <c r="R12" i="18"/>
  <c r="R13" i="18"/>
  <c r="R14" i="18"/>
  <c r="R15" i="18"/>
  <c r="R16" i="18"/>
  <c r="R17" i="18"/>
  <c r="R18" i="18"/>
  <c r="R19" i="18"/>
  <c r="R20" i="18"/>
  <c r="R21" i="18"/>
  <c r="R22" i="18"/>
  <c r="R23" i="18"/>
  <c r="R24" i="18"/>
  <c r="R25" i="18"/>
  <c r="R26" i="18"/>
  <c r="R27" i="18"/>
  <c r="R28" i="18"/>
  <c r="R7" i="18"/>
  <c r="P8" i="18"/>
  <c r="P9" i="18"/>
  <c r="P10" i="18"/>
  <c r="P11" i="18"/>
  <c r="P12" i="18"/>
  <c r="P13" i="18"/>
  <c r="P14" i="18"/>
  <c r="P15" i="18"/>
  <c r="P16" i="18"/>
  <c r="P17" i="18"/>
  <c r="P18" i="18"/>
  <c r="P19" i="18"/>
  <c r="P20" i="18"/>
  <c r="P21" i="18"/>
  <c r="P22" i="18"/>
  <c r="P23" i="18"/>
  <c r="P24" i="18"/>
  <c r="P25" i="18"/>
  <c r="P26" i="18"/>
  <c r="P27" i="18"/>
  <c r="P28" i="18"/>
  <c r="C11" i="18" l="1"/>
  <c r="K10" i="18"/>
  <c r="G7" i="18"/>
  <c r="O7" i="18" s="1"/>
  <c r="I7" i="13" l="1"/>
  <c r="C12" i="18"/>
  <c r="K11" i="18"/>
  <c r="C13" i="18" l="1"/>
  <c r="K12" i="18"/>
  <c r="G19" i="4"/>
  <c r="F12" i="4"/>
  <c r="G12" i="4" s="1"/>
  <c r="H12" i="4" s="1"/>
  <c r="I12" i="4" s="1"/>
  <c r="J12" i="4" s="1"/>
  <c r="K12" i="4" s="1"/>
  <c r="L12" i="4" s="1"/>
  <c r="F12" i="10"/>
  <c r="F12" i="9"/>
  <c r="F12" i="8"/>
  <c r="F12" i="7"/>
  <c r="F12" i="6"/>
  <c r="F12" i="5"/>
  <c r="I27" i="12"/>
  <c r="J27" i="12" s="1"/>
  <c r="K27" i="12"/>
  <c r="I8" i="12"/>
  <c r="I7" i="12"/>
  <c r="G8" i="12"/>
  <c r="G9" i="12" s="1"/>
  <c r="G10" i="12" s="1"/>
  <c r="G11" i="12" s="1"/>
  <c r="G12" i="12" s="1"/>
  <c r="G13" i="12" s="1"/>
  <c r="G14" i="12" s="1"/>
  <c r="G15" i="12" s="1"/>
  <c r="G16" i="12" s="1"/>
  <c r="G17" i="12" s="1"/>
  <c r="G18" i="12" s="1"/>
  <c r="G19" i="12" s="1"/>
  <c r="G20" i="12" s="1"/>
  <c r="G21" i="12" s="1"/>
  <c r="G22" i="12" s="1"/>
  <c r="G23" i="12" s="1"/>
  <c r="G24" i="12" s="1"/>
  <c r="G25" i="12" s="1"/>
  <c r="G26" i="12" s="1"/>
  <c r="G27" i="12" s="1"/>
  <c r="G8" i="13"/>
  <c r="G9" i="13" l="1"/>
  <c r="G8" i="14"/>
  <c r="C14" i="18"/>
  <c r="K13" i="18"/>
  <c r="J7" i="12"/>
  <c r="H19" i="4"/>
  <c r="I19" i="12"/>
  <c r="J19" i="12" s="1"/>
  <c r="I13" i="18"/>
  <c r="I13" i="15" s="1"/>
  <c r="G19" i="9"/>
  <c r="H19" i="9" s="1"/>
  <c r="I19" i="9" s="1"/>
  <c r="G12" i="9"/>
  <c r="H12" i="9" s="1"/>
  <c r="I12" i="9" s="1"/>
  <c r="J12" i="9" s="1"/>
  <c r="K12" i="9" s="1"/>
  <c r="L12" i="9" s="1"/>
  <c r="M12" i="9" s="1"/>
  <c r="N12" i="9" s="1"/>
  <c r="O12" i="9" s="1"/>
  <c r="P12" i="9" s="1"/>
  <c r="Q12" i="9" s="1"/>
  <c r="G19" i="7"/>
  <c r="H19" i="7" s="1"/>
  <c r="G12" i="7"/>
  <c r="H12" i="7" s="1"/>
  <c r="I12" i="7" s="1"/>
  <c r="J12" i="7" s="1"/>
  <c r="K12" i="7" s="1"/>
  <c r="L12" i="7" s="1"/>
  <c r="M12" i="7" s="1"/>
  <c r="N12" i="7" s="1"/>
  <c r="O12" i="7" s="1"/>
  <c r="P12" i="7" s="1"/>
  <c r="Q12" i="7" s="1"/>
  <c r="G19" i="5"/>
  <c r="G12" i="5"/>
  <c r="H12" i="5" s="1"/>
  <c r="I12" i="5" s="1"/>
  <c r="J12" i="5" s="1"/>
  <c r="K12" i="5" s="1"/>
  <c r="L12" i="5" s="1"/>
  <c r="M12" i="5" s="1"/>
  <c r="N12" i="5" s="1"/>
  <c r="O12" i="5" s="1"/>
  <c r="P12" i="5" s="1"/>
  <c r="Q12" i="5" s="1"/>
  <c r="G10" i="13" l="1"/>
  <c r="G9" i="14"/>
  <c r="C15" i="18"/>
  <c r="K14" i="18"/>
  <c r="S13" i="18"/>
  <c r="I19" i="4"/>
  <c r="J19" i="9"/>
  <c r="I19" i="7"/>
  <c r="H19" i="5"/>
  <c r="C16" i="18" l="1"/>
  <c r="K15" i="18"/>
  <c r="G11" i="13"/>
  <c r="G10" i="14"/>
  <c r="J19" i="4"/>
  <c r="K19" i="9"/>
  <c r="J19" i="7"/>
  <c r="I19" i="5"/>
  <c r="G12" i="13" l="1"/>
  <c r="G11" i="14"/>
  <c r="C17" i="18"/>
  <c r="K16" i="18"/>
  <c r="L19" i="9"/>
  <c r="K19" i="7"/>
  <c r="J19" i="5"/>
  <c r="G13" i="13" l="1"/>
  <c r="G12" i="14"/>
  <c r="C18" i="18"/>
  <c r="K17" i="18"/>
  <c r="M19" i="9"/>
  <c r="L19" i="7"/>
  <c r="K19" i="5"/>
  <c r="C19" i="18" l="1"/>
  <c r="K18" i="18"/>
  <c r="G14" i="13"/>
  <c r="G13" i="14"/>
  <c r="N19" i="9"/>
  <c r="M19" i="7"/>
  <c r="L19" i="5"/>
  <c r="G15" i="13" l="1"/>
  <c r="G14" i="14"/>
  <c r="C20" i="18"/>
  <c r="K19" i="18"/>
  <c r="O19" i="9"/>
  <c r="N19" i="7"/>
  <c r="M19" i="5"/>
  <c r="G16" i="13" l="1"/>
  <c r="G15" i="14"/>
  <c r="C21" i="18"/>
  <c r="K20" i="18"/>
  <c r="O19" i="7"/>
  <c r="N19" i="5"/>
  <c r="C22" i="18" l="1"/>
  <c r="K21" i="18"/>
  <c r="G17" i="13"/>
  <c r="G16" i="14"/>
  <c r="O19" i="5"/>
  <c r="C23" i="18" l="1"/>
  <c r="K22" i="18"/>
  <c r="G18" i="13"/>
  <c r="G17" i="14"/>
  <c r="G12" i="6"/>
  <c r="H12" i="6" s="1"/>
  <c r="I12" i="6" s="1"/>
  <c r="J12" i="6" s="1"/>
  <c r="K12" i="6" s="1"/>
  <c r="L12" i="6" s="1"/>
  <c r="M12" i="6" s="1"/>
  <c r="N12" i="6" s="1"/>
  <c r="O12" i="6" s="1"/>
  <c r="P12" i="6" s="1"/>
  <c r="Q12" i="6" s="1"/>
  <c r="R12" i="6" s="1"/>
  <c r="S12" i="6" s="1"/>
  <c r="T12" i="6" s="1"/>
  <c r="U12" i="6" s="1"/>
  <c r="V12" i="6" s="1"/>
  <c r="G12" i="8"/>
  <c r="H12" i="8" s="1"/>
  <c r="I12" i="8" s="1"/>
  <c r="J12" i="8" s="1"/>
  <c r="K12" i="8" s="1"/>
  <c r="L12" i="8" s="1"/>
  <c r="M12" i="8" s="1"/>
  <c r="N12" i="8" s="1"/>
  <c r="O12" i="8" s="1"/>
  <c r="P12" i="8" s="1"/>
  <c r="Q12" i="8" s="1"/>
  <c r="R12" i="8" s="1"/>
  <c r="S12" i="8" s="1"/>
  <c r="T12" i="8" s="1"/>
  <c r="U12" i="8" s="1"/>
  <c r="V12" i="8" s="1"/>
  <c r="G12" i="10"/>
  <c r="H12" i="10" s="1"/>
  <c r="I12" i="10" s="1"/>
  <c r="J12" i="10" s="1"/>
  <c r="K12" i="10" s="1"/>
  <c r="L12" i="10" s="1"/>
  <c r="M12" i="10" s="1"/>
  <c r="N12" i="10" s="1"/>
  <c r="O12" i="10" s="1"/>
  <c r="P12" i="10" s="1"/>
  <c r="Q12" i="10" s="1"/>
  <c r="R12" i="10" s="1"/>
  <c r="S12" i="10" s="1"/>
  <c r="T12" i="10" s="1"/>
  <c r="U12" i="10" s="1"/>
  <c r="V12" i="10" s="1"/>
  <c r="K26" i="12"/>
  <c r="I9" i="12"/>
  <c r="I10" i="12"/>
  <c r="I11" i="12"/>
  <c r="I12" i="12"/>
  <c r="I13" i="12"/>
  <c r="I14" i="12"/>
  <c r="I15" i="12"/>
  <c r="I16" i="12"/>
  <c r="I17" i="12"/>
  <c r="I18" i="12"/>
  <c r="I20" i="12"/>
  <c r="I21" i="12"/>
  <c r="I22" i="12"/>
  <c r="I23" i="12"/>
  <c r="I24" i="12"/>
  <c r="I25" i="12"/>
  <c r="I26" i="12"/>
  <c r="J26" i="12" s="1"/>
  <c r="G19" i="13" l="1"/>
  <c r="G18" i="14"/>
  <c r="C24" i="18"/>
  <c r="K23" i="18"/>
  <c r="E18" i="19"/>
  <c r="F18" i="19" s="1"/>
  <c r="G20" i="13" l="1"/>
  <c r="G19" i="14"/>
  <c r="C25" i="18"/>
  <c r="K24" i="18"/>
  <c r="C26" i="18" l="1"/>
  <c r="K25" i="18"/>
  <c r="G21" i="13"/>
  <c r="G20" i="14"/>
  <c r="F19" i="19"/>
  <c r="F20" i="19" s="1"/>
  <c r="F15" i="19"/>
  <c r="F14" i="19"/>
  <c r="G22" i="13" l="1"/>
  <c r="G21" i="14"/>
  <c r="C27" i="18"/>
  <c r="K26" i="18"/>
  <c r="P9" i="13"/>
  <c r="P10" i="13" s="1"/>
  <c r="P11" i="13" s="1"/>
  <c r="P12" i="13" s="1"/>
  <c r="P13" i="13" s="1"/>
  <c r="P14" i="13" s="1"/>
  <c r="P15" i="13" s="1"/>
  <c r="P16" i="13" s="1"/>
  <c r="P17" i="13" s="1"/>
  <c r="P18" i="13" s="1"/>
  <c r="P19" i="13" s="1"/>
  <c r="P20" i="13" s="1"/>
  <c r="P21" i="13" s="1"/>
  <c r="P22" i="13" s="1"/>
  <c r="P23" i="13" s="1"/>
  <c r="P24" i="13" s="1"/>
  <c r="P25" i="13" s="1"/>
  <c r="P26" i="13" s="1"/>
  <c r="P27" i="13" s="1"/>
  <c r="P8" i="14"/>
  <c r="P9" i="14" s="1"/>
  <c r="P10" i="14" s="1"/>
  <c r="P11" i="14" s="1"/>
  <c r="P12" i="14" s="1"/>
  <c r="P13" i="14" s="1"/>
  <c r="P14" i="14" s="1"/>
  <c r="P15" i="14" s="1"/>
  <c r="P16" i="14" s="1"/>
  <c r="P17" i="14" s="1"/>
  <c r="P18" i="14" s="1"/>
  <c r="P19" i="14" s="1"/>
  <c r="P20" i="14" s="1"/>
  <c r="P21" i="14" s="1"/>
  <c r="P22" i="14" s="1"/>
  <c r="P23" i="14" s="1"/>
  <c r="P24" i="14" s="1"/>
  <c r="P25" i="14" s="1"/>
  <c r="P26" i="14" s="1"/>
  <c r="P8" i="15"/>
  <c r="P9" i="15" s="1"/>
  <c r="P10" i="15" s="1"/>
  <c r="P11" i="15" s="1"/>
  <c r="P12" i="15" s="1"/>
  <c r="F16" i="19"/>
  <c r="E8" i="14"/>
  <c r="E8" i="15"/>
  <c r="X19" i="7"/>
  <c r="Y19" i="7" s="1"/>
  <c r="X19" i="5"/>
  <c r="Y19" i="5" s="1"/>
  <c r="X19" i="9"/>
  <c r="Y19" i="9" s="1"/>
  <c r="X19" i="4"/>
  <c r="Y19" i="4" s="1"/>
  <c r="C28" i="18" l="1"/>
  <c r="K28" i="18" s="1"/>
  <c r="K27" i="18"/>
  <c r="G23" i="13"/>
  <c r="G22" i="14"/>
  <c r="P13" i="15"/>
  <c r="P14" i="15" s="1"/>
  <c r="P15" i="15" s="1"/>
  <c r="P16" i="15" s="1"/>
  <c r="P17" i="15" s="1"/>
  <c r="P18" i="15" s="1"/>
  <c r="P19" i="15" s="1"/>
  <c r="P20" i="15" s="1"/>
  <c r="P21" i="15" s="1"/>
  <c r="P22" i="15" s="1"/>
  <c r="P23" i="15" s="1"/>
  <c r="P24" i="15" s="1"/>
  <c r="P25" i="15" s="1"/>
  <c r="P26" i="15" s="1"/>
  <c r="P27" i="15" s="1"/>
  <c r="P27" i="14"/>
  <c r="J20" i="4"/>
  <c r="G20" i="4"/>
  <c r="H20" i="4"/>
  <c r="I20" i="4"/>
  <c r="I20" i="9"/>
  <c r="M20" i="9"/>
  <c r="F20" i="9"/>
  <c r="J20" i="9"/>
  <c r="N20" i="9"/>
  <c r="G20" i="9"/>
  <c r="K20" i="9"/>
  <c r="O20" i="9"/>
  <c r="L20" i="9"/>
  <c r="H20" i="9"/>
  <c r="I20" i="5"/>
  <c r="M20" i="5"/>
  <c r="F20" i="5"/>
  <c r="J20" i="5"/>
  <c r="N20" i="5"/>
  <c r="G20" i="5"/>
  <c r="K20" i="5"/>
  <c r="O20" i="5"/>
  <c r="H20" i="5"/>
  <c r="L20" i="5"/>
  <c r="H20" i="7"/>
  <c r="L20" i="7"/>
  <c r="I20" i="7"/>
  <c r="M20" i="7"/>
  <c r="F20" i="7"/>
  <c r="J20" i="7"/>
  <c r="N20" i="7"/>
  <c r="G20" i="7"/>
  <c r="K20" i="7"/>
  <c r="O20" i="7"/>
  <c r="G12" i="18"/>
  <c r="I12" i="13" s="1"/>
  <c r="G24" i="13" l="1"/>
  <c r="G23" i="14"/>
  <c r="X20" i="9"/>
  <c r="Y20" i="9" s="1"/>
  <c r="O12" i="18"/>
  <c r="X20" i="5"/>
  <c r="Y20" i="5" s="1"/>
  <c r="X20" i="7"/>
  <c r="Y20" i="7" s="1"/>
  <c r="X20" i="4"/>
  <c r="Y20" i="4" s="1"/>
  <c r="G8" i="18"/>
  <c r="O8" i="18" s="1"/>
  <c r="G9" i="18"/>
  <c r="I9" i="13" s="1"/>
  <c r="G10" i="18"/>
  <c r="G11" i="18"/>
  <c r="I11" i="13" s="1"/>
  <c r="Q11" i="13" s="1"/>
  <c r="G13" i="18"/>
  <c r="I13" i="13" s="1"/>
  <c r="G14" i="18"/>
  <c r="I14" i="13" s="1"/>
  <c r="G15" i="18"/>
  <c r="I15" i="13" s="1"/>
  <c r="G16" i="18"/>
  <c r="I16" i="13" s="1"/>
  <c r="G17" i="18"/>
  <c r="I17" i="13" s="1"/>
  <c r="G18" i="18"/>
  <c r="G19" i="18"/>
  <c r="I19" i="13" s="1"/>
  <c r="G20" i="18"/>
  <c r="I20" i="13" s="1"/>
  <c r="G21" i="18"/>
  <c r="I21" i="13" s="1"/>
  <c r="G22" i="18"/>
  <c r="G23" i="18"/>
  <c r="I23" i="13" s="1"/>
  <c r="G24" i="18"/>
  <c r="I24" i="13" s="1"/>
  <c r="G25" i="18"/>
  <c r="I25" i="13" s="1"/>
  <c r="G26" i="18"/>
  <c r="G27" i="18"/>
  <c r="I27" i="13" s="1"/>
  <c r="I8" i="18"/>
  <c r="I9" i="18"/>
  <c r="I9" i="15" s="1"/>
  <c r="I10" i="18"/>
  <c r="I10" i="15" s="1"/>
  <c r="I11" i="18"/>
  <c r="I11" i="15" s="1"/>
  <c r="I12" i="18"/>
  <c r="I12" i="15" s="1"/>
  <c r="I14" i="18"/>
  <c r="I14" i="15" s="1"/>
  <c r="I15" i="18"/>
  <c r="I15" i="15" s="1"/>
  <c r="I16" i="18"/>
  <c r="I16" i="15" s="1"/>
  <c r="I17" i="18"/>
  <c r="I17" i="15" s="1"/>
  <c r="I18" i="18"/>
  <c r="I18" i="15" s="1"/>
  <c r="I19" i="18"/>
  <c r="I19" i="15" s="1"/>
  <c r="I20" i="18"/>
  <c r="I20" i="15" s="1"/>
  <c r="I21" i="18"/>
  <c r="I21" i="15" s="1"/>
  <c r="I22" i="18"/>
  <c r="I22" i="15" s="1"/>
  <c r="I23" i="18"/>
  <c r="I23" i="15" s="1"/>
  <c r="I24" i="18"/>
  <c r="I24" i="15" s="1"/>
  <c r="I25" i="18"/>
  <c r="I25" i="15" s="1"/>
  <c r="I26" i="18"/>
  <c r="I26" i="15" s="1"/>
  <c r="I27" i="18"/>
  <c r="I27" i="15" s="1"/>
  <c r="H9" i="18"/>
  <c r="I9" i="14" s="1"/>
  <c r="H10" i="18"/>
  <c r="I10" i="14" s="1"/>
  <c r="H11" i="18"/>
  <c r="I11" i="14" s="1"/>
  <c r="H12" i="18"/>
  <c r="I12" i="14" s="1"/>
  <c r="H13" i="18"/>
  <c r="I13" i="14" s="1"/>
  <c r="H14" i="18"/>
  <c r="I14" i="14" s="1"/>
  <c r="H15" i="18"/>
  <c r="I15" i="14" s="1"/>
  <c r="H16" i="18"/>
  <c r="I16" i="14" s="1"/>
  <c r="H17" i="18"/>
  <c r="I17" i="14" s="1"/>
  <c r="H18" i="18"/>
  <c r="I18" i="14" s="1"/>
  <c r="H19" i="18"/>
  <c r="I19" i="14" s="1"/>
  <c r="H20" i="18"/>
  <c r="I20" i="14" s="1"/>
  <c r="H21" i="18"/>
  <c r="I21" i="14" s="1"/>
  <c r="H22" i="18"/>
  <c r="I22" i="14" s="1"/>
  <c r="H23" i="18"/>
  <c r="I23" i="14" s="1"/>
  <c r="H24" i="18"/>
  <c r="I24" i="14" s="1"/>
  <c r="H25" i="18"/>
  <c r="I25" i="14" s="1"/>
  <c r="H26" i="18"/>
  <c r="I26" i="14" s="1"/>
  <c r="H27" i="18"/>
  <c r="I27" i="14" s="1"/>
  <c r="H8" i="18"/>
  <c r="I8" i="14" s="1"/>
  <c r="J12" i="15" l="1"/>
  <c r="Q12" i="15"/>
  <c r="R12" i="15" s="1"/>
  <c r="I8" i="15"/>
  <c r="Q8" i="15" s="1"/>
  <c r="R8" i="15" s="1"/>
  <c r="S8" i="18"/>
  <c r="Q7" i="13"/>
  <c r="I8" i="13"/>
  <c r="Q8" i="13" s="1"/>
  <c r="G25" i="13"/>
  <c r="G24" i="14"/>
  <c r="O18" i="18"/>
  <c r="I18" i="13"/>
  <c r="Q18" i="13" s="1"/>
  <c r="O10" i="18"/>
  <c r="I10" i="13"/>
  <c r="Q10" i="13" s="1"/>
  <c r="O22" i="18"/>
  <c r="I22" i="13"/>
  <c r="O26" i="18"/>
  <c r="I26" i="13"/>
  <c r="Q26" i="13" s="1"/>
  <c r="Q25" i="15"/>
  <c r="R25" i="15" s="1"/>
  <c r="J25" i="15"/>
  <c r="Q21" i="15"/>
  <c r="R21" i="15" s="1"/>
  <c r="J21" i="15"/>
  <c r="Q17" i="15"/>
  <c r="R17" i="15" s="1"/>
  <c r="J17" i="15"/>
  <c r="Q13" i="15"/>
  <c r="R13" i="15" s="1"/>
  <c r="J13" i="15"/>
  <c r="Q24" i="15"/>
  <c r="R24" i="15" s="1"/>
  <c r="J24" i="15"/>
  <c r="Q20" i="15"/>
  <c r="R20" i="15" s="1"/>
  <c r="J20" i="15"/>
  <c r="Q16" i="15"/>
  <c r="R16" i="15" s="1"/>
  <c r="J16" i="15"/>
  <c r="Q23" i="15"/>
  <c r="R23" i="15" s="1"/>
  <c r="J23" i="15"/>
  <c r="Q19" i="15"/>
  <c r="R19" i="15" s="1"/>
  <c r="J19" i="15"/>
  <c r="Q15" i="15"/>
  <c r="R15" i="15" s="1"/>
  <c r="J15" i="15"/>
  <c r="Q26" i="15"/>
  <c r="R26" i="15" s="1"/>
  <c r="J26" i="15"/>
  <c r="Q22" i="15"/>
  <c r="R22" i="15" s="1"/>
  <c r="J22" i="15"/>
  <c r="Q18" i="15"/>
  <c r="R18" i="15" s="1"/>
  <c r="J18" i="15"/>
  <c r="Q14" i="15"/>
  <c r="R14" i="15" s="1"/>
  <c r="J14" i="15"/>
  <c r="J24" i="14"/>
  <c r="Q24" i="14"/>
  <c r="R24" i="14" s="1"/>
  <c r="J23" i="14"/>
  <c r="Q23" i="14"/>
  <c r="R23" i="14" s="1"/>
  <c r="J19" i="14"/>
  <c r="Q19" i="14"/>
  <c r="R19" i="14" s="1"/>
  <c r="J15" i="14"/>
  <c r="Q15" i="14"/>
  <c r="R15" i="14" s="1"/>
  <c r="J16" i="14"/>
  <c r="Q16" i="14"/>
  <c r="R16" i="14" s="1"/>
  <c r="J22" i="14"/>
  <c r="Q22" i="14"/>
  <c r="R22" i="14" s="1"/>
  <c r="J14" i="14"/>
  <c r="Q14" i="14"/>
  <c r="R14" i="14" s="1"/>
  <c r="J20" i="14"/>
  <c r="Q20" i="14"/>
  <c r="R20" i="14" s="1"/>
  <c r="J26" i="14"/>
  <c r="Q26" i="14"/>
  <c r="R26" i="14" s="1"/>
  <c r="J18" i="14"/>
  <c r="Q18" i="14"/>
  <c r="R18" i="14" s="1"/>
  <c r="J25" i="14"/>
  <c r="Q25" i="14"/>
  <c r="R25" i="14" s="1"/>
  <c r="J21" i="14"/>
  <c r="Q21" i="14"/>
  <c r="R21" i="14" s="1"/>
  <c r="J17" i="14"/>
  <c r="Q17" i="14"/>
  <c r="R17" i="14" s="1"/>
  <c r="J13" i="14"/>
  <c r="Q13" i="14"/>
  <c r="R13" i="14" s="1"/>
  <c r="J12" i="14"/>
  <c r="Q12" i="14"/>
  <c r="R12" i="14" s="1"/>
  <c r="J11" i="14"/>
  <c r="Q11" i="14"/>
  <c r="R11" i="14" s="1"/>
  <c r="J11" i="15"/>
  <c r="Q11" i="15"/>
  <c r="R11" i="15" s="1"/>
  <c r="J10" i="15"/>
  <c r="Q10" i="15"/>
  <c r="R10" i="15" s="1"/>
  <c r="J10" i="14"/>
  <c r="Q10" i="14"/>
  <c r="R10" i="14" s="1"/>
  <c r="J9" i="15"/>
  <c r="Q9" i="15"/>
  <c r="R9" i="15" s="1"/>
  <c r="J9" i="14"/>
  <c r="Q9" i="14"/>
  <c r="R9" i="14" s="1"/>
  <c r="J8" i="14"/>
  <c r="Q8" i="14"/>
  <c r="R8" i="14" s="1"/>
  <c r="J8" i="15"/>
  <c r="J7" i="15"/>
  <c r="K7" i="15" s="1"/>
  <c r="Q7" i="15"/>
  <c r="R7" i="15" s="1"/>
  <c r="S7" i="15" s="1"/>
  <c r="T7" i="15" s="1"/>
  <c r="Q7" i="14"/>
  <c r="R7" i="14" s="1"/>
  <c r="S7" i="14" s="1"/>
  <c r="T7" i="14" s="1"/>
  <c r="U7" i="14" s="1"/>
  <c r="K7" i="14"/>
  <c r="L7" i="14" s="1"/>
  <c r="Q19" i="18"/>
  <c r="S26" i="18"/>
  <c r="S14" i="18"/>
  <c r="O13" i="18"/>
  <c r="Q26" i="18"/>
  <c r="Q18" i="18"/>
  <c r="Q10" i="18"/>
  <c r="S21" i="18"/>
  <c r="S17" i="18"/>
  <c r="S12" i="18"/>
  <c r="O24" i="18"/>
  <c r="O20" i="18"/>
  <c r="O16" i="18"/>
  <c r="O11" i="18"/>
  <c r="Q23" i="18"/>
  <c r="Q11" i="18"/>
  <c r="S18" i="18"/>
  <c r="O25" i="18"/>
  <c r="O17" i="18"/>
  <c r="Q22" i="18"/>
  <c r="Q14" i="18"/>
  <c r="S25" i="18"/>
  <c r="Q25" i="18"/>
  <c r="Q21" i="18"/>
  <c r="Q17" i="18"/>
  <c r="Q13" i="18"/>
  <c r="Q9" i="18"/>
  <c r="S24" i="18"/>
  <c r="S20" i="18"/>
  <c r="S16" i="18"/>
  <c r="S11" i="18"/>
  <c r="O27" i="18"/>
  <c r="O23" i="18"/>
  <c r="O19" i="18"/>
  <c r="O15" i="18"/>
  <c r="Q27" i="18"/>
  <c r="Q15" i="18"/>
  <c r="S22" i="18"/>
  <c r="S9" i="18"/>
  <c r="O21" i="18"/>
  <c r="Q8" i="18"/>
  <c r="Q24" i="18"/>
  <c r="Q20" i="18"/>
  <c r="Q16" i="18"/>
  <c r="Q12" i="18"/>
  <c r="S27" i="18"/>
  <c r="S23" i="18"/>
  <c r="S19" i="18"/>
  <c r="S15" i="18"/>
  <c r="S10" i="18"/>
  <c r="O14" i="18"/>
  <c r="O9" i="18"/>
  <c r="G28" i="18"/>
  <c r="O28" i="18" s="1"/>
  <c r="Q16" i="13"/>
  <c r="Q24" i="13"/>
  <c r="Q14" i="13"/>
  <c r="Q9" i="13"/>
  <c r="Q25" i="13"/>
  <c r="Q15" i="13"/>
  <c r="I28" i="18"/>
  <c r="Q21" i="13"/>
  <c r="Q13" i="13"/>
  <c r="Q19" i="13"/>
  <c r="Q17" i="13"/>
  <c r="H28" i="18"/>
  <c r="Q23" i="13"/>
  <c r="Q22" i="13"/>
  <c r="Q20" i="13"/>
  <c r="Q12" i="13"/>
  <c r="E8" i="13"/>
  <c r="J7" i="13" s="1"/>
  <c r="E7" i="12"/>
  <c r="N11" i="12" s="1"/>
  <c r="D5" i="11"/>
  <c r="X7" i="14" l="1"/>
  <c r="Y7" i="14" s="1"/>
  <c r="L7" i="15"/>
  <c r="G26" i="13"/>
  <c r="G25" i="14"/>
  <c r="J27" i="15"/>
  <c r="Q27" i="15"/>
  <c r="R27" i="15" s="1"/>
  <c r="J27" i="14"/>
  <c r="Q27" i="14"/>
  <c r="R27" i="14" s="1"/>
  <c r="V7" i="14"/>
  <c r="S8" i="14"/>
  <c r="T8" i="14" s="1"/>
  <c r="U7" i="15"/>
  <c r="V7" i="15" s="1"/>
  <c r="S8" i="15"/>
  <c r="T8" i="15" s="1"/>
  <c r="K8" i="14"/>
  <c r="L8" i="14" s="1"/>
  <c r="K8" i="15"/>
  <c r="L8" i="15" s="1"/>
  <c r="R8" i="13"/>
  <c r="R12" i="13"/>
  <c r="R16" i="13"/>
  <c r="R20" i="13"/>
  <c r="R24" i="13"/>
  <c r="R9" i="13"/>
  <c r="R13" i="13"/>
  <c r="R17" i="13"/>
  <c r="R21" i="13"/>
  <c r="R25" i="13"/>
  <c r="R10" i="13"/>
  <c r="R14" i="13"/>
  <c r="R18" i="13"/>
  <c r="R22" i="13"/>
  <c r="R26" i="13"/>
  <c r="R11" i="13"/>
  <c r="R15" i="13"/>
  <c r="R19" i="13"/>
  <c r="R23" i="13"/>
  <c r="R7" i="13"/>
  <c r="S7" i="13" s="1"/>
  <c r="T7" i="13" s="1"/>
  <c r="U7" i="13" s="1"/>
  <c r="J8" i="13"/>
  <c r="J12" i="13"/>
  <c r="J16" i="13"/>
  <c r="J20" i="13"/>
  <c r="J24" i="13"/>
  <c r="J14" i="13"/>
  <c r="J26" i="13"/>
  <c r="J15" i="13"/>
  <c r="J19" i="13"/>
  <c r="J9" i="13"/>
  <c r="J13" i="13"/>
  <c r="J17" i="13"/>
  <c r="J21" i="13"/>
  <c r="J25" i="13"/>
  <c r="J10" i="13"/>
  <c r="J18" i="13"/>
  <c r="J22" i="13"/>
  <c r="J11" i="13"/>
  <c r="J23" i="13"/>
  <c r="Q28" i="18"/>
  <c r="S28" i="18"/>
  <c r="Q27" i="13"/>
  <c r="R27" i="13" s="1"/>
  <c r="N26" i="12"/>
  <c r="N27" i="12"/>
  <c r="B2" i="11"/>
  <c r="B4" i="11"/>
  <c r="G27" i="13" l="1"/>
  <c r="G27" i="14" s="1"/>
  <c r="G26" i="14"/>
  <c r="N7" i="14"/>
  <c r="K9" i="15"/>
  <c r="L9" i="15" s="1"/>
  <c r="M8" i="15"/>
  <c r="U8" i="15"/>
  <c r="V8" i="15" s="1"/>
  <c r="S9" i="15"/>
  <c r="T9" i="15" s="1"/>
  <c r="N7" i="15"/>
  <c r="X7" i="15"/>
  <c r="Y7" i="15" s="1"/>
  <c r="M8" i="14"/>
  <c r="K9" i="14"/>
  <c r="L9" i="14" s="1"/>
  <c r="U8" i="14"/>
  <c r="V8" i="14" s="1"/>
  <c r="S9" i="14"/>
  <c r="T9" i="14" s="1"/>
  <c r="S8" i="13"/>
  <c r="T8" i="13" s="1"/>
  <c r="J27" i="13"/>
  <c r="G19" i="10"/>
  <c r="G19" i="8"/>
  <c r="U9" i="14" l="1"/>
  <c r="V9" i="14" s="1"/>
  <c r="S10" i="14"/>
  <c r="T10" i="14" s="1"/>
  <c r="N8" i="15"/>
  <c r="X8" i="15"/>
  <c r="Y8" i="15" s="1"/>
  <c r="N8" i="14"/>
  <c r="X8" i="14"/>
  <c r="Y8" i="14" s="1"/>
  <c r="K10" i="15"/>
  <c r="L10" i="15" s="1"/>
  <c r="M9" i="15"/>
  <c r="K10" i="14"/>
  <c r="L10" i="14" s="1"/>
  <c r="M9" i="14"/>
  <c r="U9" i="15"/>
  <c r="V9" i="15" s="1"/>
  <c r="S10" i="15"/>
  <c r="T10" i="15" s="1"/>
  <c r="V7" i="13"/>
  <c r="S9" i="13"/>
  <c r="T9" i="13" s="1"/>
  <c r="H19" i="8"/>
  <c r="H19" i="10"/>
  <c r="I19" i="8"/>
  <c r="M10" i="14" l="1"/>
  <c r="K11" i="14"/>
  <c r="L11" i="14" s="1"/>
  <c r="U10" i="15"/>
  <c r="V10" i="15" s="1"/>
  <c r="S11" i="15"/>
  <c r="T11" i="15" s="1"/>
  <c r="N9" i="15"/>
  <c r="X9" i="15"/>
  <c r="Y9" i="15" s="1"/>
  <c r="M10" i="15"/>
  <c r="K11" i="15"/>
  <c r="L11" i="15" s="1"/>
  <c r="N9" i="14"/>
  <c r="X9" i="14"/>
  <c r="Y9" i="14" s="1"/>
  <c r="U10" i="14"/>
  <c r="V10" i="14" s="1"/>
  <c r="S11" i="14"/>
  <c r="T11" i="14" s="1"/>
  <c r="U8" i="13"/>
  <c r="V8" i="13" s="1"/>
  <c r="S10" i="13"/>
  <c r="T10" i="13" s="1"/>
  <c r="I19" i="10"/>
  <c r="J19" i="8"/>
  <c r="U11" i="14" l="1"/>
  <c r="V11" i="14" s="1"/>
  <c r="S12" i="14"/>
  <c r="T12" i="14" s="1"/>
  <c r="M11" i="15"/>
  <c r="K12" i="15"/>
  <c r="L12" i="15" s="1"/>
  <c r="U11" i="15"/>
  <c r="V11" i="15" s="1"/>
  <c r="S12" i="15"/>
  <c r="T12" i="15" s="1"/>
  <c r="N10" i="15"/>
  <c r="X10" i="15"/>
  <c r="Y10" i="15" s="1"/>
  <c r="K12" i="14"/>
  <c r="L12" i="14" s="1"/>
  <c r="M11" i="14"/>
  <c r="N10" i="14"/>
  <c r="X10" i="14"/>
  <c r="Y10" i="14" s="1"/>
  <c r="U9" i="13"/>
  <c r="V9" i="13" s="1"/>
  <c r="S11" i="13"/>
  <c r="T11" i="13" s="1"/>
  <c r="J19" i="10"/>
  <c r="K19" i="8"/>
  <c r="M12" i="14" l="1"/>
  <c r="K13" i="14"/>
  <c r="L13" i="14" s="1"/>
  <c r="K13" i="15"/>
  <c r="L13" i="15" s="1"/>
  <c r="M12" i="15"/>
  <c r="N11" i="15"/>
  <c r="X11" i="15"/>
  <c r="Y11" i="15" s="1"/>
  <c r="X11" i="14"/>
  <c r="Y11" i="14" s="1"/>
  <c r="N11" i="14"/>
  <c r="U12" i="15"/>
  <c r="V12" i="15" s="1"/>
  <c r="S13" i="15"/>
  <c r="T13" i="15" s="1"/>
  <c r="U12" i="14"/>
  <c r="V12" i="14" s="1"/>
  <c r="S13" i="14"/>
  <c r="T13" i="14" s="1"/>
  <c r="U10" i="13"/>
  <c r="V10" i="13" s="1"/>
  <c r="S12" i="13"/>
  <c r="T12" i="13" s="1"/>
  <c r="L19" i="8"/>
  <c r="K19" i="10"/>
  <c r="N12" i="15" l="1"/>
  <c r="X12" i="15"/>
  <c r="Y12" i="15" s="1"/>
  <c r="M13" i="15"/>
  <c r="K14" i="15"/>
  <c r="L14" i="15" s="1"/>
  <c r="U13" i="14"/>
  <c r="V13" i="14" s="1"/>
  <c r="S14" i="14"/>
  <c r="T14" i="14" s="1"/>
  <c r="U13" i="15"/>
  <c r="V13" i="15" s="1"/>
  <c r="S14" i="15"/>
  <c r="T14" i="15" s="1"/>
  <c r="K14" i="14"/>
  <c r="L14" i="14" s="1"/>
  <c r="M13" i="14"/>
  <c r="X12" i="14"/>
  <c r="Y12" i="14" s="1"/>
  <c r="N12" i="14"/>
  <c r="U11" i="13"/>
  <c r="S13" i="13"/>
  <c r="T13" i="13" s="1"/>
  <c r="L19" i="10"/>
  <c r="M19" i="8"/>
  <c r="V11" i="13" l="1"/>
  <c r="U14" i="15"/>
  <c r="V14" i="15" s="1"/>
  <c r="S15" i="15"/>
  <c r="T15" i="15" s="1"/>
  <c r="K15" i="15"/>
  <c r="L15" i="15" s="1"/>
  <c r="M14" i="15"/>
  <c r="X13" i="15"/>
  <c r="Y13" i="15" s="1"/>
  <c r="N13" i="15"/>
  <c r="N13" i="14"/>
  <c r="X13" i="14"/>
  <c r="Y13" i="14" s="1"/>
  <c r="U14" i="14"/>
  <c r="V14" i="14" s="1"/>
  <c r="S15" i="14"/>
  <c r="T15" i="14" s="1"/>
  <c r="K15" i="14"/>
  <c r="L15" i="14" s="1"/>
  <c r="M14" i="14"/>
  <c r="U12" i="13"/>
  <c r="V12" i="13" s="1"/>
  <c r="S14" i="13"/>
  <c r="T14" i="13" s="1"/>
  <c r="M19" i="10"/>
  <c r="N19" i="8"/>
  <c r="X14" i="15" l="1"/>
  <c r="Y14" i="15" s="1"/>
  <c r="N14" i="15"/>
  <c r="M15" i="15"/>
  <c r="K16" i="15"/>
  <c r="L16" i="15" s="1"/>
  <c r="N14" i="14"/>
  <c r="X14" i="14"/>
  <c r="Y14" i="14" s="1"/>
  <c r="M15" i="14"/>
  <c r="K16" i="14"/>
  <c r="L16" i="14" s="1"/>
  <c r="U15" i="14"/>
  <c r="V15" i="14" s="1"/>
  <c r="S16" i="14"/>
  <c r="T16" i="14" s="1"/>
  <c r="U15" i="15"/>
  <c r="V15" i="15" s="1"/>
  <c r="S16" i="15"/>
  <c r="T16" i="15" s="1"/>
  <c r="U13" i="13"/>
  <c r="V13" i="13" s="1"/>
  <c r="S15" i="13"/>
  <c r="T15" i="13" s="1"/>
  <c r="N19" i="10"/>
  <c r="O19" i="8"/>
  <c r="U16" i="15" l="1"/>
  <c r="V16" i="15" s="1"/>
  <c r="S17" i="15"/>
  <c r="T17" i="15" s="1"/>
  <c r="M16" i="14"/>
  <c r="K17" i="14"/>
  <c r="L17" i="14" s="1"/>
  <c r="K17" i="15"/>
  <c r="L17" i="15" s="1"/>
  <c r="M16" i="15"/>
  <c r="N15" i="15"/>
  <c r="X15" i="15"/>
  <c r="Y15" i="15" s="1"/>
  <c r="N15" i="14"/>
  <c r="X15" i="14"/>
  <c r="Y15" i="14" s="1"/>
  <c r="U16" i="14"/>
  <c r="V16" i="14" s="1"/>
  <c r="S17" i="14"/>
  <c r="T17" i="14" s="1"/>
  <c r="U14" i="13"/>
  <c r="V14" i="13" s="1"/>
  <c r="S16" i="13"/>
  <c r="T16" i="13" s="1"/>
  <c r="O19" i="10"/>
  <c r="P19" i="8"/>
  <c r="U17" i="14" l="1"/>
  <c r="V17" i="14" s="1"/>
  <c r="S18" i="14"/>
  <c r="T18" i="14" s="1"/>
  <c r="M17" i="14"/>
  <c r="K18" i="14"/>
  <c r="L18" i="14" s="1"/>
  <c r="N16" i="14"/>
  <c r="X16" i="14"/>
  <c r="Y16" i="14" s="1"/>
  <c r="I5" i="7" s="1"/>
  <c r="X16" i="15"/>
  <c r="Y16" i="15" s="1"/>
  <c r="I5" i="9" s="1"/>
  <c r="N16" i="15"/>
  <c r="U17" i="15"/>
  <c r="V17" i="15" s="1"/>
  <c r="S18" i="15"/>
  <c r="T18" i="15" s="1"/>
  <c r="K18" i="15"/>
  <c r="L18" i="15" s="1"/>
  <c r="M17" i="15"/>
  <c r="U15" i="13"/>
  <c r="V15" i="13" s="1"/>
  <c r="S17" i="13"/>
  <c r="T17" i="13" s="1"/>
  <c r="P19" i="10"/>
  <c r="Q19" i="8"/>
  <c r="J25" i="12"/>
  <c r="K24" i="12"/>
  <c r="K25" i="12"/>
  <c r="N17" i="15" l="1"/>
  <c r="X17" i="15"/>
  <c r="Y17" i="15" s="1"/>
  <c r="K19" i="14"/>
  <c r="L19" i="14" s="1"/>
  <c r="M18" i="14"/>
  <c r="N17" i="14"/>
  <c r="X17" i="14"/>
  <c r="Y17" i="14" s="1"/>
  <c r="K19" i="15"/>
  <c r="L19" i="15" s="1"/>
  <c r="M18" i="15"/>
  <c r="U18" i="15"/>
  <c r="V18" i="15" s="1"/>
  <c r="S19" i="15"/>
  <c r="T19" i="15" s="1"/>
  <c r="U18" i="14"/>
  <c r="V18" i="14" s="1"/>
  <c r="S19" i="14"/>
  <c r="T19" i="14" s="1"/>
  <c r="U16" i="13"/>
  <c r="V16" i="13" s="1"/>
  <c r="S18" i="13"/>
  <c r="T18" i="13" s="1"/>
  <c r="Q19" i="10"/>
  <c r="R19" i="8"/>
  <c r="N25" i="12"/>
  <c r="J24" i="12"/>
  <c r="X18" i="14" l="1"/>
  <c r="Y18" i="14" s="1"/>
  <c r="N18" i="14"/>
  <c r="N18" i="15"/>
  <c r="X18" i="15"/>
  <c r="Y18" i="15" s="1"/>
  <c r="M19" i="14"/>
  <c r="K20" i="14"/>
  <c r="L20" i="14" s="1"/>
  <c r="U19" i="14"/>
  <c r="V19" i="14" s="1"/>
  <c r="S20" i="14"/>
  <c r="T20" i="14" s="1"/>
  <c r="U19" i="15"/>
  <c r="V19" i="15" s="1"/>
  <c r="S20" i="15"/>
  <c r="T20" i="15" s="1"/>
  <c r="M19" i="15"/>
  <c r="K20" i="15"/>
  <c r="L20" i="15" s="1"/>
  <c r="U17" i="13"/>
  <c r="V17" i="13" s="1"/>
  <c r="S19" i="13"/>
  <c r="T19" i="13" s="1"/>
  <c r="R19" i="10"/>
  <c r="S19" i="8"/>
  <c r="N24" i="12"/>
  <c r="J23" i="12"/>
  <c r="J20" i="12"/>
  <c r="J16" i="12"/>
  <c r="J14" i="12"/>
  <c r="J12" i="12"/>
  <c r="J11" i="12"/>
  <c r="J8" i="12"/>
  <c r="J9" i="12"/>
  <c r="J17" i="12"/>
  <c r="K8" i="12"/>
  <c r="K9" i="12"/>
  <c r="K10" i="12"/>
  <c r="K11" i="12"/>
  <c r="K12" i="12"/>
  <c r="J13" i="12"/>
  <c r="K13" i="12"/>
  <c r="K14" i="12"/>
  <c r="K15" i="12"/>
  <c r="K16" i="12"/>
  <c r="K17" i="12"/>
  <c r="K18" i="12"/>
  <c r="K19" i="12"/>
  <c r="K20" i="12"/>
  <c r="K21" i="12"/>
  <c r="K22" i="12"/>
  <c r="K23" i="12"/>
  <c r="G19" i="6"/>
  <c r="J18" i="12"/>
  <c r="J21" i="12"/>
  <c r="K21" i="15" l="1"/>
  <c r="L21" i="15" s="1"/>
  <c r="M20" i="15"/>
  <c r="U20" i="14"/>
  <c r="V20" i="14" s="1"/>
  <c r="S21" i="14"/>
  <c r="T21" i="14" s="1"/>
  <c r="X19" i="15"/>
  <c r="Y19" i="15" s="1"/>
  <c r="N19" i="15"/>
  <c r="U20" i="15"/>
  <c r="V20" i="15" s="1"/>
  <c r="S21" i="15"/>
  <c r="T21" i="15" s="1"/>
  <c r="M20" i="14"/>
  <c r="K21" i="14"/>
  <c r="L21" i="14" s="1"/>
  <c r="N19" i="14"/>
  <c r="X19" i="14"/>
  <c r="Y19" i="14" s="1"/>
  <c r="U18" i="13"/>
  <c r="V18" i="13" s="1"/>
  <c r="S20" i="13"/>
  <c r="T20" i="13" s="1"/>
  <c r="N12" i="12"/>
  <c r="N14" i="12"/>
  <c r="N21" i="12"/>
  <c r="H19" i="6"/>
  <c r="I19" i="6" s="1"/>
  <c r="J19" i="6" s="1"/>
  <c r="K19" i="6" s="1"/>
  <c r="S19" i="10"/>
  <c r="T19" i="8"/>
  <c r="K7" i="13"/>
  <c r="L7" i="13" s="1"/>
  <c r="N17" i="12"/>
  <c r="N13" i="12"/>
  <c r="N19" i="12"/>
  <c r="N9" i="12"/>
  <c r="J10" i="12"/>
  <c r="J15" i="12"/>
  <c r="O7" i="12"/>
  <c r="N23" i="12"/>
  <c r="N8" i="12"/>
  <c r="N20" i="12"/>
  <c r="N18" i="12"/>
  <c r="J22" i="12"/>
  <c r="N16" i="12"/>
  <c r="K22" i="15" l="1"/>
  <c r="L22" i="15" s="1"/>
  <c r="M21" i="15"/>
  <c r="U21" i="15"/>
  <c r="V21" i="15" s="1"/>
  <c r="S22" i="15"/>
  <c r="T22" i="15" s="1"/>
  <c r="U21" i="14"/>
  <c r="S22" i="14"/>
  <c r="T22" i="14" s="1"/>
  <c r="K22" i="14"/>
  <c r="L22" i="14" s="1"/>
  <c r="M21" i="14"/>
  <c r="N20" i="15"/>
  <c r="X20" i="15"/>
  <c r="Y20" i="15" s="1"/>
  <c r="X20" i="14"/>
  <c r="Y20" i="14" s="1"/>
  <c r="N20" i="14"/>
  <c r="U19" i="13"/>
  <c r="V19" i="13" s="1"/>
  <c r="S21" i="13"/>
  <c r="T21" i="13" s="1"/>
  <c r="C9" i="11"/>
  <c r="D9" i="11" s="1"/>
  <c r="X19" i="8"/>
  <c r="Y19" i="8" s="1"/>
  <c r="F20" i="8" s="1"/>
  <c r="T19" i="10"/>
  <c r="X19" i="10" s="1"/>
  <c r="Y19" i="10" s="1"/>
  <c r="F20" i="10" s="1"/>
  <c r="L19" i="6"/>
  <c r="K8" i="13"/>
  <c r="L8" i="13" s="1"/>
  <c r="N15" i="12"/>
  <c r="O8" i="12"/>
  <c r="N10" i="12"/>
  <c r="N22" i="12"/>
  <c r="C10" i="11" l="1"/>
  <c r="D10" i="11" s="1"/>
  <c r="M8" i="13"/>
  <c r="V21" i="14"/>
  <c r="X21" i="14"/>
  <c r="Y21" i="14" s="1"/>
  <c r="I5" i="8" s="1"/>
  <c r="K23" i="15"/>
  <c r="L23" i="15" s="1"/>
  <c r="M22" i="15"/>
  <c r="N21" i="14"/>
  <c r="U22" i="15"/>
  <c r="V22" i="15" s="1"/>
  <c r="S23" i="15"/>
  <c r="T23" i="15" s="1"/>
  <c r="M22" i="14"/>
  <c r="K23" i="14"/>
  <c r="L23" i="14" s="1"/>
  <c r="U22" i="14"/>
  <c r="V22" i="14" s="1"/>
  <c r="S23" i="14"/>
  <c r="T23" i="14" s="1"/>
  <c r="N21" i="15"/>
  <c r="X21" i="15"/>
  <c r="Y21" i="15" s="1"/>
  <c r="I5" i="10" s="1"/>
  <c r="M7" i="13"/>
  <c r="U20" i="13"/>
  <c r="V20" i="13" s="1"/>
  <c r="S22" i="13"/>
  <c r="T22" i="13" s="1"/>
  <c r="G20" i="8"/>
  <c r="H20" i="8"/>
  <c r="I20" i="8"/>
  <c r="J20" i="8"/>
  <c r="K20" i="8"/>
  <c r="L20" i="8"/>
  <c r="M20" i="8"/>
  <c r="N20" i="8"/>
  <c r="O20" i="8"/>
  <c r="P20" i="8"/>
  <c r="Q20" i="8"/>
  <c r="R20" i="8"/>
  <c r="S20" i="8"/>
  <c r="T20" i="8"/>
  <c r="M19" i="6"/>
  <c r="K9" i="13"/>
  <c r="L9" i="13" s="1"/>
  <c r="O9" i="12"/>
  <c r="P9" i="12" s="1"/>
  <c r="O10" i="12" l="1"/>
  <c r="P10" i="12" s="1"/>
  <c r="X8" i="13"/>
  <c r="Y8" i="13" s="1"/>
  <c r="N8" i="13"/>
  <c r="M9" i="13"/>
  <c r="K24" i="15"/>
  <c r="L24" i="15" s="1"/>
  <c r="M23" i="15"/>
  <c r="K24" i="14"/>
  <c r="L24" i="14" s="1"/>
  <c r="M23" i="14"/>
  <c r="X22" i="14"/>
  <c r="Y22" i="14" s="1"/>
  <c r="N22" i="14"/>
  <c r="U23" i="14"/>
  <c r="V23" i="14" s="1"/>
  <c r="S24" i="14"/>
  <c r="T24" i="14" s="1"/>
  <c r="U23" i="15"/>
  <c r="V23" i="15" s="1"/>
  <c r="S24" i="15"/>
  <c r="T24" i="15" s="1"/>
  <c r="N22" i="15"/>
  <c r="X22" i="15"/>
  <c r="Y22" i="15" s="1"/>
  <c r="N7" i="13"/>
  <c r="X7" i="13"/>
  <c r="Y7" i="13" s="1"/>
  <c r="U21" i="13"/>
  <c r="V21" i="13" s="1"/>
  <c r="I6" i="7"/>
  <c r="S23" i="13"/>
  <c r="T23" i="13" s="1"/>
  <c r="I6" i="9"/>
  <c r="X20" i="8"/>
  <c r="Y20" i="8" s="1"/>
  <c r="K10" i="13"/>
  <c r="L10" i="13" s="1"/>
  <c r="G20" i="10"/>
  <c r="H20" i="10"/>
  <c r="I20" i="10"/>
  <c r="J20" i="10"/>
  <c r="K20" i="10"/>
  <c r="L20" i="10"/>
  <c r="M20" i="10"/>
  <c r="N20" i="10"/>
  <c r="O20" i="10"/>
  <c r="P20" i="10"/>
  <c r="Q20" i="10"/>
  <c r="R20" i="10"/>
  <c r="S20" i="10"/>
  <c r="T20" i="10"/>
  <c r="N19" i="6"/>
  <c r="O11" i="12" l="1"/>
  <c r="P11" i="12" s="1"/>
  <c r="X9" i="13"/>
  <c r="Y9" i="13" s="1"/>
  <c r="N9" i="13"/>
  <c r="M10" i="13"/>
  <c r="U24" i="14"/>
  <c r="V24" i="14" s="1"/>
  <c r="S25" i="14"/>
  <c r="T25" i="14" s="1"/>
  <c r="N23" i="14"/>
  <c r="X23" i="14"/>
  <c r="Y23" i="14" s="1"/>
  <c r="K25" i="14"/>
  <c r="L25" i="14" s="1"/>
  <c r="M24" i="14"/>
  <c r="U24" i="15"/>
  <c r="V24" i="15" s="1"/>
  <c r="S25" i="15"/>
  <c r="T25" i="15" s="1"/>
  <c r="N23" i="15"/>
  <c r="X23" i="15"/>
  <c r="Y23" i="15" s="1"/>
  <c r="K25" i="15"/>
  <c r="L25" i="15" s="1"/>
  <c r="M24" i="15"/>
  <c r="U22" i="13"/>
  <c r="V22" i="13" s="1"/>
  <c r="S24" i="13"/>
  <c r="T24" i="13" s="1"/>
  <c r="X20" i="10"/>
  <c r="Y20" i="10" s="1"/>
  <c r="C12" i="11"/>
  <c r="D12" i="11" s="1"/>
  <c r="C11" i="11"/>
  <c r="D11" i="11" s="1"/>
  <c r="K11" i="13"/>
  <c r="L11" i="13" s="1"/>
  <c r="O19" i="6"/>
  <c r="O12" i="12" l="1"/>
  <c r="P12" i="12" s="1"/>
  <c r="X10" i="13"/>
  <c r="Y10" i="13" s="1"/>
  <c r="N10" i="13"/>
  <c r="M11" i="13"/>
  <c r="X24" i="15"/>
  <c r="Y24" i="15" s="1"/>
  <c r="N24" i="15"/>
  <c r="U25" i="15"/>
  <c r="V25" i="15" s="1"/>
  <c r="S26" i="15"/>
  <c r="T26" i="15" s="1"/>
  <c r="M25" i="15"/>
  <c r="K26" i="15"/>
  <c r="L26" i="15" s="1"/>
  <c r="N24" i="14"/>
  <c r="X24" i="14"/>
  <c r="Y24" i="14" s="1"/>
  <c r="U25" i="14"/>
  <c r="V25" i="14" s="1"/>
  <c r="S26" i="14"/>
  <c r="T26" i="14" s="1"/>
  <c r="M25" i="14"/>
  <c r="K26" i="14"/>
  <c r="L26" i="14" s="1"/>
  <c r="U23" i="13"/>
  <c r="V23" i="13" s="1"/>
  <c r="S25" i="13"/>
  <c r="T25" i="13" s="1"/>
  <c r="C13" i="11"/>
  <c r="D13" i="11" s="1"/>
  <c r="H5" i="4" s="1"/>
  <c r="H6" i="4" s="1"/>
  <c r="K12" i="13"/>
  <c r="L12" i="13" s="1"/>
  <c r="P19" i="6"/>
  <c r="O13" i="12"/>
  <c r="P13" i="12" s="1"/>
  <c r="C15" i="11" l="1"/>
  <c r="N11" i="13"/>
  <c r="X11" i="13"/>
  <c r="Y11" i="13" s="1"/>
  <c r="I5" i="4" s="1"/>
  <c r="I6" i="4" s="1"/>
  <c r="M26" i="14"/>
  <c r="K27" i="14"/>
  <c r="L27" i="14" s="1"/>
  <c r="U26" i="15"/>
  <c r="V26" i="15" s="1"/>
  <c r="S27" i="15"/>
  <c r="T27" i="15" s="1"/>
  <c r="N25" i="14"/>
  <c r="X25" i="14"/>
  <c r="Y25" i="14" s="1"/>
  <c r="U26" i="14"/>
  <c r="V26" i="14" s="1"/>
  <c r="S27" i="14"/>
  <c r="T27" i="14" s="1"/>
  <c r="K27" i="15"/>
  <c r="L27" i="15" s="1"/>
  <c r="M26" i="15"/>
  <c r="X25" i="15"/>
  <c r="Y25" i="15" s="1"/>
  <c r="N25" i="15"/>
  <c r="U24" i="13"/>
  <c r="V24" i="13" s="1"/>
  <c r="S26" i="13"/>
  <c r="T26" i="13" s="1"/>
  <c r="I6" i="10"/>
  <c r="M12" i="13"/>
  <c r="X12" i="13" s="1"/>
  <c r="Y12" i="13" s="1"/>
  <c r="K13" i="13"/>
  <c r="L13" i="13" s="1"/>
  <c r="C14" i="11"/>
  <c r="D14" i="11" s="1"/>
  <c r="Q19" i="6"/>
  <c r="O14" i="12"/>
  <c r="P14" i="12" s="1"/>
  <c r="M27" i="15" l="1"/>
  <c r="U27" i="14"/>
  <c r="V27" i="14" s="1"/>
  <c r="M13" i="13"/>
  <c r="U27" i="15"/>
  <c r="V27" i="15" s="1"/>
  <c r="M27" i="14"/>
  <c r="N26" i="15"/>
  <c r="X26" i="15"/>
  <c r="Y26" i="15" s="1"/>
  <c r="N26" i="14"/>
  <c r="X26" i="14"/>
  <c r="Y26" i="14" s="1"/>
  <c r="U25" i="13"/>
  <c r="V25" i="13" s="1"/>
  <c r="S27" i="13"/>
  <c r="T27" i="13" s="1"/>
  <c r="N12" i="13"/>
  <c r="K14" i="13"/>
  <c r="L14" i="13" s="1"/>
  <c r="D15" i="11"/>
  <c r="R19" i="6"/>
  <c r="O15" i="12"/>
  <c r="P15" i="12" s="1"/>
  <c r="N27" i="14" l="1"/>
  <c r="X27" i="14"/>
  <c r="Y27" i="14" s="1"/>
  <c r="X13" i="13"/>
  <c r="Y13" i="13" s="1"/>
  <c r="N13" i="13"/>
  <c r="N27" i="15"/>
  <c r="X27" i="15"/>
  <c r="Y27" i="15" s="1"/>
  <c r="M14" i="13"/>
  <c r="U27" i="13"/>
  <c r="V27" i="13" s="1"/>
  <c r="U26" i="13"/>
  <c r="V26" i="13" s="1"/>
  <c r="I6" i="8"/>
  <c r="K15" i="13"/>
  <c r="L15" i="13" s="1"/>
  <c r="C16" i="11"/>
  <c r="D16" i="11" s="1"/>
  <c r="S19" i="6"/>
  <c r="O16" i="12"/>
  <c r="P16" i="12" s="1"/>
  <c r="X14" i="13" l="1"/>
  <c r="Y14" i="13" s="1"/>
  <c r="N14" i="13"/>
  <c r="M15" i="13"/>
  <c r="K16" i="13"/>
  <c r="L16" i="13" s="1"/>
  <c r="C17" i="11"/>
  <c r="D17" i="11" s="1"/>
  <c r="T19" i="6"/>
  <c r="X19" i="6" s="1"/>
  <c r="Y19" i="6" s="1"/>
  <c r="F20" i="6" s="1"/>
  <c r="O17" i="12"/>
  <c r="P17" i="12" s="1"/>
  <c r="X15" i="13" l="1"/>
  <c r="Y15" i="13" s="1"/>
  <c r="N15" i="13"/>
  <c r="M16" i="13"/>
  <c r="K17" i="13"/>
  <c r="L17" i="13" s="1"/>
  <c r="C18" i="11"/>
  <c r="D18" i="11" s="1"/>
  <c r="O18" i="12"/>
  <c r="P18" i="12" s="1"/>
  <c r="X16" i="13" l="1"/>
  <c r="Y16" i="13" s="1"/>
  <c r="I5" i="5" s="1"/>
  <c r="I6" i="5" s="1"/>
  <c r="N16" i="13"/>
  <c r="M17" i="13"/>
  <c r="K18" i="13"/>
  <c r="H5" i="9"/>
  <c r="H6" i="9" s="1"/>
  <c r="H5" i="5"/>
  <c r="H6" i="5" s="1"/>
  <c r="H5" i="7"/>
  <c r="H6" i="7" s="1"/>
  <c r="C19" i="11"/>
  <c r="D19" i="11" s="1"/>
  <c r="O19" i="12"/>
  <c r="P19" i="12" s="1"/>
  <c r="L18" i="13" l="1"/>
  <c r="M18" i="13" s="1"/>
  <c r="X17" i="13"/>
  <c r="Y17" i="13" s="1"/>
  <c r="N17" i="13"/>
  <c r="K19" i="13"/>
  <c r="J5" i="4"/>
  <c r="C20" i="11"/>
  <c r="D20" i="11" s="1"/>
  <c r="H20" i="6"/>
  <c r="I20" i="6"/>
  <c r="J20" i="6"/>
  <c r="G20" i="6"/>
  <c r="K20" i="6"/>
  <c r="L20" i="6"/>
  <c r="M20" i="6"/>
  <c r="N20" i="6"/>
  <c r="O20" i="6"/>
  <c r="P20" i="6"/>
  <c r="Q20" i="6"/>
  <c r="R20" i="6"/>
  <c r="S20" i="6"/>
  <c r="T20" i="6"/>
  <c r="C21" i="11"/>
  <c r="O20" i="12"/>
  <c r="P20" i="12" s="1"/>
  <c r="X18" i="13" l="1"/>
  <c r="Y18" i="13" s="1"/>
  <c r="N18" i="13"/>
  <c r="L19" i="13"/>
  <c r="M19" i="13" s="1"/>
  <c r="O21" i="12"/>
  <c r="P21" i="12" s="1"/>
  <c r="K5" i="4"/>
  <c r="L5" i="4" s="1"/>
  <c r="J6" i="4"/>
  <c r="K20" i="13"/>
  <c r="L20" i="13" s="1"/>
  <c r="X20" i="6"/>
  <c r="Y20" i="6" s="1"/>
  <c r="D21" i="11"/>
  <c r="X19" i="13" l="1"/>
  <c r="Y19" i="13" s="1"/>
  <c r="N19" i="13"/>
  <c r="C23" i="11"/>
  <c r="D23" i="11" s="1"/>
  <c r="K21" i="13"/>
  <c r="L21" i="13" s="1"/>
  <c r="M21" i="13" s="1"/>
  <c r="X21" i="13" s="1"/>
  <c r="Y21" i="13" s="1"/>
  <c r="M20" i="13"/>
  <c r="X20" i="13" s="1"/>
  <c r="Y20" i="13" s="1"/>
  <c r="L6" i="4"/>
  <c r="F9" i="4" s="1"/>
  <c r="K6" i="4"/>
  <c r="J5" i="7"/>
  <c r="J5" i="9"/>
  <c r="C22" i="11"/>
  <c r="D22" i="11" s="1"/>
  <c r="O22" i="12"/>
  <c r="P22" i="12" s="1"/>
  <c r="K22" i="13" l="1"/>
  <c r="L22" i="13" s="1"/>
  <c r="M22" i="13" s="1"/>
  <c r="X22" i="13" s="1"/>
  <c r="Y22" i="13" s="1"/>
  <c r="H5" i="10"/>
  <c r="H5" i="6"/>
  <c r="H6" i="6" s="1"/>
  <c r="H5" i="8"/>
  <c r="H6" i="8" s="1"/>
  <c r="F6" i="3"/>
  <c r="F13" i="4"/>
  <c r="F27" i="3" s="1"/>
  <c r="N20" i="13"/>
  <c r="I5" i="6"/>
  <c r="K5" i="9"/>
  <c r="J6" i="9"/>
  <c r="K5" i="7"/>
  <c r="J6" i="7"/>
  <c r="N21" i="13"/>
  <c r="G9" i="4"/>
  <c r="J5" i="5"/>
  <c r="O23" i="12"/>
  <c r="B69" i="2" l="1"/>
  <c r="K23" i="13"/>
  <c r="L23" i="13" s="1"/>
  <c r="O24" i="12"/>
  <c r="P24" i="12" s="1"/>
  <c r="H6" i="10"/>
  <c r="J5" i="10"/>
  <c r="J6" i="10" s="1"/>
  <c r="L5" i="7"/>
  <c r="K6" i="7"/>
  <c r="L5" i="9"/>
  <c r="L6" i="9" s="1"/>
  <c r="F9" i="9" s="1"/>
  <c r="F19" i="3" s="1"/>
  <c r="K6" i="9"/>
  <c r="H9" i="4"/>
  <c r="G13" i="4"/>
  <c r="G27" i="3" s="1"/>
  <c r="N22" i="13"/>
  <c r="K5" i="5"/>
  <c r="J6" i="5"/>
  <c r="J5" i="6"/>
  <c r="I6" i="6"/>
  <c r="J5" i="8"/>
  <c r="J6" i="8" s="1"/>
  <c r="C24" i="11"/>
  <c r="D24" i="11" s="1"/>
  <c r="M23" i="13"/>
  <c r="X23" i="13" s="1"/>
  <c r="Y23" i="13" s="1"/>
  <c r="K24" i="13"/>
  <c r="L24" i="13" s="1"/>
  <c r="C26" i="11"/>
  <c r="B82" i="2" l="1"/>
  <c r="O25" i="12"/>
  <c r="P25" i="12" s="1"/>
  <c r="C27" i="11" s="1"/>
  <c r="L6" i="7"/>
  <c r="F9" i="7" s="1"/>
  <c r="G9" i="9"/>
  <c r="F13" i="9"/>
  <c r="F40" i="3" s="1"/>
  <c r="N23" i="13"/>
  <c r="K5" i="6"/>
  <c r="J6" i="6"/>
  <c r="L5" i="5"/>
  <c r="L6" i="5" s="1"/>
  <c r="F9" i="5" s="1"/>
  <c r="F7" i="3" s="1"/>
  <c r="K6" i="5"/>
  <c r="I9" i="4"/>
  <c r="H13" i="4"/>
  <c r="H27" i="3" s="1"/>
  <c r="O26" i="12"/>
  <c r="P26" i="12" s="1"/>
  <c r="C25" i="11"/>
  <c r="D25" i="11" s="1"/>
  <c r="K5" i="8"/>
  <c r="K5" i="10"/>
  <c r="K25" i="13"/>
  <c r="L25" i="13" s="1"/>
  <c r="M24" i="13"/>
  <c r="X24" i="13" s="1"/>
  <c r="Y24" i="13" s="1"/>
  <c r="D26" i="11"/>
  <c r="B70" i="2" l="1"/>
  <c r="F13" i="3"/>
  <c r="F13" i="7"/>
  <c r="F34" i="3" s="1"/>
  <c r="G9" i="7"/>
  <c r="G13" i="7" s="1"/>
  <c r="G34" i="3" s="1"/>
  <c r="L5" i="8"/>
  <c r="L6" i="8" s="1"/>
  <c r="F9" i="8" s="1"/>
  <c r="F14" i="3" s="1"/>
  <c r="K6" i="8"/>
  <c r="L5" i="10"/>
  <c r="K6" i="10"/>
  <c r="H9" i="9"/>
  <c r="G13" i="9"/>
  <c r="G40" i="3" s="1"/>
  <c r="I13" i="4"/>
  <c r="I27" i="3" s="1"/>
  <c r="J9" i="4"/>
  <c r="J13" i="4" s="1"/>
  <c r="K6" i="6"/>
  <c r="L5" i="6"/>
  <c r="L6" i="6" s="1"/>
  <c r="F9" i="6" s="1"/>
  <c r="N24" i="13"/>
  <c r="F13" i="5"/>
  <c r="F28" i="3" s="1"/>
  <c r="G9" i="5"/>
  <c r="C28" i="11"/>
  <c r="D28" i="11" s="1"/>
  <c r="O27" i="12"/>
  <c r="M25" i="13"/>
  <c r="X25" i="13" s="1"/>
  <c r="Y25" i="13" s="1"/>
  <c r="K26" i="13"/>
  <c r="L26" i="13" s="1"/>
  <c r="D27" i="11"/>
  <c r="B76" i="2" l="1"/>
  <c r="B77" i="2"/>
  <c r="H9" i="7"/>
  <c r="I9" i="7" s="1"/>
  <c r="C29" i="11"/>
  <c r="D29" i="11" s="1"/>
  <c r="L6" i="10"/>
  <c r="F9" i="10" s="1"/>
  <c r="F13" i="6"/>
  <c r="F29" i="3" s="1"/>
  <c r="F8" i="3"/>
  <c r="K13" i="4"/>
  <c r="J27" i="3"/>
  <c r="H13" i="9"/>
  <c r="H40" i="3" s="1"/>
  <c r="I9" i="9"/>
  <c r="G9" i="6"/>
  <c r="G13" i="6" s="1"/>
  <c r="G29" i="3" s="1"/>
  <c r="H9" i="5"/>
  <c r="G13" i="5"/>
  <c r="G28" i="3" s="1"/>
  <c r="N25" i="13"/>
  <c r="K27" i="13"/>
  <c r="L27" i="13" s="1"/>
  <c r="F13" i="8"/>
  <c r="F35" i="3" s="1"/>
  <c r="G9" i="8"/>
  <c r="G13" i="8" s="1"/>
  <c r="G35" i="3" s="1"/>
  <c r="M26" i="13"/>
  <c r="X26" i="13" s="1"/>
  <c r="Y26" i="13" s="1"/>
  <c r="B71" i="2" l="1"/>
  <c r="H13" i="7"/>
  <c r="H34" i="3" s="1"/>
  <c r="F20" i="3"/>
  <c r="G9" i="10"/>
  <c r="H9" i="10" s="1"/>
  <c r="H13" i="10" s="1"/>
  <c r="H41" i="3" s="1"/>
  <c r="F13" i="10"/>
  <c r="F41" i="3" s="1"/>
  <c r="M27" i="13"/>
  <c r="L13" i="4"/>
  <c r="L27" i="3" s="1"/>
  <c r="K27" i="3"/>
  <c r="H9" i="6"/>
  <c r="H13" i="6" s="1"/>
  <c r="H29" i="3" s="1"/>
  <c r="I13" i="9"/>
  <c r="I40" i="3" s="1"/>
  <c r="J9" i="9"/>
  <c r="I13" i="7"/>
  <c r="I34" i="3" s="1"/>
  <c r="J9" i="7"/>
  <c r="N26" i="13"/>
  <c r="H13" i="5"/>
  <c r="H28" i="3" s="1"/>
  <c r="I9" i="5"/>
  <c r="H9" i="8"/>
  <c r="H13" i="8" s="1"/>
  <c r="H35" i="3" s="1"/>
  <c r="B83" i="2" l="1"/>
  <c r="G13" i="10"/>
  <c r="G41" i="3" s="1"/>
  <c r="I9" i="6"/>
  <c r="I13" i="6" s="1"/>
  <c r="I29" i="3" s="1"/>
  <c r="X27" i="13"/>
  <c r="Y27" i="13" s="1"/>
  <c r="N27" i="13"/>
  <c r="K9" i="7"/>
  <c r="J13" i="7"/>
  <c r="J34" i="3" s="1"/>
  <c r="J13" i="9"/>
  <c r="J40" i="3" s="1"/>
  <c r="K9" i="9"/>
  <c r="J9" i="5"/>
  <c r="I13" i="5"/>
  <c r="I28" i="3" s="1"/>
  <c r="I9" i="10"/>
  <c r="I13" i="10" s="1"/>
  <c r="I41" i="3" s="1"/>
  <c r="I9" i="8"/>
  <c r="J9" i="6" l="1"/>
  <c r="K9" i="6" s="1"/>
  <c r="L9" i="9"/>
  <c r="K13" i="9"/>
  <c r="K40" i="3" s="1"/>
  <c r="L9" i="7"/>
  <c r="K13" i="7"/>
  <c r="K34" i="3" s="1"/>
  <c r="J13" i="5"/>
  <c r="J28" i="3" s="1"/>
  <c r="K9" i="5"/>
  <c r="J9" i="10"/>
  <c r="K9" i="10" s="1"/>
  <c r="X9" i="4"/>
  <c r="Y9" i="4" s="1"/>
  <c r="I13" i="8"/>
  <c r="I35" i="3" s="1"/>
  <c r="J9" i="8"/>
  <c r="K9" i="8" s="1"/>
  <c r="L9" i="8" s="1"/>
  <c r="J13" i="10" l="1"/>
  <c r="J41" i="3" s="1"/>
  <c r="J13" i="6"/>
  <c r="J29" i="3" s="1"/>
  <c r="M9" i="7"/>
  <c r="L13" i="7"/>
  <c r="L34" i="3" s="1"/>
  <c r="M9" i="9"/>
  <c r="L13" i="9"/>
  <c r="L40" i="3" s="1"/>
  <c r="K13" i="5"/>
  <c r="K28" i="3" s="1"/>
  <c r="L9" i="5"/>
  <c r="X13" i="4"/>
  <c r="Y13" i="4" s="1"/>
  <c r="J13" i="8"/>
  <c r="J35" i="3" s="1"/>
  <c r="K13" i="8"/>
  <c r="K35" i="3" s="1"/>
  <c r="K13" i="6"/>
  <c r="K29" i="3" s="1"/>
  <c r="K13" i="10"/>
  <c r="K41" i="3" s="1"/>
  <c r="L13" i="8"/>
  <c r="L35" i="3" s="1"/>
  <c r="L9" i="10"/>
  <c r="L9" i="6"/>
  <c r="M9" i="8"/>
  <c r="N9" i="9" l="1"/>
  <c r="M13" i="9"/>
  <c r="M40" i="3" s="1"/>
  <c r="N9" i="7"/>
  <c r="M13" i="7"/>
  <c r="M34" i="3" s="1"/>
  <c r="M9" i="5"/>
  <c r="L13" i="5"/>
  <c r="L28" i="3" s="1"/>
  <c r="L13" i="6"/>
  <c r="L29" i="3" s="1"/>
  <c r="L13" i="10"/>
  <c r="L41" i="3" s="1"/>
  <c r="M13" i="8"/>
  <c r="M35" i="3" s="1"/>
  <c r="M9" i="10"/>
  <c r="M13" i="10" s="1"/>
  <c r="M41" i="3" s="1"/>
  <c r="M9" i="6"/>
  <c r="N9" i="8"/>
  <c r="O9" i="7" l="1"/>
  <c r="N13" i="7"/>
  <c r="N34" i="3" s="1"/>
  <c r="N13" i="9"/>
  <c r="N40" i="3" s="1"/>
  <c r="O9" i="9"/>
  <c r="N9" i="5"/>
  <c r="M13" i="5"/>
  <c r="M28" i="3" s="1"/>
  <c r="M13" i="6"/>
  <c r="M29" i="3" s="1"/>
  <c r="N13" i="8"/>
  <c r="N35" i="3" s="1"/>
  <c r="N9" i="10"/>
  <c r="N9" i="6"/>
  <c r="O9" i="8"/>
  <c r="X9" i="9" l="1"/>
  <c r="Y9" i="9" s="1"/>
  <c r="O13" i="9"/>
  <c r="O40" i="3" s="1"/>
  <c r="X9" i="7"/>
  <c r="O13" i="7"/>
  <c r="N13" i="5"/>
  <c r="N28" i="3" s="1"/>
  <c r="O9" i="5"/>
  <c r="N13" i="6"/>
  <c r="N29" i="3" s="1"/>
  <c r="N13" i="10"/>
  <c r="N41" i="3" s="1"/>
  <c r="O13" i="8"/>
  <c r="O35" i="3" s="1"/>
  <c r="O9" i="10"/>
  <c r="O9" i="6"/>
  <c r="P9" i="8"/>
  <c r="P13" i="7" l="1"/>
  <c r="O34" i="3"/>
  <c r="X13" i="7"/>
  <c r="P13" i="9"/>
  <c r="X13" i="9"/>
  <c r="Y13" i="9" s="1"/>
  <c r="X9" i="5"/>
  <c r="Y9" i="5" s="1"/>
  <c r="O13" i="5"/>
  <c r="O28" i="3" s="1"/>
  <c r="O13" i="6"/>
  <c r="O29" i="3" s="1"/>
  <c r="O13" i="10"/>
  <c r="O41" i="3" s="1"/>
  <c r="P13" i="8"/>
  <c r="P35" i="3" s="1"/>
  <c r="P9" i="10"/>
  <c r="P9" i="6"/>
  <c r="Q9" i="8"/>
  <c r="Q13" i="9" l="1"/>
  <c r="Q40" i="3" s="1"/>
  <c r="P40" i="3"/>
  <c r="Q13" i="7"/>
  <c r="Q34" i="3" s="1"/>
  <c r="P34" i="3"/>
  <c r="X13" i="5"/>
  <c r="Y13" i="5" s="1"/>
  <c r="P13" i="5"/>
  <c r="Y9" i="7"/>
  <c r="P13" i="6"/>
  <c r="P29" i="3" s="1"/>
  <c r="P13" i="10"/>
  <c r="P41" i="3" s="1"/>
  <c r="Q13" i="8"/>
  <c r="Q35" i="3" s="1"/>
  <c r="Q9" i="10"/>
  <c r="Q9" i="6"/>
  <c r="R9" i="8"/>
  <c r="Q13" i="5" l="1"/>
  <c r="Q28" i="3" s="1"/>
  <c r="P28" i="3"/>
  <c r="Y13" i="7"/>
  <c r="Q13" i="6"/>
  <c r="Q29" i="3" s="1"/>
  <c r="Q13" i="10"/>
  <c r="Q41" i="3" s="1"/>
  <c r="R13" i="8"/>
  <c r="R35" i="3" s="1"/>
  <c r="R9" i="10"/>
  <c r="R9" i="6"/>
  <c r="S9" i="8"/>
  <c r="R13" i="6" l="1"/>
  <c r="R29" i="3" s="1"/>
  <c r="R13" i="10"/>
  <c r="R41" i="3" s="1"/>
  <c r="S13" i="8"/>
  <c r="S35" i="3" s="1"/>
  <c r="S9" i="10"/>
  <c r="S9" i="6"/>
  <c r="T9" i="8"/>
  <c r="X9" i="8" s="1"/>
  <c r="Y9" i="8" s="1"/>
  <c r="S13" i="6" l="1"/>
  <c r="S29" i="3" s="1"/>
  <c r="S13" i="10"/>
  <c r="S41" i="3" s="1"/>
  <c r="T13" i="8"/>
  <c r="T35" i="3" s="1"/>
  <c r="T9" i="10"/>
  <c r="X9" i="10" s="1"/>
  <c r="Y9" i="10" s="1"/>
  <c r="T9" i="6"/>
  <c r="X9" i="6" s="1"/>
  <c r="Y9" i="6" s="1"/>
  <c r="X13" i="8" l="1"/>
  <c r="Y13" i="8" s="1"/>
  <c r="U13" i="8"/>
  <c r="T13" i="6"/>
  <c r="T13" i="10"/>
  <c r="T41" i="3" s="1"/>
  <c r="X13" i="6" l="1"/>
  <c r="Y13" i="6" s="1"/>
  <c r="T29" i="3"/>
  <c r="V13" i="8"/>
  <c r="V35" i="3" s="1"/>
  <c r="U35" i="3"/>
  <c r="X13" i="10"/>
  <c r="Y13" i="10" s="1"/>
  <c r="U13" i="10"/>
  <c r="U13" i="6"/>
  <c r="V13" i="10" l="1"/>
  <c r="V41" i="3" s="1"/>
  <c r="U41" i="3"/>
  <c r="V13" i="6"/>
  <c r="V29" i="3" s="1"/>
  <c r="U29" i="3"/>
</calcChain>
</file>

<file path=xl/comments1.xml><?xml version="1.0" encoding="utf-8"?>
<comments xmlns="http://schemas.openxmlformats.org/spreadsheetml/2006/main">
  <authors>
    <author>Williams, Bob</author>
  </authors>
  <commentList>
    <comment ref="C23" authorId="0" guid="{AC7164D8-2E69-46BB-99A9-CC605C695267}" shapeId="0">
      <text>
        <r>
          <rPr>
            <sz val="9"/>
            <color indexed="81"/>
            <rFont val="Tahoma"/>
            <family val="2"/>
          </rPr>
          <t xml:space="preserve">Inflated to 2021 dollars
</t>
        </r>
      </text>
    </comment>
  </commentList>
</comments>
</file>

<file path=xl/comments2.xml><?xml version="1.0" encoding="utf-8"?>
<comments xmlns="http://schemas.openxmlformats.org/spreadsheetml/2006/main">
  <authors>
    <author>Williams, Bob</author>
  </authors>
  <commentList>
    <comment ref="E6" authorId="0" guid="{14741470-B42D-49C4-9BBC-C45D3135E859}" shapeId="0">
      <text>
        <r>
          <rPr>
            <sz val="9"/>
            <color indexed="81"/>
            <rFont val="Tahoma"/>
            <family val="2"/>
          </rPr>
          <t xml:space="preserve">Inflated to 2021 dollars
</t>
        </r>
      </text>
    </comment>
  </commentList>
</comments>
</file>

<file path=xl/comments3.xml><?xml version="1.0" encoding="utf-8"?>
<comments xmlns="http://schemas.openxmlformats.org/spreadsheetml/2006/main">
  <authors>
    <author>Williams, Bob</author>
  </authors>
  <commentList>
    <comment ref="E6" authorId="0" guid="{DE3D1866-050A-47CD-862B-58D1621EB23E}" shapeId="0">
      <text>
        <r>
          <rPr>
            <sz val="9"/>
            <color indexed="81"/>
            <rFont val="Tahoma"/>
            <family val="2"/>
          </rPr>
          <t xml:space="preserve">Inflated to 2021 dollars
</t>
        </r>
      </text>
    </comment>
  </commentList>
</comments>
</file>

<file path=xl/comments4.xml><?xml version="1.0" encoding="utf-8"?>
<comments xmlns="http://schemas.openxmlformats.org/spreadsheetml/2006/main">
  <authors>
    <author>Williams, Bob</author>
  </authors>
  <commentList>
    <comment ref="E6" authorId="0" guid="{73BA4796-6047-4FB5-A7E7-622F0B847344}" shapeId="0">
      <text>
        <r>
          <rPr>
            <sz val="9"/>
            <color indexed="81"/>
            <rFont val="Tahoma"/>
            <family val="2"/>
          </rPr>
          <t xml:space="preserve">Inflated to 2021 dollars
</t>
        </r>
      </text>
    </comment>
  </commentList>
</comments>
</file>

<file path=xl/sharedStrings.xml><?xml version="1.0" encoding="utf-8"?>
<sst xmlns="http://schemas.openxmlformats.org/spreadsheetml/2006/main" count="584" uniqueCount="177">
  <si>
    <t>Annual Energy Savings in kWh</t>
  </si>
  <si>
    <t>Measure Life</t>
  </si>
  <si>
    <t>Capacity Factor</t>
  </si>
  <si>
    <t>Measure Type</t>
  </si>
  <si>
    <t>Avoided Cost of Energy</t>
  </si>
  <si>
    <t>Avoided Cost of Capacity</t>
  </si>
  <si>
    <t>Total Avoided Cost</t>
  </si>
  <si>
    <t>$/kWh</t>
  </si>
  <si>
    <t>Flat</t>
  </si>
  <si>
    <t>Constant Nominal</t>
  </si>
  <si>
    <t>Equivalent w/ 2.5% Increase</t>
  </si>
  <si>
    <t>2.5 Percent Increase</t>
  </si>
  <si>
    <t>2.5 Percent Index</t>
  </si>
  <si>
    <t>Notes</t>
  </si>
  <si>
    <t>$/MWh</t>
  </si>
  <si>
    <t>Year</t>
  </si>
  <si>
    <t>Total Annual Capital &amp; Fixed Costs of Capacity</t>
  </si>
  <si>
    <t>NPV - Capacity</t>
  </si>
  <si>
    <t>Cumulative Present Value CES-Capacity</t>
  </si>
  <si>
    <t>Levelized Cost Effectiveness Standard-Capacity</t>
  </si>
  <si>
    <t>(years)</t>
  </si>
  <si>
    <t>[1]</t>
  </si>
  <si>
    <t>[2]</t>
  </si>
  <si>
    <t>[3]</t>
  </si>
  <si>
    <t>[4]</t>
  </si>
  <si>
    <t>[5]</t>
  </si>
  <si>
    <t>[7]</t>
  </si>
  <si>
    <t>[8]</t>
  </si>
  <si>
    <t>Annual Weighted Average of Hourly Price</t>
  </si>
  <si>
    <t>Levelized Cost Effectiveness Standard-Energy</t>
  </si>
  <si>
    <t>[6]</t>
  </si>
  <si>
    <t xml:space="preserve">Present Value-Energy </t>
  </si>
  <si>
    <t>Cumulative Present Value -Energy</t>
  </si>
  <si>
    <t>$ / MWh</t>
  </si>
  <si>
    <t>$ / kWh</t>
  </si>
  <si>
    <t>[9]</t>
  </si>
  <si>
    <t xml:space="preserve"> "Contingency Reserves" per WECC 10/1/2014</t>
  </si>
  <si>
    <t>Ave</t>
  </si>
  <si>
    <t>MONTHS</t>
  </si>
  <si>
    <t>Indicative Avoided Capacity Costs for Resources Delivered to PSE's System</t>
  </si>
  <si>
    <t>Capacity Resource Addition</t>
  </si>
  <si>
    <t>Frame Peaker</t>
  </si>
  <si>
    <t>Wind</t>
  </si>
  <si>
    <t>Solar</t>
  </si>
  <si>
    <t>This model accounts for both avoided energy costs and avoided capacity costs.</t>
  </si>
  <si>
    <t>Nominal Discount Rate</t>
  </si>
  <si>
    <t>GDP Inflation</t>
  </si>
  <si>
    <t>Planning Adjustment</t>
  </si>
  <si>
    <t>Avoided Renewable Benefits</t>
  </si>
  <si>
    <t>Conservation Credit</t>
  </si>
  <si>
    <t>PSE currently makes no deduction for balancing related costs as such costs could not be currently identified.</t>
  </si>
  <si>
    <t>Including</t>
  </si>
  <si>
    <t>($/MWh)</t>
  </si>
  <si>
    <t>20-year levelized</t>
  </si>
  <si>
    <t>15-year levelized</t>
  </si>
  <si>
    <t>Escalated Rate @ 2.5%</t>
  </si>
  <si>
    <t>1</t>
  </si>
  <si>
    <t>PUGET SOUND ENERGY-ELECTRIC</t>
  </si>
  <si>
    <t>LINE</t>
  </si>
  <si>
    <t>PRO FORMA</t>
  </si>
  <si>
    <t>COST OF</t>
  </si>
  <si>
    <t>NO.</t>
  </si>
  <si>
    <t>DESCRIPTION</t>
  </si>
  <si>
    <t>CAPITAL %</t>
  </si>
  <si>
    <t>COST %</t>
  </si>
  <si>
    <t>CAPITAL</t>
  </si>
  <si>
    <t>SHORT &amp; LONG TERM DEBT</t>
  </si>
  <si>
    <t>EQUITY</t>
  </si>
  <si>
    <t>TOTAL COST OF CAPITAL</t>
  </si>
  <si>
    <t>AFTER TAX DEBT</t>
  </si>
  <si>
    <t>TOTAL AFTER TAX COST OF CAPITAL</t>
  </si>
  <si>
    <t>[10]</t>
  </si>
  <si>
    <t>Deferred T&amp;D</t>
  </si>
  <si>
    <t>checksum</t>
  </si>
  <si>
    <t>Flat ($/MWh)</t>
  </si>
  <si>
    <t>Flat ($/kWh)</t>
  </si>
  <si>
    <t>Schedule 91 Rates for Purchase of Energy - Wind</t>
  </si>
  <si>
    <t>Schedule 91 Rates for Purchase of Energy - Solar</t>
  </si>
  <si>
    <t>The value of a measure increases with its measured life. The Power Purchase Agreement (PPA) length under Schedule 91 are five, ten and fifteen years, analogous to a five, ten and fifteen year measure life respectively.</t>
  </si>
  <si>
    <t>For each type of resource the final output of this calculation is a levelized price that does not vary from year to year (see cell L5).</t>
  </si>
  <si>
    <t>Unlike a conservation project, a PPA requires spinning reserves which are deducted above at the rate of 3% (see cell M6).</t>
  </si>
  <si>
    <t>The final levelized price is adjusted to create a Fixed Price option that increases by 2.5% each year, which maintains the same value to PSE while increasing the value to the customer-generator over time.</t>
  </si>
  <si>
    <t>The proposed strip is highlighted in yellow above.</t>
  </si>
  <si>
    <t xml:space="preserve">Schedule 91 -- Purchases from Qualifying Facilities of Five Megawatts or Less </t>
  </si>
  <si>
    <t>Baseload</t>
  </si>
  <si>
    <t>Delivered to PSE Capacity Value ($/kW-yr)</t>
  </si>
  <si>
    <t>Delivered to PSE Capacity Value ($/MWh)</t>
  </si>
  <si>
    <t>(a)
Levelized Net $/kW-yr  Delivered To PSE</t>
  </si>
  <si>
    <t>Hours 
Available</t>
  </si>
  <si>
    <t>$/kW-yr</t>
  </si>
  <si>
    <t>Schedule 91 Rates for Purchase of Energy - Baseload</t>
  </si>
  <si>
    <t>Baseload - 15 year</t>
  </si>
  <si>
    <t>Baseload - 5 year</t>
  </si>
  <si>
    <t>Baseload - 10 year</t>
  </si>
  <si>
    <t>Wind - 10 year</t>
  </si>
  <si>
    <t>Wind - 15 year</t>
  </si>
  <si>
    <t>Solar - 10 year</t>
  </si>
  <si>
    <t>Solar - 15 year</t>
  </si>
  <si>
    <t>Levelized</t>
  </si>
  <si>
    <t>Summary - Escalating @ 2.5%</t>
  </si>
  <si>
    <t>Summary - Levelized</t>
  </si>
  <si>
    <t>An additional two years are added to the strip to accommodate projects that sign the PPA in the year following the "current year."</t>
  </si>
  <si>
    <t>Schedule 91 -- Purchases from Qualifying Facilities of Five Megawatts or Less - Net Output Delivered to PSE's Distribution System</t>
  </si>
  <si>
    <t>Power prices have been updated to be consistent with PSE's 2021 IRP using the Mid-C prices for the “Base” scenario, and includes the 2020 power price forecast from Aurora.</t>
  </si>
  <si>
    <t>As Used in UE-190529 and UG-190530</t>
  </si>
  <si>
    <t>PRO FORMA COST OF CAPITAL APPROVED IN UE-190529/UG-190530</t>
  </si>
  <si>
    <t>FOR THE TWELVE MONTHS ENDED DECEMBER 31, 2018</t>
  </si>
  <si>
    <r>
      <t xml:space="preserve">(b)=(a)*1.000                   
</t>
    </r>
    <r>
      <rPr>
        <u/>
        <sz val="10"/>
        <color theme="1"/>
        <rFont val="Arial"/>
        <family val="2"/>
      </rPr>
      <t>Baseload Resource</t>
    </r>
    <r>
      <rPr>
        <sz val="10"/>
        <rFont val="Arial"/>
        <family val="2"/>
      </rPr>
      <t xml:space="preserve"> ELCC=100.0%</t>
    </r>
  </si>
  <si>
    <t>(e)
Year</t>
  </si>
  <si>
    <t xml:space="preserve">(f)
Total Hours in Year
</t>
  </si>
  <si>
    <r>
      <t xml:space="preserve">(g)=(f)*1.000
</t>
    </r>
    <r>
      <rPr>
        <u/>
        <sz val="10"/>
        <color theme="1"/>
        <rFont val="Arial"/>
        <family val="2"/>
      </rPr>
      <t>Baseload 
Resource</t>
    </r>
    <r>
      <rPr>
        <sz val="10"/>
        <color theme="1"/>
        <rFont val="Arial"/>
        <family val="2"/>
      </rPr>
      <t xml:space="preserve"> NCF=100%</t>
    </r>
  </si>
  <si>
    <t>(h)=(b)*(g)
Baseload 
Resource</t>
  </si>
  <si>
    <t>(j)=(c)*(i)
Wind 
Resource</t>
  </si>
  <si>
    <t>This Schedule 91 standard rate model is based upon the cost effectiveness standard model that has been used for evaluating individual measures of PSE's Energy Efficiency Services program.</t>
  </si>
  <si>
    <r>
      <t xml:space="preserve">(k)=(f)*0.242
</t>
    </r>
    <r>
      <rPr>
        <u/>
        <sz val="10"/>
        <color theme="1"/>
        <rFont val="Arial"/>
        <family val="2"/>
      </rPr>
      <t>Solar 
Resource</t>
    </r>
    <r>
      <rPr>
        <sz val="10"/>
        <color theme="1"/>
        <rFont val="Arial"/>
        <family val="2"/>
      </rPr>
      <t xml:space="preserve">
NCF=24.2%</t>
    </r>
  </si>
  <si>
    <t>Power prices have been updated to be consistent with PSE's 2021 IRP using the Mid-C prices for the “Base” scenario, and includes the power price forecast from Aurora.</t>
  </si>
  <si>
    <r>
      <t xml:space="preserve">(c)=(a)*0.178        
</t>
    </r>
    <r>
      <rPr>
        <u/>
        <sz val="10"/>
        <color theme="1"/>
        <rFont val="Arial"/>
        <family val="2"/>
      </rPr>
      <t>Wind Resource</t>
    </r>
    <r>
      <rPr>
        <sz val="10"/>
        <rFont val="Arial"/>
        <family val="2"/>
      </rPr>
      <t xml:space="preserve"> ELCC=17.8%</t>
    </r>
  </si>
  <si>
    <r>
      <t xml:space="preserve">(d)=(a)*0.040      
</t>
    </r>
    <r>
      <rPr>
        <u/>
        <sz val="10"/>
        <color theme="1"/>
        <rFont val="Arial"/>
        <family val="2"/>
      </rPr>
      <t>Solar Resource</t>
    </r>
    <r>
      <rPr>
        <sz val="10"/>
        <rFont val="Arial"/>
        <family val="2"/>
      </rPr>
      <t xml:space="preserve"> ELCC=4.0%</t>
    </r>
  </si>
  <si>
    <t xml:space="preserve">There are separate calculations for Baseload, Wind and Solar resources which have different capacity values, net capacity factors  and Effective Load Carrying Capability (ELCC) as provided in the 2021 IRP. </t>
  </si>
  <si>
    <t>http://www.oasis.oati.com/woa/docs/PSEI/PSEIdocs/PSE_Tariff_-_10-6-20_final.pdf</t>
  </si>
  <si>
    <t xml:space="preserve">Transmission losses updated as per section 15.7 Real Power Losses, PSE Current Effective OATT
 </t>
  </si>
  <si>
    <t>Deferred T&amp;D Cost Credit ($/kW-yr)</t>
  </si>
  <si>
    <t>NW Power Act Regional Credit</t>
  </si>
  <si>
    <t>($/kW-yr)</t>
  </si>
  <si>
    <t>- Basis for assumptions in this table is PSE's 2021 IRP</t>
  </si>
  <si>
    <t xml:space="preserve">-Capacity Cost: Appendix G, Figure 35, page G-60 </t>
  </si>
  <si>
    <t>-Effective Load Carrying Capably (ELCC): Chapter 7, Figure 7-17 Page 7-28 for "Generic WA East Wind" and "Generic WA East Solar" for Year 2027</t>
  </si>
  <si>
    <t>-Net Capacity Factor (NCF) Appendix D</t>
  </si>
  <si>
    <t>-Solar NCF: Figure D-27, page D-56, Capacity Factor for "Utility Solar WA East"</t>
  </si>
  <si>
    <t>-Wind NCF: Figure D-29, page D-62, Capacity Factor for "On-Shore Wind SE Wash."</t>
  </si>
  <si>
    <t>Forecast Mid-C Power Prices (Nominal $/MWh) from PSE’s 2021 Integrated Resource Plan Base Scenario: Pursuant to WAC 480-106-040(a), the 2021-2041 Avoided Energy Costs are based on PSE’s most current forecast of market prices for the Mid-C Market used in PSE’s final 2021 IRP, which was filed with the UTC on 4/4/2021 under Dockets UE-200304 and UG-200305.  The 2022-2041 Avoided Energy Costs are as shown at Figure 34 of 2021 IRP Appendix G, page G-59.  The 2021 Avoided Energy Costs are from the same market price strip but it just wasn’t shown at Figure 34.</t>
  </si>
  <si>
    <r>
      <t xml:space="preserve">(i)=(f)*"0.367
</t>
    </r>
    <r>
      <rPr>
        <u/>
        <sz val="10"/>
        <color theme="1"/>
        <rFont val="Arial"/>
        <family val="2"/>
      </rPr>
      <t>Wind 
Resource</t>
    </r>
    <r>
      <rPr>
        <sz val="10"/>
        <color theme="1"/>
        <rFont val="Arial"/>
        <family val="2"/>
      </rPr>
      <t xml:space="preserve">
NCF=36.7%</t>
    </r>
  </si>
  <si>
    <t xml:space="preserve">The $12.93/kW-yr (or $12.61/kW-yr levelized 2020 dollar) value is PSE’s own estimated total T&amp;D capacity deferral costs.  The costs are determined based upon PSE’s T&amp;D upgrade projects from 2010 to 2020.  PSE submitted to the Northwest Power and Conservation Council for its development of the 2021 Northwest Power Plan the same capacity deferral costs: $5.219/kW-yr for transmission and $7.396/kW-yr for distribution.  As part of its preparation for the 2021 Power Plan, the Council released on 3/12/2019 its preliminary results of weighted average values of T&amp;D capacity deferral costs: transmission, $3.08/kW-yr; and distribution, $6.85/kW-yr (levelized 2016 dollar).  
For the prior updates of Schedule 91 standard fixed rates, PSE had used the values recommended by the Regional Technical Forum of the 7th Northwest Power Plan.  The total monetary values of avoided transmission and distribution capacity were $27.33/kW-yr (levelized 2012 dollar).  
</t>
  </si>
  <si>
    <t>Line Loss Reduction</t>
  </si>
  <si>
    <t xml:space="preserve">Pricing </t>
  </si>
  <si>
    <t>Updated</t>
  </si>
  <si>
    <t>Previous</t>
  </si>
  <si>
    <t>20 yr Levelized Price</t>
  </si>
  <si>
    <t>Capacity ELCC</t>
  </si>
  <si>
    <t>Frame peaker</t>
  </si>
  <si>
    <t xml:space="preserve">Net Capacity Factor </t>
  </si>
  <si>
    <t>Cost of Capacity $/KW</t>
  </si>
  <si>
    <t>T&amp;D Deferral</t>
  </si>
  <si>
    <t>Results - Summarized</t>
  </si>
  <si>
    <t>Input Tabs</t>
  </si>
  <si>
    <t>1.  Updated TAB [Energy Prices].</t>
  </si>
  <si>
    <t>3. Update TAB [Cost of Capital]</t>
  </si>
  <si>
    <t>Based on the most recent approved GRC UE-190529/UG-190530</t>
  </si>
  <si>
    <t>This is set in the Cost of Capital</t>
  </si>
  <si>
    <t xml:space="preserve">The $12.93/kW-yr (or $12.61/kW-yr levelized 2020 dollar) value is PSE’s own estimated total T&amp;D capacity deferral costs.  The costs are determined based upon PSE’s T&amp;D upgrade projects from 2010 to 2020. </t>
  </si>
  <si>
    <t>5.  The [FlatLoadShapeEnergy_perMWH] TAB  calculates the levelized cost of energy.</t>
  </si>
  <si>
    <t xml:space="preserve">Capacity Cost: Appendix G, Figure 35, page G-60 </t>
  </si>
  <si>
    <t>Effective Load Carrying Capably (ELCC): Chapter 7, Figure 7-17 Page 7-28 for "Generic WA East Wind" and "Generic WA East Solar" for Year 2027</t>
  </si>
  <si>
    <t>Net Capacity Factor (NCF) Appendix D</t>
  </si>
  <si>
    <t>Solar NCF: Figure D-27, page D-56, Capacity Factor for "Utility Solar WA East"</t>
  </si>
  <si>
    <t>Wind NCF: Figure D-29, page D-62, Capacity Factor for "On-Shore Wind SE Wash."</t>
  </si>
  <si>
    <t>The information is summarized from  [Electric EES CE Std Energy]  TAB.</t>
  </si>
  <si>
    <t>2. Updated TAB  [Capacity Delivered]</t>
  </si>
  <si>
    <t>(l)=(d)*(k)          
                                                                                                                                                                                                                                                                                                                                                                                                                                                                       Solar
Resource</t>
  </si>
  <si>
    <t>The avoided capacity cost is comprised of the capacity benefit and the T&amp;D deferral benefit.</t>
  </si>
  <si>
    <t>The results in column X reflects  the annual cost and column Y the levelized cost based on the number of years in the calculation.</t>
  </si>
  <si>
    <t xml:space="preserve">6. The [Electric EES CE Std Energy] summarized the information is summarized from[FlatLoadShapeEnergy_perMWH] TAB   </t>
  </si>
  <si>
    <t>Column I is fed from the [Energy Prices] TAB</t>
  </si>
  <si>
    <t>The benefit of the avoided cost of transmission line losses since the energy is delivered to PSE distribution system is in column J.</t>
  </si>
  <si>
    <t xml:space="preserve">Row 5 shows the Total Avoided Cost levelized cost </t>
  </si>
  <si>
    <t>Row 9 is  the levelized cost over the time period.</t>
  </si>
  <si>
    <t>Row 13 shows the results of converting  the levelized cost stream to escalating price stream.</t>
  </si>
  <si>
    <t>Conservation benefit not used</t>
  </si>
  <si>
    <t>Cell L6 includes the  reserve requirement.</t>
  </si>
  <si>
    <t>Basis for assumptions in this table is PSE's 2021 IRP</t>
  </si>
  <si>
    <t>Columns N and O are the present value and the cumulative present value respectively  of the energy that is used to calculated the levelized cost in column P.</t>
  </si>
  <si>
    <t>7. The output TABS indicate the avoided costs for baseload, solar and wind varied by number of years --  5, 10 and 15.</t>
  </si>
  <si>
    <t>8.  [Output Summary] TAB summarizes the results from the proposed filing and the prior UTC approved filing.</t>
  </si>
  <si>
    <t>Avoided cost is converted from $/KW  to $/MWh  based on the Effective Load Carrying Capability (ELCC) and the net capacity factor  (NCF) of each type of resource.</t>
  </si>
  <si>
    <t>4. Update the Avoided capacity cost tabs for:[Baseload Avoided Capacity Calcs], [Wind Avoided Cost Calcs], and [Solar Avoided Cost Calcs]</t>
  </si>
  <si>
    <t>Inflation rate</t>
  </si>
  <si>
    <t>Note:  There is no change for this update since the same approved GRC cost of capital has been effective for both 2020 and 2021 updates.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</si>
</sst>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8" formatCode="&quot;$&quot;#,##0.00_);[Red]\(&quot;$&quot;#,##0.00\)"/>
    <numFmt numFmtId="41" formatCode="_(* #,##0_);_(* \(#,##0\);_(* &quot;-&quot;_);_(@_)"/>
    <numFmt numFmtId="44" formatCode="_(&quot;$&quot;* #,##0.00_);_(&quot;$&quot;* \(#,##0.00\);_(&quot;$&quot;* &quot;-&quot;??_);_(@_)"/>
    <numFmt numFmtId="43" formatCode="_(* #,##0.00_);_(* \(#,##0.00\);_(* &quot;-&quot;??_);_(@_)"/>
    <numFmt numFmtId="164" formatCode="0.0000"/>
    <numFmt numFmtId="165" formatCode="0.0000000"/>
    <numFmt numFmtId="166" formatCode="0.000000"/>
    <numFmt numFmtId="167" formatCode="0.0%"/>
    <numFmt numFmtId="168" formatCode="&quot;$&quot;#,##0.00"/>
    <numFmt numFmtId="169" formatCode="_(&quot;$&quot;* #,##0.0000_);_(&quot;$&quot;* \(#,##0.0000\);_(&quot;$&quot;* &quot;-&quot;??_);_(@_)"/>
    <numFmt numFmtId="170" formatCode="_(&quot;$&quot;* #,##0.00000_);_(&quot;$&quot;* \(#,##0.00000\);_(&quot;$&quot;* &quot;-&quot;??_);_(@_)"/>
    <numFmt numFmtId="171" formatCode="_(* #,##0.0000_);_(* \(#,##0.0000\);_(* &quot;-&quot;??_);_(@_)"/>
    <numFmt numFmtId="172" formatCode="_(&quot;$&quot;* #,##0_);_(&quot;$&quot;* \(#,##0\);_(&quot;$&quot;* &quot;-&quot;??_);_(@_)"/>
    <numFmt numFmtId="173" formatCode="_(* #,##0_);_(* \(#,##0\);_(* &quot;-&quot;??_);_(@_)"/>
    <numFmt numFmtId="174" formatCode="_(* #,##0.000000000000_);_(* \(#,##0.000000000000\);_(* &quot;-&quot;??_);_(@_)"/>
    <numFmt numFmtId="175" formatCode="&quot;$&quot;#,##0.00_);\(&quot;$&quot;#,##0.00\);@_)"/>
    <numFmt numFmtId="176" formatCode="&quot;$&quot;#,##0.000_);[Red]\(&quot;$&quot;#,##0.000\)"/>
    <numFmt numFmtId="177" formatCode="0.00%_);\(0.00%\);&quot;–&quot;_)"/>
    <numFmt numFmtId="178" formatCode="#,##0.00_);\(#,##0.00\);\–_);&quot;–&quot;_)"/>
    <numFmt numFmtId="179" formatCode="0.0%_);\(0.0%\);&quot;–&quot;_)"/>
  </numFmts>
  <fonts count="55"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Arial"/>
      <family val="2"/>
    </font>
    <font>
      <sz val="10"/>
      <name val="Arial"/>
      <family val="2"/>
    </font>
    <font>
      <u/>
      <sz val="7.5"/>
      <color indexed="12"/>
      <name val="Arial"/>
      <family val="2"/>
    </font>
    <font>
      <sz val="8"/>
      <name val="Arial"/>
      <family val="2"/>
    </font>
    <font>
      <b/>
      <sz val="12"/>
      <name val="Arial"/>
      <family val="2"/>
    </font>
    <font>
      <sz val="10"/>
      <name val="Arial"/>
      <family val="2"/>
    </font>
    <font>
      <sz val="12"/>
      <name val="Arial"/>
      <family val="2"/>
    </font>
    <font>
      <b/>
      <sz val="10"/>
      <name val="Arial"/>
      <family val="2"/>
    </font>
    <font>
      <sz val="1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color indexed="10"/>
      <name val="Arial"/>
      <family val="2"/>
    </font>
    <font>
      <sz val="12"/>
      <color indexed="8"/>
      <name val="Arial"/>
      <family val="2"/>
    </font>
    <font>
      <b/>
      <sz val="11"/>
      <name val="Arial"/>
      <family val="2"/>
    </font>
    <font>
      <sz val="12"/>
      <color theme="1"/>
      <name val="Arial"/>
      <family val="2"/>
    </font>
    <font>
      <b/>
      <i/>
      <sz val="12"/>
      <color theme="1"/>
      <name val="Arial"/>
      <family val="2"/>
    </font>
    <font>
      <sz val="12"/>
      <color rgb="FFFFFFFF"/>
      <name val="Arial"/>
      <family val="2"/>
    </font>
    <font>
      <b/>
      <sz val="12"/>
      <color rgb="FFFFFFFF"/>
      <name val="Arial"/>
      <family val="2"/>
    </font>
    <font>
      <b/>
      <sz val="12"/>
      <color rgb="FF000000"/>
      <name val="Arial"/>
      <family val="2"/>
    </font>
    <font>
      <sz val="12"/>
      <color rgb="FF000000"/>
      <name val="Arial"/>
      <family val="2"/>
    </font>
    <font>
      <b/>
      <sz val="10"/>
      <color theme="1"/>
      <name val="Times New Roman"/>
      <family val="1"/>
    </font>
    <font>
      <sz val="10"/>
      <color theme="1"/>
      <name val="Times New Roman"/>
      <family val="1"/>
    </font>
    <font>
      <sz val="8"/>
      <color theme="1"/>
      <name val="Times New Roman"/>
      <family val="1"/>
    </font>
    <font>
      <sz val="11"/>
      <color rgb="FFFF0000"/>
      <name val="Calibri"/>
      <family val="2"/>
      <scheme val="minor"/>
    </font>
    <font>
      <i/>
      <sz val="12"/>
      <name val="Arial"/>
      <family val="2"/>
    </font>
    <font>
      <sz val="12"/>
      <color indexed="9"/>
      <name val="Arial"/>
      <family val="2"/>
    </font>
    <font>
      <u/>
      <sz val="12"/>
      <name val="Arial"/>
      <family val="2"/>
    </font>
    <font>
      <sz val="11"/>
      <color indexed="8"/>
      <name val="Arial"/>
      <family val="2"/>
    </font>
    <font>
      <b/>
      <sz val="12"/>
      <color indexed="10"/>
      <name val="Arial"/>
      <family val="2"/>
    </font>
    <font>
      <sz val="11"/>
      <color rgb="FF1F497D"/>
      <name val="Calibri"/>
      <family val="2"/>
    </font>
    <font>
      <sz val="10"/>
      <color theme="1"/>
      <name val="Arial"/>
      <family val="2"/>
    </font>
    <font>
      <b/>
      <sz val="10"/>
      <color theme="1"/>
      <name val="Arial"/>
      <family val="2"/>
    </font>
    <font>
      <u/>
      <sz val="10"/>
      <color theme="1"/>
      <name val="Arial"/>
      <family val="2"/>
    </font>
    <font>
      <sz val="9"/>
      <color indexed="81"/>
      <name val="Tahoma"/>
      <family val="2"/>
    </font>
    <font>
      <sz val="12"/>
      <color theme="9" tint="-0.499984740745262"/>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44"/>
        <bgColor indexed="64"/>
      </patternFill>
    </fill>
    <fill>
      <patternFill patternType="solid">
        <fgColor rgb="FF006A71"/>
        <bgColor indexed="64"/>
      </patternFill>
    </fill>
    <fill>
      <patternFill patternType="solid">
        <fgColor rgb="FFBDD22B"/>
        <bgColor indexed="64"/>
      </patternFill>
    </fill>
    <fill>
      <patternFill patternType="solid">
        <fgColor rgb="FFFFFF66"/>
        <bgColor indexed="64"/>
      </patternFill>
    </fill>
    <fill>
      <patternFill patternType="solid">
        <fgColor rgb="FF92D050"/>
        <bgColor indexed="64"/>
      </patternFill>
    </fill>
    <fill>
      <patternFill patternType="solid">
        <fgColor theme="7" tint="0.79998168889431442"/>
        <bgColor indexed="64"/>
      </patternFill>
    </fill>
    <fill>
      <patternFill patternType="solid">
        <fgColor rgb="FFFFFF00"/>
        <bgColor indexed="64"/>
      </patternFill>
    </fill>
  </fills>
  <borders count="7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top/>
      <bottom style="medium">
        <color indexed="64"/>
      </bottom>
      <diagonal/>
    </border>
    <border>
      <left style="medium">
        <color indexed="64"/>
      </left>
      <right style="medium">
        <color rgb="FF000000"/>
      </right>
      <top style="thin">
        <color indexed="64"/>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style="medium">
        <color rgb="FF000000"/>
      </left>
      <right style="thin">
        <color indexed="64"/>
      </right>
      <top style="thin">
        <color indexed="64"/>
      </top>
      <bottom style="medium">
        <color rgb="FF000000"/>
      </bottom>
      <diagonal/>
    </border>
    <border>
      <left style="medium">
        <color rgb="FF000000"/>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indexed="64"/>
      </right>
      <top/>
      <bottom style="thin">
        <color indexed="64"/>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rgb="FF000000"/>
      </right>
      <top/>
      <bottom/>
      <diagonal/>
    </border>
    <border>
      <left style="medium">
        <color rgb="FF000000"/>
      </left>
      <right style="thin">
        <color indexed="64"/>
      </right>
      <top style="thin">
        <color indexed="64"/>
      </top>
      <bottom style="thin">
        <color indexed="64"/>
      </bottom>
      <diagonal/>
    </border>
    <border>
      <left style="medium">
        <color rgb="FF000000"/>
      </left>
      <right style="thin">
        <color indexed="64"/>
      </right>
      <top style="medium">
        <color rgb="FF000000"/>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rgb="FF000000"/>
      </top>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medium">
        <color rgb="FF000000"/>
      </right>
      <top style="medium">
        <color indexed="64"/>
      </top>
      <bottom/>
      <diagonal/>
    </border>
    <border>
      <left style="thin">
        <color rgb="FF000000"/>
      </left>
      <right style="medium">
        <color rgb="FF000000"/>
      </right>
      <top/>
      <bottom/>
      <diagonal/>
    </border>
    <border>
      <left style="thin">
        <color rgb="FF000000"/>
      </left>
      <right style="medium">
        <color rgb="FF000000"/>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style="thin">
        <color rgb="FF000000"/>
      </bottom>
      <diagonal/>
    </border>
    <border>
      <left/>
      <right style="medium">
        <color indexed="64"/>
      </right>
      <top/>
      <bottom style="thin">
        <color rgb="FF000000"/>
      </bottom>
      <diagonal/>
    </border>
    <border>
      <left/>
      <right style="medium">
        <color indexed="64"/>
      </right>
      <top style="medium">
        <color rgb="FF000000"/>
      </top>
      <bottom style="thin">
        <color indexed="64"/>
      </bottom>
      <diagonal/>
    </border>
    <border>
      <left/>
      <right/>
      <top style="medium">
        <color rgb="FF000000"/>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rgb="FF000000"/>
      </left>
      <right style="medium">
        <color indexed="64"/>
      </right>
      <top/>
      <bottom/>
      <diagonal/>
    </border>
    <border>
      <left style="medium">
        <color rgb="FF000000"/>
      </left>
      <right style="medium">
        <color indexed="64"/>
      </right>
      <top style="thin">
        <color rgb="FF000000"/>
      </top>
      <bottom style="medium">
        <color rgb="FF000000"/>
      </bottom>
      <diagonal/>
    </border>
    <border>
      <left/>
      <right style="medium">
        <color indexed="64"/>
      </right>
      <top style="thin">
        <color indexed="64"/>
      </top>
      <bottom/>
      <diagonal/>
    </border>
    <border>
      <left style="medium">
        <color indexed="64"/>
      </left>
      <right style="medium">
        <color rgb="FF000000"/>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66">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43" fontId="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4" fontId="5"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7" fillId="0" borderId="0" applyNumberFormat="0" applyFill="0" applyBorder="0" applyAlignment="0" applyProtection="0">
      <alignment vertical="top"/>
      <protection locked="0"/>
    </xf>
    <xf numFmtId="0" fontId="24" fillId="7" borderId="1" applyNumberFormat="0" applyAlignment="0" applyProtection="0"/>
    <xf numFmtId="0" fontId="25" fillId="0" borderId="6" applyNumberFormat="0" applyFill="0" applyAlignment="0" applyProtection="0"/>
    <xf numFmtId="0" fontId="26" fillId="22" borderId="0" applyNumberFormat="0" applyBorder="0" applyAlignment="0" applyProtection="0"/>
    <xf numFmtId="0" fontId="10" fillId="0" borderId="0"/>
    <xf numFmtId="0" fontId="14" fillId="0" borderId="0"/>
    <xf numFmtId="0" fontId="10" fillId="0" borderId="0"/>
    <xf numFmtId="0" fontId="14" fillId="0" borderId="0"/>
    <xf numFmtId="0" fontId="14" fillId="23" borderId="7" applyNumberFormat="0" applyFont="0" applyAlignment="0" applyProtection="0"/>
    <xf numFmtId="0" fontId="27" fillId="20" borderId="8" applyNumberFormat="0" applyAlignment="0" applyProtection="0"/>
    <xf numFmtId="9" fontId="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66" fontId="6" fillId="0" borderId="0">
      <alignment horizontal="left" wrapText="1"/>
    </xf>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0" fontId="4" fillId="0" borderId="0"/>
    <xf numFmtId="43" fontId="4" fillId="0" borderId="0" applyFont="0" applyFill="0" applyBorder="0" applyAlignment="0" applyProtection="0"/>
    <xf numFmtId="0" fontId="3" fillId="0" borderId="0"/>
    <xf numFmtId="44" fontId="3"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0" fontId="2" fillId="0" borderId="0"/>
    <xf numFmtId="9" fontId="2" fillId="0" borderId="0" applyFont="0" applyFill="0" applyBorder="0" applyAlignment="0" applyProtection="0"/>
    <xf numFmtId="0" fontId="1" fillId="0" borderId="0"/>
  </cellStyleXfs>
  <cellXfs count="377">
    <xf numFmtId="0" fontId="0" fillId="0" borderId="0" xfId="0"/>
    <xf numFmtId="8" fontId="0" fillId="0" borderId="0" xfId="0" applyNumberFormat="1"/>
    <xf numFmtId="0" fontId="0" fillId="0" borderId="0" xfId="0" applyAlignment="1">
      <alignment horizontal="center"/>
    </xf>
    <xf numFmtId="0" fontId="9" fillId="0" borderId="0" xfId="0" applyFont="1" applyAlignment="1">
      <alignment horizontal="center" wrapText="1"/>
    </xf>
    <xf numFmtId="0" fontId="9" fillId="0" borderId="11" xfId="0" applyFont="1" applyBorder="1" applyAlignment="1">
      <alignment horizontal="center"/>
    </xf>
    <xf numFmtId="0" fontId="9" fillId="0" borderId="0" xfId="0" applyFont="1"/>
    <xf numFmtId="0" fontId="12" fillId="0" borderId="10" xfId="0" applyFont="1" applyBorder="1" applyAlignment="1">
      <alignment horizontal="center" wrapText="1"/>
    </xf>
    <xf numFmtId="0" fontId="12" fillId="0" borderId="0" xfId="0" applyFont="1"/>
    <xf numFmtId="0" fontId="0" fillId="0" borderId="10" xfId="0" applyBorder="1" applyAlignment="1">
      <alignment horizontal="center"/>
    </xf>
    <xf numFmtId="2" fontId="0" fillId="0" borderId="0" xfId="0" applyNumberFormat="1" applyBorder="1"/>
    <xf numFmtId="164" fontId="0" fillId="0" borderId="0" xfId="0" applyNumberFormat="1"/>
    <xf numFmtId="41" fontId="10" fillId="0" borderId="0" xfId="28" applyNumberFormat="1" applyFont="1" applyFill="1" applyBorder="1" applyAlignment="1">
      <alignment horizontal="right"/>
    </xf>
    <xf numFmtId="165" fontId="0" fillId="0" borderId="0" xfId="0" applyNumberFormat="1" applyFill="1" applyAlignment="1">
      <alignment horizontal="right"/>
    </xf>
    <xf numFmtId="165" fontId="0" fillId="0" borderId="0" xfId="0" applyNumberFormat="1" applyAlignment="1">
      <alignment horizontal="right"/>
    </xf>
    <xf numFmtId="0" fontId="31" fillId="0" borderId="0" xfId="47" applyFont="1"/>
    <xf numFmtId="0" fontId="9" fillId="0" borderId="0" xfId="47" applyFont="1" applyAlignment="1">
      <alignment horizontal="center"/>
    </xf>
    <xf numFmtId="0" fontId="9" fillId="0" borderId="0" xfId="47" applyFont="1" applyAlignment="1">
      <alignment horizontal="center" wrapText="1"/>
    </xf>
    <xf numFmtId="0" fontId="9" fillId="0" borderId="0" xfId="47" applyFont="1" applyFill="1" applyAlignment="1">
      <alignment horizontal="center" wrapText="1"/>
    </xf>
    <xf numFmtId="0" fontId="9" fillId="0" borderId="11" xfId="47" applyFont="1" applyBorder="1" applyAlignment="1">
      <alignment horizontal="center"/>
    </xf>
    <xf numFmtId="0" fontId="9" fillId="0" borderId="11" xfId="47" applyFont="1" applyFill="1" applyBorder="1" applyAlignment="1">
      <alignment horizontal="center"/>
    </xf>
    <xf numFmtId="0" fontId="9" fillId="0" borderId="0" xfId="47" applyFont="1" applyBorder="1" applyAlignment="1">
      <alignment horizontal="right"/>
    </xf>
    <xf numFmtId="0" fontId="13" fillId="0" borderId="0" xfId="47" applyFont="1" applyFill="1"/>
    <xf numFmtId="0" fontId="9" fillId="0" borderId="0" xfId="46" applyFont="1" applyFill="1" applyAlignment="1">
      <alignment horizontal="right"/>
    </xf>
    <xf numFmtId="0" fontId="9" fillId="0" borderId="0" xfId="46" applyFont="1" applyFill="1" applyAlignment="1">
      <alignment horizontal="center"/>
    </xf>
    <xf numFmtId="0" fontId="9" fillId="0" borderId="0" xfId="46" applyFont="1" applyFill="1" applyAlignment="1">
      <alignment horizontal="center" wrapText="1"/>
    </xf>
    <xf numFmtId="0" fontId="9" fillId="0" borderId="0" xfId="46" applyFont="1" applyFill="1" applyBorder="1" applyAlignment="1">
      <alignment horizontal="center" wrapText="1"/>
    </xf>
    <xf numFmtId="0" fontId="9" fillId="0" borderId="11" xfId="46" applyFont="1" applyFill="1" applyBorder="1" applyAlignment="1">
      <alignment horizontal="center"/>
    </xf>
    <xf numFmtId="0" fontId="9" fillId="0" borderId="0" xfId="46" applyFont="1" applyFill="1" applyBorder="1" applyAlignment="1">
      <alignment horizontal="center"/>
    </xf>
    <xf numFmtId="0" fontId="9" fillId="0" borderId="0" xfId="46" applyFont="1" applyFill="1" applyBorder="1" applyAlignment="1">
      <alignment horizontal="right"/>
    </xf>
    <xf numFmtId="0" fontId="0" fillId="0" borderId="0" xfId="0" quotePrefix="1"/>
    <xf numFmtId="44" fontId="12" fillId="0" borderId="10" xfId="31" applyFont="1" applyFill="1" applyBorder="1" applyAlignment="1">
      <alignment horizontal="center" wrapText="1"/>
    </xf>
    <xf numFmtId="0" fontId="5" fillId="0" borderId="0" xfId="47" applyFont="1" applyFill="1" applyAlignment="1">
      <alignment horizontal="left"/>
    </xf>
    <xf numFmtId="44" fontId="5" fillId="0" borderId="0" xfId="31" applyFont="1" applyBorder="1"/>
    <xf numFmtId="0" fontId="5" fillId="0" borderId="0" xfId="47" applyFont="1"/>
    <xf numFmtId="0" fontId="9" fillId="0" borderId="0" xfId="46" applyFont="1" applyFill="1" applyBorder="1"/>
    <xf numFmtId="0" fontId="0" fillId="0" borderId="0" xfId="0" applyBorder="1"/>
    <xf numFmtId="44" fontId="0" fillId="0" borderId="10" xfId="31" applyFont="1" applyBorder="1"/>
    <xf numFmtId="0" fontId="5" fillId="0" borderId="0" xfId="47" applyFont="1" applyFill="1" applyAlignment="1">
      <alignment horizontal="center"/>
    </xf>
    <xf numFmtId="0" fontId="5" fillId="0" borderId="0" xfId="46" applyFont="1" applyFill="1" applyAlignment="1">
      <alignment horizontal="center"/>
    </xf>
    <xf numFmtId="0" fontId="5" fillId="0" borderId="0" xfId="47" applyFont="1" applyAlignment="1">
      <alignment horizontal="center"/>
    </xf>
    <xf numFmtId="44" fontId="5" fillId="0" borderId="0" xfId="31" applyFont="1"/>
    <xf numFmtId="44" fontId="5" fillId="0" borderId="0" xfId="31" applyFont="1" applyAlignment="1">
      <alignment horizontal="center"/>
    </xf>
    <xf numFmtId="0" fontId="9" fillId="0" borderId="0" xfId="0" applyFont="1" applyAlignment="1">
      <alignment horizontal="center"/>
    </xf>
    <xf numFmtId="8" fontId="0" fillId="0" borderId="0" xfId="0" applyNumberFormat="1" applyBorder="1"/>
    <xf numFmtId="0" fontId="5" fillId="0" borderId="0" xfId="47" applyFont="1" applyFill="1"/>
    <xf numFmtId="168" fontId="5" fillId="0" borderId="0" xfId="32" applyNumberFormat="1" applyFont="1" applyFill="1" applyAlignment="1">
      <alignment horizontal="right"/>
    </xf>
    <xf numFmtId="10" fontId="5" fillId="0" borderId="10" xfId="50" applyNumberFormat="1" applyFont="1" applyFill="1" applyBorder="1" applyAlignment="1">
      <alignment horizontal="right"/>
    </xf>
    <xf numFmtId="167" fontId="5" fillId="0" borderId="0" xfId="51" applyNumberFormat="1" applyFont="1" applyAlignment="1">
      <alignment horizontal="right"/>
    </xf>
    <xf numFmtId="8" fontId="5" fillId="0" borderId="0" xfId="31" applyNumberFormat="1" applyFont="1" applyAlignment="1">
      <alignment horizontal="center"/>
    </xf>
    <xf numFmtId="0" fontId="5" fillId="0" borderId="0" xfId="47" applyFont="1" applyAlignment="1">
      <alignment horizontal="right"/>
    </xf>
    <xf numFmtId="0" fontId="5" fillId="0" borderId="0" xfId="47" applyFont="1" applyBorder="1"/>
    <xf numFmtId="168" fontId="5" fillId="0" borderId="0" xfId="32" applyNumberFormat="1" applyFont="1" applyFill="1" applyBorder="1" applyAlignment="1">
      <alignment horizontal="right"/>
    </xf>
    <xf numFmtId="167" fontId="5" fillId="0" borderId="0" xfId="51" applyNumberFormat="1" applyFont="1" applyBorder="1"/>
    <xf numFmtId="0" fontId="5" fillId="0" borderId="0" xfId="0" applyFont="1"/>
    <xf numFmtId="44" fontId="5" fillId="0" borderId="0" xfId="47" applyNumberFormat="1" applyFont="1" applyFill="1"/>
    <xf numFmtId="172" fontId="5" fillId="0" borderId="0" xfId="47" applyNumberFormat="1" applyFont="1" applyFill="1"/>
    <xf numFmtId="172" fontId="5" fillId="0" borderId="0" xfId="32" applyNumberFormat="1" applyFont="1" applyFill="1" applyAlignment="1">
      <alignment horizontal="center"/>
    </xf>
    <xf numFmtId="0" fontId="35" fillId="0" borderId="0" xfId="0" applyFont="1"/>
    <xf numFmtId="0" fontId="34" fillId="0" borderId="0" xfId="59" applyFont="1"/>
    <xf numFmtId="0" fontId="36" fillId="26" borderId="14" xfId="0" applyFont="1" applyFill="1" applyBorder="1" applyAlignment="1">
      <alignment vertical="center"/>
    </xf>
    <xf numFmtId="0" fontId="39" fillId="0" borderId="20" xfId="0" applyFont="1" applyBorder="1" applyAlignment="1">
      <alignment horizontal="right" vertical="center"/>
    </xf>
    <xf numFmtId="2" fontId="39" fillId="0" borderId="19" xfId="0" applyNumberFormat="1" applyFont="1" applyBorder="1" applyAlignment="1">
      <alignment horizontal="right" vertical="center"/>
    </xf>
    <xf numFmtId="0" fontId="39" fillId="0" borderId="0" xfId="0" applyFont="1" applyBorder="1" applyAlignment="1">
      <alignment horizontal="right" vertical="center"/>
    </xf>
    <xf numFmtId="2" fontId="39" fillId="0" borderId="0" xfId="0" applyNumberFormat="1" applyFont="1" applyBorder="1" applyAlignment="1">
      <alignment horizontal="right" vertical="center"/>
    </xf>
    <xf numFmtId="2" fontId="39" fillId="0" borderId="0" xfId="0" applyNumberFormat="1" applyFont="1" applyFill="1" applyBorder="1" applyAlignment="1">
      <alignment horizontal="right" vertical="center"/>
    </xf>
    <xf numFmtId="0" fontId="34" fillId="0" borderId="0" xfId="59" applyFont="1" applyAlignment="1">
      <alignment horizontal="right"/>
    </xf>
    <xf numFmtId="8" fontId="34" fillId="0" borderId="31" xfId="59" applyNumberFormat="1" applyFont="1" applyBorder="1"/>
    <xf numFmtId="0" fontId="37" fillId="26" borderId="15" xfId="0" applyFont="1" applyFill="1" applyBorder="1" applyAlignment="1">
      <alignment horizontal="center" vertical="center"/>
    </xf>
    <xf numFmtId="0" fontId="37" fillId="26" borderId="16" xfId="0" applyFont="1" applyFill="1" applyBorder="1" applyAlignment="1">
      <alignment horizontal="center" vertical="center"/>
    </xf>
    <xf numFmtId="0" fontId="38" fillId="27" borderId="17" xfId="0" applyFont="1" applyFill="1" applyBorder="1" applyAlignment="1">
      <alignment horizontal="centerContinuous" vertical="center"/>
    </xf>
    <xf numFmtId="0" fontId="38" fillId="27" borderId="18" xfId="0" applyFont="1" applyFill="1" applyBorder="1" applyAlignment="1">
      <alignment horizontal="centerContinuous" vertical="center"/>
    </xf>
    <xf numFmtId="0" fontId="38" fillId="27" borderId="19" xfId="0" applyFont="1" applyFill="1" applyBorder="1" applyAlignment="1">
      <alignment horizontal="centerContinuous" vertical="center"/>
    </xf>
    <xf numFmtId="0" fontId="34" fillId="0" borderId="0" xfId="59" applyFont="1" applyAlignment="1">
      <alignment horizontal="right" indent="1"/>
    </xf>
    <xf numFmtId="0" fontId="34" fillId="0" borderId="0" xfId="59" applyFont="1" applyBorder="1" applyAlignment="1">
      <alignment horizontal="right" indent="1"/>
    </xf>
    <xf numFmtId="177" fontId="34" fillId="0" borderId="0" xfId="50" applyNumberFormat="1" applyFont="1" applyAlignment="1">
      <alignment horizontal="right"/>
    </xf>
    <xf numFmtId="0" fontId="2" fillId="0" borderId="0" xfId="63"/>
    <xf numFmtId="0" fontId="40" fillId="0" borderId="14" xfId="63" applyFont="1" applyBorder="1" applyAlignment="1">
      <alignment vertical="center"/>
    </xf>
    <xf numFmtId="0" fontId="41" fillId="0" borderId="15" xfId="63" applyFont="1" applyBorder="1" applyAlignment="1">
      <alignment vertical="center"/>
    </xf>
    <xf numFmtId="0" fontId="40" fillId="0" borderId="16" xfId="63" applyFont="1" applyBorder="1" applyAlignment="1">
      <alignment horizontal="right" vertical="center"/>
    </xf>
    <xf numFmtId="0" fontId="42" fillId="0" borderId="41" xfId="63" applyFont="1" applyBorder="1" applyAlignment="1">
      <alignment vertical="center"/>
    </xf>
    <xf numFmtId="0" fontId="41" fillId="0" borderId="0" xfId="63" applyFont="1"/>
    <xf numFmtId="0" fontId="40" fillId="0" borderId="42" xfId="63" applyFont="1" applyBorder="1" applyAlignment="1">
      <alignment horizontal="right" vertical="center"/>
    </xf>
    <xf numFmtId="0" fontId="41" fillId="0" borderId="41" xfId="63" applyFont="1" applyBorder="1" applyAlignment="1">
      <alignment vertical="center"/>
    </xf>
    <xf numFmtId="0" fontId="40" fillId="0" borderId="41" xfId="63" applyFont="1" applyBorder="1" applyAlignment="1">
      <alignment horizontal="center" vertical="center"/>
    </xf>
    <xf numFmtId="0" fontId="40" fillId="0" borderId="42" xfId="63" applyFont="1" applyBorder="1" applyAlignment="1">
      <alignment vertical="center"/>
    </xf>
    <xf numFmtId="0" fontId="41" fillId="0" borderId="42" xfId="63" applyFont="1" applyBorder="1" applyAlignment="1">
      <alignment vertical="center"/>
    </xf>
    <xf numFmtId="0" fontId="41" fillId="0" borderId="0" xfId="63" applyFont="1" applyAlignment="1">
      <alignment horizontal="center" vertical="center"/>
    </xf>
    <xf numFmtId="0" fontId="41" fillId="0" borderId="42" xfId="63" applyFont="1" applyBorder="1" applyAlignment="1">
      <alignment horizontal="center" vertical="center"/>
    </xf>
    <xf numFmtId="0" fontId="40" fillId="0" borderId="43" xfId="63" applyFont="1" applyBorder="1" applyAlignment="1">
      <alignment horizontal="center" vertical="center"/>
    </xf>
    <xf numFmtId="0" fontId="40" fillId="0" borderId="21" xfId="63" applyFont="1" applyBorder="1" applyAlignment="1">
      <alignment vertical="center"/>
    </xf>
    <xf numFmtId="0" fontId="41" fillId="0" borderId="21" xfId="63" applyFont="1" applyBorder="1" applyAlignment="1">
      <alignment horizontal="center" vertical="center"/>
    </xf>
    <xf numFmtId="0" fontId="41" fillId="0" borderId="44" xfId="63" applyFont="1" applyBorder="1" applyAlignment="1">
      <alignment horizontal="center" vertical="center"/>
    </xf>
    <xf numFmtId="0" fontId="41" fillId="0" borderId="41" xfId="63" applyFont="1" applyBorder="1" applyAlignment="1">
      <alignment horizontal="center" vertical="center"/>
    </xf>
    <xf numFmtId="0" fontId="41" fillId="0" borderId="0" xfId="63" applyFont="1" applyAlignment="1">
      <alignment vertical="center"/>
    </xf>
    <xf numFmtId="10" fontId="41" fillId="29" borderId="0" xfId="63" applyNumberFormat="1" applyFont="1" applyFill="1" applyAlignment="1">
      <alignment horizontal="right" vertical="center"/>
    </xf>
    <xf numFmtId="10" fontId="41" fillId="29" borderId="42" xfId="63" applyNumberFormat="1" applyFont="1" applyFill="1" applyBorder="1" applyAlignment="1">
      <alignment horizontal="right" vertical="center"/>
    </xf>
    <xf numFmtId="10" fontId="41" fillId="29" borderId="21" xfId="63" applyNumberFormat="1" applyFont="1" applyFill="1" applyBorder="1" applyAlignment="1">
      <alignment horizontal="right" vertical="center"/>
    </xf>
    <xf numFmtId="10" fontId="41" fillId="29" borderId="15" xfId="63" applyNumberFormat="1" applyFont="1" applyFill="1" applyBorder="1" applyAlignment="1">
      <alignment horizontal="right" vertical="center"/>
    </xf>
    <xf numFmtId="0" fontId="41" fillId="29" borderId="0" xfId="63" applyFont="1" applyFill="1"/>
    <xf numFmtId="10" fontId="41" fillId="0" borderId="0" xfId="63" applyNumberFormat="1" applyFont="1" applyAlignment="1">
      <alignment horizontal="right" vertical="center"/>
    </xf>
    <xf numFmtId="10" fontId="41" fillId="0" borderId="42" xfId="63" applyNumberFormat="1" applyFont="1" applyBorder="1" applyAlignment="1">
      <alignment horizontal="right" vertical="center"/>
    </xf>
    <xf numFmtId="0" fontId="43" fillId="0" borderId="0" xfId="63" applyFont="1"/>
    <xf numFmtId="10" fontId="41" fillId="0" borderId="21" xfId="63" applyNumberFormat="1" applyFont="1" applyBorder="1" applyAlignment="1">
      <alignment horizontal="right" vertical="center"/>
    </xf>
    <xf numFmtId="10" fontId="41" fillId="0" borderId="15" xfId="63" applyNumberFormat="1" applyFont="1" applyBorder="1" applyAlignment="1">
      <alignment horizontal="right" vertical="center"/>
    </xf>
    <xf numFmtId="10" fontId="41" fillId="0" borderId="16" xfId="63" applyNumberFormat="1" applyFont="1" applyBorder="1" applyAlignment="1">
      <alignment horizontal="right" vertical="center"/>
    </xf>
    <xf numFmtId="0" fontId="41" fillId="0" borderId="43" xfId="63" applyFont="1" applyBorder="1" applyAlignment="1">
      <alignment horizontal="center" vertical="center"/>
    </xf>
    <xf numFmtId="0" fontId="41" fillId="0" borderId="21" xfId="63" applyFont="1" applyBorder="1" applyAlignment="1">
      <alignment vertical="center"/>
    </xf>
    <xf numFmtId="0" fontId="41" fillId="0" borderId="44" xfId="63" applyFont="1" applyBorder="1" applyAlignment="1">
      <alignment vertical="center"/>
    </xf>
    <xf numFmtId="10" fontId="41" fillId="29" borderId="45" xfId="63" applyNumberFormat="1" applyFont="1" applyFill="1" applyBorder="1" applyAlignment="1">
      <alignment horizontal="right" vertical="center"/>
    </xf>
    <xf numFmtId="2" fontId="5" fillId="0" borderId="0" xfId="0" applyNumberFormat="1" applyFont="1" applyAlignment="1">
      <alignment horizontal="center" wrapText="1"/>
    </xf>
    <xf numFmtId="2" fontId="5" fillId="0" borderId="0" xfId="0" applyNumberFormat="1" applyFont="1" applyAlignment="1">
      <alignment wrapText="1"/>
    </xf>
    <xf numFmtId="0" fontId="5" fillId="0" borderId="0" xfId="0" applyFont="1" applyAlignment="1">
      <alignment horizontal="center"/>
    </xf>
    <xf numFmtId="44" fontId="5" fillId="0" borderId="0" xfId="0" applyNumberFormat="1" applyFont="1"/>
    <xf numFmtId="0" fontId="5" fillId="0" borderId="0" xfId="0" applyFont="1" applyBorder="1"/>
    <xf numFmtId="173" fontId="5" fillId="0" borderId="0" xfId="0" applyNumberFormat="1" applyFont="1"/>
    <xf numFmtId="44" fontId="5" fillId="0" borderId="0" xfId="0" applyNumberFormat="1" applyFont="1" applyBorder="1"/>
    <xf numFmtId="0" fontId="44" fillId="0" borderId="0" xfId="0" applyFont="1" applyBorder="1"/>
    <xf numFmtId="174" fontId="5" fillId="0" borderId="0" xfId="0" applyNumberFormat="1" applyFont="1"/>
    <xf numFmtId="8" fontId="5" fillId="0" borderId="0" xfId="0" applyNumberFormat="1" applyFont="1" applyBorder="1"/>
    <xf numFmtId="8" fontId="5" fillId="0" borderId="0" xfId="0" applyNumberFormat="1" applyFont="1"/>
    <xf numFmtId="0" fontId="5" fillId="0" borderId="36" xfId="0" applyFont="1" applyFill="1" applyBorder="1"/>
    <xf numFmtId="44" fontId="5" fillId="0" borderId="36" xfId="31" applyFont="1" applyFill="1" applyBorder="1"/>
    <xf numFmtId="175" fontId="5" fillId="0" borderId="0" xfId="31" applyNumberFormat="1" applyFont="1" applyBorder="1"/>
    <xf numFmtId="0" fontId="5" fillId="24" borderId="10" xfId="0" applyFont="1" applyFill="1" applyBorder="1" applyAlignment="1">
      <alignment horizontal="center"/>
    </xf>
    <xf numFmtId="0" fontId="5" fillId="0" borderId="0" xfId="0" applyFont="1" applyFill="1" applyBorder="1"/>
    <xf numFmtId="8" fontId="5" fillId="0" borderId="0" xfId="0" applyNumberFormat="1" applyFont="1" applyFill="1" applyBorder="1"/>
    <xf numFmtId="9" fontId="5" fillId="0" borderId="0" xfId="50" applyFont="1"/>
    <xf numFmtId="0" fontId="45" fillId="0" borderId="0" xfId="0" applyFont="1"/>
    <xf numFmtId="0" fontId="5" fillId="0" borderId="0" xfId="0" applyFont="1" applyFill="1"/>
    <xf numFmtId="2" fontId="5" fillId="0" borderId="0" xfId="0" applyNumberFormat="1" applyFont="1"/>
    <xf numFmtId="40" fontId="5" fillId="0" borderId="0" xfId="0" applyNumberFormat="1" applyFont="1"/>
    <xf numFmtId="17" fontId="46" fillId="0" borderId="0" xfId="0" applyNumberFormat="1" applyFont="1" applyAlignment="1">
      <alignment horizontal="left" vertical="top"/>
    </xf>
    <xf numFmtId="17" fontId="5" fillId="0" borderId="0" xfId="0" applyNumberFormat="1" applyFont="1" applyAlignment="1">
      <alignment horizontal="left" vertical="top"/>
    </xf>
    <xf numFmtId="0" fontId="5" fillId="0" borderId="0" xfId="0" applyFont="1" applyAlignment="1">
      <alignment horizontal="left" vertical="top"/>
    </xf>
    <xf numFmtId="0" fontId="5" fillId="0" borderId="0" xfId="0" applyFont="1" applyFill="1" applyAlignment="1">
      <alignment horizontal="center" vertical="top"/>
    </xf>
    <xf numFmtId="0" fontId="5" fillId="0" borderId="0" xfId="0" applyFont="1" applyFill="1" applyBorder="1" applyAlignment="1">
      <alignment horizontal="center" vertical="top"/>
    </xf>
    <xf numFmtId="0" fontId="9" fillId="0" borderId="0" xfId="0" applyFont="1" applyFill="1" applyAlignment="1">
      <alignment horizontal="left" vertical="top"/>
    </xf>
    <xf numFmtId="176" fontId="5" fillId="0" borderId="0" xfId="0" applyNumberFormat="1" applyFont="1"/>
    <xf numFmtId="0" fontId="5" fillId="0" borderId="34" xfId="0" applyFont="1" applyFill="1" applyBorder="1"/>
    <xf numFmtId="2" fontId="5" fillId="0" borderId="36" xfId="0" applyNumberFormat="1" applyFont="1" applyFill="1" applyBorder="1"/>
    <xf numFmtId="2" fontId="5" fillId="0" borderId="0" xfId="0" applyNumberFormat="1" applyFont="1" applyBorder="1"/>
    <xf numFmtId="164" fontId="5" fillId="0" borderId="0" xfId="0" applyNumberFormat="1" applyFont="1" applyBorder="1"/>
    <xf numFmtId="0" fontId="5" fillId="0" borderId="33" xfId="0" applyFont="1" applyFill="1" applyBorder="1"/>
    <xf numFmtId="40" fontId="5" fillId="0" borderId="33" xfId="0" applyNumberFormat="1" applyFont="1" applyFill="1" applyBorder="1"/>
    <xf numFmtId="2" fontId="5" fillId="0" borderId="0" xfId="0" applyNumberFormat="1" applyFont="1" applyBorder="1" applyAlignment="1">
      <alignment horizontal="center" wrapText="1"/>
    </xf>
    <xf numFmtId="2" fontId="5" fillId="0" borderId="0" xfId="0" applyNumberFormat="1" applyFont="1" applyBorder="1" applyAlignment="1">
      <alignment wrapText="1"/>
    </xf>
    <xf numFmtId="173" fontId="5" fillId="0" borderId="0" xfId="0" applyNumberFormat="1" applyFont="1" applyBorder="1"/>
    <xf numFmtId="171" fontId="5" fillId="0" borderId="36" xfId="28" applyNumberFormat="1" applyFont="1" applyFill="1" applyBorder="1"/>
    <xf numFmtId="173" fontId="5" fillId="0" borderId="36" xfId="28" applyNumberFormat="1" applyFont="1" applyFill="1" applyBorder="1"/>
    <xf numFmtId="1" fontId="5" fillId="0" borderId="36" xfId="0" applyNumberFormat="1" applyFont="1" applyFill="1" applyBorder="1" applyAlignment="1">
      <alignment horizontal="center"/>
    </xf>
    <xf numFmtId="0" fontId="5" fillId="0" borderId="36" xfId="0" applyFont="1" applyFill="1" applyBorder="1" applyAlignment="1">
      <alignment horizontal="center"/>
    </xf>
    <xf numFmtId="170" fontId="5" fillId="0" borderId="36" xfId="31" applyNumberFormat="1" applyFont="1" applyFill="1" applyBorder="1"/>
    <xf numFmtId="169" fontId="5" fillId="0" borderId="36" xfId="31" applyNumberFormat="1" applyFont="1" applyFill="1" applyBorder="1"/>
    <xf numFmtId="169" fontId="5" fillId="0" borderId="36" xfId="0" applyNumberFormat="1" applyFont="1" applyFill="1" applyBorder="1"/>
    <xf numFmtId="44" fontId="5" fillId="0" borderId="36" xfId="0" applyNumberFormat="1" applyFont="1" applyFill="1" applyBorder="1"/>
    <xf numFmtId="44" fontId="5" fillId="28" borderId="35" xfId="0" applyNumberFormat="1" applyFont="1" applyFill="1" applyBorder="1"/>
    <xf numFmtId="44" fontId="5" fillId="28" borderId="23" xfId="0" applyNumberFormat="1" applyFont="1" applyFill="1" applyBorder="1"/>
    <xf numFmtId="44" fontId="5" fillId="28" borderId="26" xfId="0" applyNumberFormat="1" applyFont="1" applyFill="1" applyBorder="1"/>
    <xf numFmtId="178" fontId="5" fillId="0" borderId="36" xfId="0" applyNumberFormat="1" applyFont="1" applyFill="1" applyBorder="1"/>
    <xf numFmtId="178" fontId="5" fillId="0" borderId="34" xfId="31" applyNumberFormat="1" applyFont="1" applyFill="1" applyBorder="1"/>
    <xf numFmtId="170" fontId="10" fillId="0" borderId="10" xfId="31" applyNumberFormat="1" applyFont="1" applyFill="1" applyBorder="1"/>
    <xf numFmtId="10" fontId="0" fillId="0" borderId="37" xfId="50" applyNumberFormat="1" applyFont="1" applyFill="1" applyBorder="1"/>
    <xf numFmtId="0" fontId="9" fillId="0" borderId="33" xfId="46" applyFont="1" applyFill="1" applyBorder="1" applyAlignment="1">
      <alignment horizontal="center"/>
    </xf>
    <xf numFmtId="0" fontId="9" fillId="0" borderId="0" xfId="47" applyFont="1" applyFill="1" applyBorder="1" applyAlignment="1">
      <alignment horizontal="right"/>
    </xf>
    <xf numFmtId="0" fontId="44" fillId="0" borderId="0" xfId="47" applyFont="1" applyFill="1" applyAlignment="1">
      <alignment horizontal="center"/>
    </xf>
    <xf numFmtId="0" fontId="5" fillId="0" borderId="0" xfId="47" applyFont="1" applyBorder="1" applyAlignment="1">
      <alignment horizontal="center"/>
    </xf>
    <xf numFmtId="44" fontId="5" fillId="0" borderId="0" xfId="31" applyFont="1" applyBorder="1" applyAlignment="1">
      <alignment horizontal="center"/>
    </xf>
    <xf numFmtId="0" fontId="9" fillId="0" borderId="33" xfId="47" applyFont="1" applyFill="1" applyBorder="1" applyAlignment="1">
      <alignment horizontal="center"/>
    </xf>
    <xf numFmtId="0" fontId="6" fillId="0" borderId="0" xfId="47" applyFont="1" applyFill="1"/>
    <xf numFmtId="0" fontId="5" fillId="0" borderId="0" xfId="47" applyFont="1" applyFill="1" applyBorder="1"/>
    <xf numFmtId="0" fontId="5" fillId="0" borderId="0" xfId="46" applyFont="1" applyFill="1" applyBorder="1" applyAlignment="1">
      <alignment horizontal="center"/>
    </xf>
    <xf numFmtId="44" fontId="32" fillId="0" borderId="0" xfId="31" applyFont="1" applyFill="1" applyBorder="1"/>
    <xf numFmtId="0" fontId="47" fillId="0" borderId="0" xfId="47" applyFont="1"/>
    <xf numFmtId="0" fontId="6" fillId="0" borderId="0" xfId="0" applyFont="1"/>
    <xf numFmtId="44" fontId="6" fillId="0" borderId="0" xfId="0" applyNumberFormat="1" applyFont="1" applyFill="1"/>
    <xf numFmtId="8" fontId="47" fillId="0" borderId="0" xfId="47" applyNumberFormat="1" applyFont="1" applyFill="1" applyBorder="1"/>
    <xf numFmtId="44" fontId="32" fillId="0" borderId="0" xfId="31" applyNumberFormat="1" applyFont="1" applyFill="1" applyBorder="1"/>
    <xf numFmtId="0" fontId="5" fillId="0" borderId="0" xfId="46" applyFont="1" applyFill="1" applyBorder="1"/>
    <xf numFmtId="10" fontId="5" fillId="0" borderId="37" xfId="51" applyNumberFormat="1" applyFont="1" applyFill="1" applyBorder="1" applyAlignment="1">
      <alignment horizontal="right"/>
    </xf>
    <xf numFmtId="167" fontId="5" fillId="0" borderId="0" xfId="51" applyNumberFormat="1" applyFont="1" applyFill="1" applyBorder="1" applyAlignment="1">
      <alignment horizontal="right"/>
    </xf>
    <xf numFmtId="2" fontId="5" fillId="0" borderId="0" xfId="46" applyNumberFormat="1" applyFont="1" applyFill="1" applyBorder="1" applyAlignment="1">
      <alignment horizontal="center"/>
    </xf>
    <xf numFmtId="8" fontId="5" fillId="0" borderId="0" xfId="46" applyNumberFormat="1" applyFont="1" applyFill="1"/>
    <xf numFmtId="44" fontId="5" fillId="0" borderId="0" xfId="32" applyFont="1" applyFill="1"/>
    <xf numFmtId="44" fontId="5" fillId="0" borderId="0" xfId="46" applyNumberFormat="1" applyFont="1" applyFill="1"/>
    <xf numFmtId="44" fontId="5" fillId="0" borderId="0" xfId="32" applyFont="1" applyFill="1" applyAlignment="1">
      <alignment horizontal="center"/>
    </xf>
    <xf numFmtId="2" fontId="5" fillId="0" borderId="0" xfId="46" applyNumberFormat="1" applyFont="1" applyFill="1" applyAlignment="1">
      <alignment horizontal="center"/>
    </xf>
    <xf numFmtId="0" fontId="5" fillId="0" borderId="0" xfId="46" applyFont="1" applyFill="1" applyBorder="1" applyAlignment="1">
      <alignment horizontal="right"/>
    </xf>
    <xf numFmtId="0" fontId="5" fillId="0" borderId="0" xfId="46" applyFont="1" applyFill="1" applyBorder="1" applyAlignment="1"/>
    <xf numFmtId="167" fontId="5" fillId="0" borderId="0" xfId="51" applyNumberFormat="1" applyFont="1" applyFill="1" applyBorder="1"/>
    <xf numFmtId="0" fontId="31" fillId="0" borderId="0" xfId="47" applyFont="1" applyFill="1"/>
    <xf numFmtId="0" fontId="31" fillId="0" borderId="0" xfId="46" applyFont="1" applyFill="1"/>
    <xf numFmtId="0" fontId="48" fillId="0" borderId="0" xfId="46" applyFont="1" applyFill="1" applyAlignment="1">
      <alignment horizontal="right"/>
    </xf>
    <xf numFmtId="0" fontId="48" fillId="0" borderId="0" xfId="46" applyFont="1" applyFill="1"/>
    <xf numFmtId="0" fontId="5" fillId="0" borderId="0" xfId="46" applyFont="1" applyFill="1"/>
    <xf numFmtId="0" fontId="9" fillId="0" borderId="0" xfId="46" applyFont="1" applyFill="1"/>
    <xf numFmtId="0" fontId="32" fillId="0" borderId="0" xfId="47" applyFont="1" applyFill="1"/>
    <xf numFmtId="0" fontId="31" fillId="0" borderId="0" xfId="46" applyFont="1" applyFill="1" applyAlignment="1">
      <alignment wrapText="1"/>
    </xf>
    <xf numFmtId="8" fontId="5" fillId="0" borderId="36" xfId="31" applyNumberFormat="1" applyFont="1" applyFill="1" applyBorder="1"/>
    <xf numFmtId="8" fontId="44" fillId="0" borderId="0" xfId="0" applyNumberFormat="1" applyFont="1"/>
    <xf numFmtId="8" fontId="5" fillId="0" borderId="10" xfId="0" applyNumberFormat="1" applyFont="1" applyFill="1" applyBorder="1"/>
    <xf numFmtId="0" fontId="5" fillId="0" borderId="0" xfId="0" applyFont="1" applyFill="1" applyBorder="1" applyAlignment="1">
      <alignment horizontal="center"/>
    </xf>
    <xf numFmtId="0" fontId="49" fillId="0" borderId="0" xfId="0" applyFont="1" applyAlignment="1">
      <alignment vertical="center"/>
    </xf>
    <xf numFmtId="0" fontId="5" fillId="0" borderId="0" xfId="31" applyNumberFormat="1" applyFont="1" applyBorder="1" applyAlignment="1">
      <alignment horizontal="center"/>
    </xf>
    <xf numFmtId="0" fontId="5" fillId="25" borderId="32" xfId="0" applyFont="1" applyFill="1" applyBorder="1" applyAlignment="1">
      <alignment vertical="center" wrapText="1"/>
    </xf>
    <xf numFmtId="0" fontId="5" fillId="25" borderId="32" xfId="0" applyFont="1" applyFill="1" applyBorder="1" applyAlignment="1">
      <alignment horizontal="left" vertical="center" wrapText="1"/>
    </xf>
    <xf numFmtId="0" fontId="34" fillId="0" borderId="0" xfId="59" applyFont="1" applyAlignment="1">
      <alignment wrapText="1"/>
    </xf>
    <xf numFmtId="44" fontId="5" fillId="0" borderId="0" xfId="0" applyNumberFormat="1" applyFont="1" applyFill="1" applyBorder="1"/>
    <xf numFmtId="0" fontId="9" fillId="0" borderId="0" xfId="0" applyFont="1" applyAlignment="1">
      <alignment horizontal="left"/>
    </xf>
    <xf numFmtId="0" fontId="50" fillId="0" borderId="50" xfId="0" applyFont="1" applyBorder="1" applyAlignment="1">
      <alignment horizontal="center" vertical="center"/>
    </xf>
    <xf numFmtId="0" fontId="50" fillId="0" borderId="12" xfId="0" applyFont="1" applyBorder="1" applyAlignment="1">
      <alignment horizontal="center" vertical="center"/>
    </xf>
    <xf numFmtId="1" fontId="50" fillId="0" borderId="12" xfId="0" applyNumberFormat="1" applyFont="1" applyBorder="1" applyAlignment="1">
      <alignment horizontal="center" vertical="center"/>
    </xf>
    <xf numFmtId="8" fontId="50" fillId="0" borderId="13" xfId="0" applyNumberFormat="1" applyFont="1" applyBorder="1" applyAlignment="1">
      <alignment horizontal="right" vertical="center"/>
    </xf>
    <xf numFmtId="1" fontId="50" fillId="0" borderId="50" xfId="0" applyNumberFormat="1" applyFont="1" applyBorder="1" applyAlignment="1">
      <alignment horizontal="center" vertical="center"/>
    </xf>
    <xf numFmtId="8" fontId="50" fillId="0" borderId="51" xfId="0" applyNumberFormat="1" applyFont="1" applyBorder="1" applyAlignment="1">
      <alignment horizontal="right" vertical="center"/>
    </xf>
    <xf numFmtId="1" fontId="50" fillId="0" borderId="25" xfId="0" applyNumberFormat="1" applyFont="1" applyBorder="1" applyAlignment="1">
      <alignment horizontal="center" vertical="center"/>
    </xf>
    <xf numFmtId="8" fontId="50" fillId="0" borderId="27" xfId="0" applyNumberFormat="1" applyFont="1" applyBorder="1" applyAlignment="1">
      <alignment horizontal="right" vertical="center"/>
    </xf>
    <xf numFmtId="0" fontId="50" fillId="0" borderId="0" xfId="59" applyFont="1"/>
    <xf numFmtId="0" fontId="6" fillId="0" borderId="0" xfId="0" applyFont="1" applyBorder="1"/>
    <xf numFmtId="0" fontId="6" fillId="0" borderId="0" xfId="0" applyFont="1" applyFill="1" applyBorder="1"/>
    <xf numFmtId="0" fontId="50" fillId="0" borderId="0" xfId="59" applyFont="1" applyBorder="1"/>
    <xf numFmtId="0" fontId="50" fillId="0" borderId="11" xfId="59" applyFont="1" applyBorder="1" applyAlignment="1">
      <alignment horizontal="center"/>
    </xf>
    <xf numFmtId="44" fontId="6" fillId="0" borderId="0" xfId="60" applyNumberFormat="1" applyFont="1"/>
    <xf numFmtId="0" fontId="50" fillId="0" borderId="22" xfId="59" applyFont="1" applyFill="1" applyBorder="1"/>
    <xf numFmtId="0" fontId="50" fillId="0" borderId="25" xfId="0" applyFont="1" applyBorder="1" applyAlignment="1">
      <alignment horizontal="center" vertical="center"/>
    </xf>
    <xf numFmtId="169" fontId="50" fillId="0" borderId="60" xfId="31" applyNumberFormat="1" applyFont="1" applyBorder="1"/>
    <xf numFmtId="169" fontId="50" fillId="0" borderId="59" xfId="31" applyNumberFormat="1" applyFont="1" applyBorder="1"/>
    <xf numFmtId="169" fontId="6" fillId="0" borderId="29" xfId="31" applyNumberFormat="1" applyFont="1" applyBorder="1"/>
    <xf numFmtId="169" fontId="6" fillId="0" borderId="62" xfId="31" applyNumberFormat="1" applyFont="1" applyBorder="1"/>
    <xf numFmtId="1" fontId="50" fillId="0" borderId="23" xfId="0" applyNumberFormat="1" applyFont="1" applyBorder="1" applyAlignment="1">
      <alignment horizontal="center" vertical="center"/>
    </xf>
    <xf numFmtId="1" fontId="50" fillId="0" borderId="46" xfId="0" applyNumberFormat="1" applyFont="1" applyBorder="1" applyAlignment="1">
      <alignment horizontal="center" vertical="center"/>
    </xf>
    <xf numFmtId="1" fontId="50" fillId="0" borderId="58" xfId="0" applyNumberFormat="1" applyFont="1" applyBorder="1" applyAlignment="1">
      <alignment horizontal="center" vertical="center"/>
    </xf>
    <xf numFmtId="0" fontId="50" fillId="0" borderId="0" xfId="59" quotePrefix="1" applyNumberFormat="1" applyFont="1" applyAlignment="1">
      <alignment vertical="top" wrapText="1"/>
    </xf>
    <xf numFmtId="9" fontId="5" fillId="0" borderId="32" xfId="0" applyNumberFormat="1" applyFont="1" applyFill="1" applyBorder="1" applyAlignment="1">
      <alignment horizontal="center"/>
    </xf>
    <xf numFmtId="0" fontId="5" fillId="0" borderId="0" xfId="0" applyFont="1" applyAlignment="1">
      <alignment horizontal="left" vertical="center" wrapText="1"/>
    </xf>
    <xf numFmtId="169" fontId="5" fillId="0" borderId="0" xfId="31" applyNumberFormat="1" applyFont="1" applyBorder="1" applyAlignment="1">
      <alignment horizontal="center"/>
    </xf>
    <xf numFmtId="169" fontId="5" fillId="0" borderId="0" xfId="31" applyNumberFormat="1" applyFont="1" applyAlignment="1">
      <alignment horizontal="center"/>
    </xf>
    <xf numFmtId="0" fontId="9" fillId="0" borderId="14" xfId="0" applyFont="1" applyBorder="1" applyAlignment="1">
      <alignment horizontal="center" wrapText="1"/>
    </xf>
    <xf numFmtId="0" fontId="9" fillId="0" borderId="16" xfId="0" applyFont="1" applyBorder="1" applyAlignment="1">
      <alignment horizontal="center" wrapText="1"/>
    </xf>
    <xf numFmtId="0" fontId="9" fillId="0" borderId="63" xfId="0" applyFont="1" applyBorder="1" applyAlignment="1">
      <alignment horizontal="center"/>
    </xf>
    <xf numFmtId="0" fontId="9" fillId="0" borderId="29" xfId="0" applyFont="1" applyBorder="1" applyAlignment="1">
      <alignment horizontal="center"/>
    </xf>
    <xf numFmtId="0" fontId="9" fillId="0" borderId="64" xfId="47" applyFont="1" applyFill="1" applyBorder="1" applyAlignment="1">
      <alignment horizontal="center"/>
    </xf>
    <xf numFmtId="0" fontId="9" fillId="0" borderId="65" xfId="47" applyFont="1" applyFill="1" applyBorder="1" applyAlignment="1">
      <alignment horizontal="center"/>
    </xf>
    <xf numFmtId="44" fontId="5" fillId="0" borderId="41" xfId="31" applyFont="1" applyBorder="1" applyAlignment="1">
      <alignment horizontal="center"/>
    </xf>
    <xf numFmtId="169" fontId="5" fillId="0" borderId="42" xfId="31" applyNumberFormat="1" applyFont="1" applyBorder="1" applyAlignment="1">
      <alignment horizontal="center"/>
    </xf>
    <xf numFmtId="44" fontId="5" fillId="0" borderId="43" xfId="31" applyFont="1" applyBorder="1" applyAlignment="1">
      <alignment horizontal="center"/>
    </xf>
    <xf numFmtId="169" fontId="5" fillId="0" borderId="44" xfId="31" applyNumberFormat="1" applyFont="1" applyBorder="1" applyAlignment="1">
      <alignment horizontal="center"/>
    </xf>
    <xf numFmtId="8" fontId="5" fillId="0" borderId="0" xfId="47" applyNumberFormat="1" applyFont="1"/>
    <xf numFmtId="2" fontId="50" fillId="0" borderId="0" xfId="59" applyNumberFormat="1" applyFont="1"/>
    <xf numFmtId="8" fontId="6" fillId="0" borderId="0" xfId="0" applyNumberFormat="1" applyFont="1"/>
    <xf numFmtId="8" fontId="34" fillId="0" borderId="24" xfId="31" applyNumberFormat="1" applyFont="1" applyBorder="1"/>
    <xf numFmtId="0" fontId="50" fillId="0" borderId="18" xfId="59" applyFont="1" applyBorder="1" applyAlignment="1">
      <alignment horizontal="center"/>
    </xf>
    <xf numFmtId="169" fontId="50" fillId="0" borderId="54" xfId="31" applyNumberFormat="1" applyFont="1" applyBorder="1"/>
    <xf numFmtId="169" fontId="50" fillId="0" borderId="68" xfId="31" applyNumberFormat="1" applyFont="1" applyBorder="1"/>
    <xf numFmtId="169" fontId="6" fillId="0" borderId="47" xfId="31" applyNumberFormat="1" applyFont="1" applyBorder="1"/>
    <xf numFmtId="167" fontId="5" fillId="0" borderId="0" xfId="51" applyNumberFormat="1" applyFont="1" applyFill="1" applyAlignment="1">
      <alignment horizontal="right"/>
    </xf>
    <xf numFmtId="44" fontId="5" fillId="0" borderId="0" xfId="31" applyFont="1" applyFill="1"/>
    <xf numFmtId="44" fontId="5" fillId="0" borderId="0" xfId="31" applyFont="1" applyFill="1" applyAlignment="1">
      <alignment horizontal="center"/>
    </xf>
    <xf numFmtId="169" fontId="5" fillId="0" borderId="0" xfId="31" applyNumberFormat="1" applyFont="1" applyFill="1" applyAlignment="1">
      <alignment horizontal="center"/>
    </xf>
    <xf numFmtId="44" fontId="5" fillId="0" borderId="41" xfId="31" applyFont="1" applyFill="1" applyBorder="1" applyAlignment="1">
      <alignment horizontal="center"/>
    </xf>
    <xf numFmtId="169" fontId="5" fillId="0" borderId="42" xfId="31" applyNumberFormat="1" applyFont="1" applyFill="1" applyBorder="1" applyAlignment="1">
      <alignment horizontal="center"/>
    </xf>
    <xf numFmtId="0" fontId="5" fillId="0" borderId="0" xfId="47" applyFont="1" applyFill="1" applyAlignment="1">
      <alignment horizontal="right"/>
    </xf>
    <xf numFmtId="9" fontId="5" fillId="0" borderId="0" xfId="50" applyFont="1" applyFill="1" applyBorder="1"/>
    <xf numFmtId="44" fontId="5" fillId="0" borderId="0" xfId="31" applyFont="1" applyFill="1" applyBorder="1"/>
    <xf numFmtId="0" fontId="47" fillId="0" borderId="0" xfId="47" applyFont="1" applyFill="1" applyBorder="1"/>
    <xf numFmtId="0" fontId="47" fillId="0" borderId="0" xfId="47" applyFont="1" applyFill="1"/>
    <xf numFmtId="0" fontId="6" fillId="0" borderId="0" xfId="0" applyFont="1" applyFill="1"/>
    <xf numFmtId="0" fontId="5" fillId="0" borderId="0" xfId="47" applyFont="1" applyFill="1" applyBorder="1" applyAlignment="1">
      <alignment horizontal="center"/>
    </xf>
    <xf numFmtId="44" fontId="5" fillId="0" borderId="0" xfId="31" applyFont="1" applyFill="1" applyBorder="1" applyAlignment="1">
      <alignment horizontal="center"/>
    </xf>
    <xf numFmtId="169" fontId="5" fillId="0" borderId="0" xfId="31" applyNumberFormat="1" applyFont="1" applyFill="1" applyBorder="1" applyAlignment="1">
      <alignment horizontal="center"/>
    </xf>
    <xf numFmtId="0" fontId="50" fillId="0" borderId="14" xfId="59" applyFont="1" applyFill="1" applyBorder="1" applyAlignment="1">
      <alignment horizontal="center" vertical="top" wrapText="1"/>
    </xf>
    <xf numFmtId="0" fontId="50" fillId="0" borderId="67" xfId="59" applyFont="1" applyBorder="1" applyAlignment="1">
      <alignment horizontal="center"/>
    </xf>
    <xf numFmtId="0" fontId="50" fillId="0" borderId="41" xfId="59" applyFont="1" applyFill="1" applyBorder="1" applyAlignment="1">
      <alignment horizontal="center" wrapText="1"/>
    </xf>
    <xf numFmtId="0" fontId="50" fillId="0" borderId="70" xfId="59" applyFont="1" applyFill="1" applyBorder="1" applyAlignment="1">
      <alignment horizontal="center" wrapText="1"/>
    </xf>
    <xf numFmtId="0" fontId="50" fillId="0" borderId="17" xfId="59" applyFont="1" applyFill="1" applyBorder="1" applyAlignment="1">
      <alignment horizontal="center" wrapText="1"/>
    </xf>
    <xf numFmtId="0" fontId="50" fillId="0" borderId="71" xfId="59" applyFont="1" applyFill="1" applyBorder="1" applyAlignment="1">
      <alignment horizontal="center" wrapText="1"/>
    </xf>
    <xf numFmtId="0" fontId="50" fillId="0" borderId="73" xfId="59" applyFont="1" applyFill="1" applyBorder="1"/>
    <xf numFmtId="0" fontId="50" fillId="0" borderId="69" xfId="59" applyFont="1" applyFill="1" applyBorder="1" applyAlignment="1">
      <alignment horizontal="center" vertical="top" wrapText="1"/>
    </xf>
    <xf numFmtId="0" fontId="50" fillId="30" borderId="40" xfId="59" applyFont="1" applyFill="1" applyBorder="1" applyAlignment="1">
      <alignment horizontal="center"/>
    </xf>
    <xf numFmtId="0" fontId="50" fillId="30" borderId="39" xfId="59" applyFont="1" applyFill="1" applyBorder="1" applyAlignment="1">
      <alignment horizontal="center"/>
    </xf>
    <xf numFmtId="0" fontId="50" fillId="30" borderId="30" xfId="59" applyFont="1" applyFill="1" applyBorder="1" applyAlignment="1">
      <alignment horizontal="center"/>
    </xf>
    <xf numFmtId="0" fontId="5" fillId="0" borderId="0" xfId="0" applyFont="1" applyFill="1" applyAlignment="1">
      <alignment horizontal="left" vertical="top"/>
    </xf>
    <xf numFmtId="0" fontId="0" fillId="0" borderId="10" xfId="0" applyFill="1" applyBorder="1" applyAlignment="1">
      <alignment horizontal="center"/>
    </xf>
    <xf numFmtId="44" fontId="0" fillId="0" borderId="10" xfId="31" applyFont="1" applyFill="1" applyBorder="1"/>
    <xf numFmtId="10" fontId="5" fillId="0" borderId="36" xfId="0" applyNumberFormat="1" applyFont="1" applyFill="1" applyBorder="1" applyAlignment="1">
      <alignment horizontal="right"/>
    </xf>
    <xf numFmtId="0" fontId="50" fillId="0" borderId="0" xfId="59" applyFont="1" applyFill="1"/>
    <xf numFmtId="0" fontId="50" fillId="0" borderId="53" xfId="59" applyFont="1" applyFill="1" applyBorder="1" applyAlignment="1">
      <alignment horizontal="center" vertical="top" wrapText="1"/>
    </xf>
    <xf numFmtId="0" fontId="50" fillId="0" borderId="61" xfId="59" applyFont="1" applyFill="1" applyBorder="1" applyAlignment="1">
      <alignment horizontal="center" vertical="top" wrapText="1"/>
    </xf>
    <xf numFmtId="0" fontId="50" fillId="0" borderId="48" xfId="59" applyFont="1" applyFill="1" applyBorder="1" applyAlignment="1">
      <alignment horizontal="centerContinuous" vertical="top" wrapText="1"/>
    </xf>
    <xf numFmtId="0" fontId="50" fillId="0" borderId="28" xfId="59" applyFont="1" applyFill="1" applyBorder="1" applyAlignment="1">
      <alignment horizontal="centerContinuous" vertical="top" wrapText="1"/>
    </xf>
    <xf numFmtId="0" fontId="50" fillId="0" borderId="52" xfId="59" applyFont="1" applyFill="1" applyBorder="1" applyAlignment="1">
      <alignment horizontal="centerContinuous" vertical="top" wrapText="1"/>
    </xf>
    <xf numFmtId="0" fontId="50" fillId="0" borderId="0" xfId="59" applyFont="1" applyFill="1" applyBorder="1"/>
    <xf numFmtId="0" fontId="50" fillId="0" borderId="27" xfId="59" applyFont="1" applyFill="1" applyBorder="1"/>
    <xf numFmtId="0" fontId="50" fillId="0" borderId="27" xfId="0" applyFont="1" applyFill="1" applyBorder="1" applyAlignment="1">
      <alignment horizontal="center" wrapText="1"/>
    </xf>
    <xf numFmtId="0" fontId="50" fillId="0" borderId="18" xfId="59" applyFont="1" applyFill="1" applyBorder="1"/>
    <xf numFmtId="0" fontId="50" fillId="0" borderId="54" xfId="59" applyFont="1" applyFill="1" applyBorder="1" applyAlignment="1">
      <alignment horizontal="centerContinuous"/>
    </xf>
    <xf numFmtId="0" fontId="50" fillId="0" borderId="47" xfId="59" applyFont="1" applyFill="1" applyBorder="1" applyAlignment="1">
      <alignment horizontal="centerContinuous"/>
    </xf>
    <xf numFmtId="0" fontId="50" fillId="0" borderId="50" xfId="59" applyFont="1" applyFill="1" applyBorder="1" applyAlignment="1">
      <alignment horizontal="center" wrapText="1"/>
    </xf>
    <xf numFmtId="0" fontId="50" fillId="0" borderId="51" xfId="59" applyFont="1" applyFill="1" applyBorder="1" applyAlignment="1">
      <alignment horizontal="center"/>
    </xf>
    <xf numFmtId="0" fontId="50" fillId="0" borderId="58" xfId="59" applyFont="1" applyFill="1" applyBorder="1" applyAlignment="1">
      <alignment horizontal="center" wrapText="1"/>
    </xf>
    <xf numFmtId="43" fontId="5" fillId="0" borderId="0" xfId="28" applyFont="1"/>
    <xf numFmtId="8" fontId="32" fillId="0" borderId="0" xfId="31" applyNumberFormat="1" applyFont="1" applyFill="1" applyBorder="1"/>
    <xf numFmtId="0" fontId="0" fillId="0" borderId="49" xfId="0" applyFont="1" applyBorder="1" applyAlignment="1">
      <alignment horizontal="center" vertical="center"/>
    </xf>
    <xf numFmtId="0" fontId="0" fillId="0" borderId="13" xfId="0" applyFont="1" applyBorder="1" applyAlignment="1">
      <alignment horizontal="center" vertical="center"/>
    </xf>
    <xf numFmtId="0" fontId="0" fillId="0" borderId="51" xfId="0" applyFont="1" applyBorder="1" applyAlignment="1">
      <alignment horizontal="center" vertical="center"/>
    </xf>
    <xf numFmtId="0" fontId="5" fillId="0" borderId="0" xfId="46" applyFont="1" applyFill="1" applyAlignment="1"/>
    <xf numFmtId="0" fontId="31" fillId="0" borderId="0" xfId="46" applyFont="1" applyFill="1" applyAlignment="1"/>
    <xf numFmtId="0" fontId="32" fillId="0" borderId="0" xfId="47" applyFont="1" applyFill="1" applyAlignment="1"/>
    <xf numFmtId="0" fontId="5" fillId="0" borderId="0" xfId="47" applyFont="1" applyFill="1" applyAlignment="1">
      <alignment vertical="center"/>
    </xf>
    <xf numFmtId="0" fontId="5" fillId="0" borderId="0" xfId="47" applyFont="1" applyAlignment="1">
      <alignment vertical="center"/>
    </xf>
    <xf numFmtId="179" fontId="50" fillId="0" borderId="0" xfId="59" applyNumberFormat="1" applyFont="1"/>
    <xf numFmtId="0" fontId="6" fillId="0" borderId="0" xfId="59" applyFont="1"/>
    <xf numFmtId="0" fontId="6" fillId="0" borderId="0" xfId="59" quotePrefix="1" applyNumberFormat="1" applyFont="1"/>
    <xf numFmtId="0" fontId="6" fillId="0" borderId="0" xfId="59" quotePrefix="1" applyFont="1" applyAlignment="1">
      <alignment horizontal="left" indent="1"/>
    </xf>
    <xf numFmtId="44" fontId="6" fillId="0" borderId="0" xfId="60" quotePrefix="1" applyNumberFormat="1" applyFont="1" applyAlignment="1"/>
    <xf numFmtId="0" fontId="6" fillId="0" borderId="0" xfId="59" quotePrefix="1" applyNumberFormat="1" applyFont="1" applyAlignment="1">
      <alignment vertical="top" wrapText="1"/>
    </xf>
    <xf numFmtId="0" fontId="6" fillId="0" borderId="0" xfId="59" quotePrefix="1" applyFont="1" applyAlignment="1"/>
    <xf numFmtId="0" fontId="5" fillId="0" borderId="0" xfId="0" applyFont="1" applyAlignment="1"/>
    <xf numFmtId="0" fontId="46" fillId="0" borderId="0" xfId="40" applyFont="1" applyAlignment="1" applyProtection="1"/>
    <xf numFmtId="0" fontId="50" fillId="0" borderId="48" xfId="59" quotePrefix="1" applyFont="1" applyFill="1" applyBorder="1" applyAlignment="1">
      <alignment horizontal="centerContinuous" vertical="top" wrapText="1"/>
    </xf>
    <xf numFmtId="10" fontId="5" fillId="31" borderId="32" xfId="51" applyNumberFormat="1" applyFont="1" applyFill="1" applyBorder="1" applyAlignment="1">
      <alignment horizontal="right"/>
    </xf>
    <xf numFmtId="10" fontId="5" fillId="31" borderId="37" xfId="51" applyNumberFormat="1" applyFont="1" applyFill="1" applyBorder="1" applyAlignment="1">
      <alignment horizontal="right"/>
    </xf>
    <xf numFmtId="44" fontId="5" fillId="31" borderId="10" xfId="31" applyFont="1" applyFill="1" applyBorder="1" applyAlignment="1">
      <alignment horizontal="right"/>
    </xf>
    <xf numFmtId="9" fontId="50" fillId="31" borderId="59" xfId="59" applyNumberFormat="1" applyFont="1" applyFill="1" applyBorder="1" applyAlignment="1">
      <alignment horizontal="center" wrapText="1"/>
    </xf>
    <xf numFmtId="167" fontId="50" fillId="31" borderId="59" xfId="59" applyNumberFormat="1" applyFont="1" applyFill="1" applyBorder="1" applyAlignment="1">
      <alignment horizontal="center" wrapText="1"/>
    </xf>
    <xf numFmtId="167" fontId="50" fillId="31" borderId="62" xfId="59" applyNumberFormat="1" applyFont="1" applyFill="1" applyBorder="1" applyAlignment="1">
      <alignment horizontal="center" wrapText="1"/>
    </xf>
    <xf numFmtId="179" fontId="50" fillId="31" borderId="12" xfId="59" applyNumberFormat="1" applyFont="1" applyFill="1" applyBorder="1" applyAlignment="1">
      <alignment horizontal="center"/>
    </xf>
    <xf numFmtId="179" fontId="50" fillId="31" borderId="46" xfId="59" applyNumberFormat="1" applyFont="1" applyFill="1" applyBorder="1" applyAlignment="1">
      <alignment horizontal="center"/>
    </xf>
    <xf numFmtId="44" fontId="6" fillId="31" borderId="66" xfId="60" applyFont="1" applyFill="1" applyBorder="1"/>
    <xf numFmtId="44" fontId="6" fillId="31" borderId="62" xfId="60" applyFont="1" applyFill="1" applyBorder="1"/>
    <xf numFmtId="44" fontId="6" fillId="31" borderId="72" xfId="60" applyFont="1" applyFill="1" applyBorder="1"/>
    <xf numFmtId="44" fontId="6" fillId="31" borderId="47" xfId="60" applyFont="1" applyFill="1" applyBorder="1"/>
    <xf numFmtId="8" fontId="34" fillId="0" borderId="74" xfId="65" applyNumberFormat="1" applyFont="1" applyBorder="1"/>
    <xf numFmtId="167" fontId="5" fillId="0" borderId="0" xfId="0" applyNumberFormat="1" applyFont="1"/>
    <xf numFmtId="10" fontId="5" fillId="0" borderId="0" xfId="0" applyNumberFormat="1" applyFont="1"/>
    <xf numFmtId="167" fontId="5" fillId="0" borderId="0" xfId="50" applyNumberFormat="1" applyFont="1"/>
    <xf numFmtId="44" fontId="54" fillId="0" borderId="0" xfId="0" applyNumberFormat="1" applyFont="1"/>
    <xf numFmtId="0" fontId="5" fillId="0" borderId="10" xfId="0" applyFont="1" applyFill="1" applyBorder="1" applyAlignment="1">
      <alignment horizontal="center"/>
    </xf>
    <xf numFmtId="0" fontId="5" fillId="0" borderId="32" xfId="0" applyFont="1" applyFill="1" applyBorder="1" applyAlignment="1">
      <alignment vertical="center" wrapText="1"/>
    </xf>
    <xf numFmtId="44" fontId="5" fillId="0" borderId="35" xfId="0" applyNumberFormat="1" applyFont="1" applyFill="1" applyBorder="1"/>
    <xf numFmtId="0" fontId="45" fillId="0" borderId="0" xfId="0" applyFont="1" applyFill="1"/>
    <xf numFmtId="0" fontId="5" fillId="0" borderId="0" xfId="31" applyNumberFormat="1" applyFont="1" applyFill="1" applyBorder="1" applyAlignment="1">
      <alignment horizontal="center"/>
    </xf>
    <xf numFmtId="179" fontId="34" fillId="0" borderId="0" xfId="59" applyNumberFormat="1" applyFont="1"/>
    <xf numFmtId="0" fontId="5" fillId="0" borderId="0" xfId="59" applyFont="1"/>
    <xf numFmtId="0" fontId="5" fillId="0" borderId="0" xfId="59" quotePrefix="1" applyNumberFormat="1" applyFont="1"/>
    <xf numFmtId="0" fontId="5" fillId="0" borderId="0" xfId="59" quotePrefix="1" applyFont="1" applyAlignment="1">
      <alignment horizontal="left" indent="1"/>
    </xf>
    <xf numFmtId="44" fontId="5" fillId="0" borderId="0" xfId="60" quotePrefix="1" applyNumberFormat="1" applyFont="1" applyAlignment="1"/>
    <xf numFmtId="0" fontId="5" fillId="0" borderId="0" xfId="59" quotePrefix="1" applyNumberFormat="1" applyFont="1" applyAlignment="1">
      <alignment vertical="top" wrapText="1"/>
    </xf>
    <xf numFmtId="0" fontId="5" fillId="0" borderId="0" xfId="59" quotePrefix="1" applyFont="1" applyAlignment="1"/>
    <xf numFmtId="0" fontId="9" fillId="0" borderId="0" xfId="47" applyFont="1" applyFill="1" applyBorder="1" applyAlignment="1">
      <alignment horizontal="left"/>
    </xf>
    <xf numFmtId="0" fontId="9" fillId="0" borderId="0" xfId="47" applyFont="1" applyBorder="1" applyAlignment="1">
      <alignment horizontal="left"/>
    </xf>
    <xf numFmtId="44" fontId="5" fillId="0" borderId="10" xfId="31" applyFont="1" applyFill="1" applyBorder="1" applyAlignment="1">
      <alignment horizontal="left"/>
    </xf>
    <xf numFmtId="0" fontId="5" fillId="0" borderId="0" xfId="0" applyFont="1" applyAlignment="1">
      <alignment vertical="top" wrapText="1"/>
    </xf>
    <xf numFmtId="0" fontId="34" fillId="0" borderId="0" xfId="59" quotePrefix="1" applyNumberFormat="1" applyFont="1" applyAlignment="1">
      <alignment horizontal="left" vertical="top" wrapText="1"/>
    </xf>
    <xf numFmtId="0" fontId="5" fillId="0" borderId="0" xfId="59" quotePrefix="1" applyNumberFormat="1" applyFont="1" applyAlignment="1">
      <alignment horizontal="left" vertical="top"/>
    </xf>
    <xf numFmtId="0" fontId="5" fillId="0" borderId="0" xfId="59" quotePrefix="1" applyNumberFormat="1" applyFont="1" applyAlignment="1">
      <alignment horizontal="left" vertical="top" wrapText="1"/>
    </xf>
    <xf numFmtId="0" fontId="33" fillId="0" borderId="0" xfId="0" applyFont="1" applyAlignment="1">
      <alignment horizontal="right"/>
    </xf>
    <xf numFmtId="0" fontId="12" fillId="0" borderId="0" xfId="0" applyFont="1" applyAlignment="1">
      <alignment horizontal="right"/>
    </xf>
    <xf numFmtId="0" fontId="12" fillId="0" borderId="0" xfId="0" applyFont="1" applyBorder="1" applyAlignment="1">
      <alignment horizontal="right"/>
    </xf>
    <xf numFmtId="0" fontId="12" fillId="0" borderId="0" xfId="46" applyFont="1" applyFill="1" applyBorder="1" applyAlignment="1">
      <alignment horizontal="right"/>
    </xf>
    <xf numFmtId="0" fontId="5" fillId="0" borderId="0" xfId="47" applyFont="1" applyAlignment="1">
      <alignment horizontal="left" vertical="top" wrapText="1"/>
    </xf>
    <xf numFmtId="0" fontId="5" fillId="0" borderId="0" xfId="0" applyFont="1" applyAlignment="1">
      <alignment wrapText="1"/>
    </xf>
    <xf numFmtId="0" fontId="6" fillId="0" borderId="0" xfId="59" quotePrefix="1" applyNumberFormat="1" applyFont="1" applyAlignment="1">
      <alignment horizontal="left" vertical="top" wrapText="1"/>
    </xf>
    <xf numFmtId="0" fontId="51" fillId="0" borderId="0" xfId="59" applyFont="1" applyFill="1" applyBorder="1" applyAlignment="1">
      <alignment horizontal="center"/>
    </xf>
    <xf numFmtId="0" fontId="50" fillId="0" borderId="14" xfId="59" applyFont="1" applyFill="1" applyBorder="1" applyAlignment="1">
      <alignment horizontal="center" vertical="top" wrapText="1"/>
    </xf>
    <xf numFmtId="0" fontId="50" fillId="0" borderId="41" xfId="59" applyFont="1" applyFill="1" applyBorder="1" applyAlignment="1">
      <alignment horizontal="center" vertical="top" wrapText="1"/>
    </xf>
    <xf numFmtId="0" fontId="50" fillId="0" borderId="43" xfId="59" applyFont="1" applyFill="1" applyBorder="1" applyAlignment="1">
      <alignment horizontal="center" vertical="top" wrapText="1"/>
    </xf>
    <xf numFmtId="0" fontId="50" fillId="0" borderId="55" xfId="59" applyFont="1" applyFill="1" applyBorder="1" applyAlignment="1">
      <alignment horizontal="center" vertical="top" wrapText="1"/>
    </xf>
    <xf numFmtId="0" fontId="50" fillId="0" borderId="56" xfId="59" applyFont="1" applyFill="1" applyBorder="1" applyAlignment="1">
      <alignment horizontal="center" vertical="top" wrapText="1"/>
    </xf>
    <xf numFmtId="0" fontId="50" fillId="0" borderId="57" xfId="59" applyFont="1" applyFill="1" applyBorder="1" applyAlignment="1">
      <alignment horizontal="center" vertical="top" wrapText="1"/>
    </xf>
    <xf numFmtId="0" fontId="51" fillId="0" borderId="21" xfId="59" applyFont="1" applyFill="1" applyBorder="1" applyAlignment="1">
      <alignment horizontal="center" wrapText="1"/>
    </xf>
    <xf numFmtId="0" fontId="50" fillId="0" borderId="0" xfId="59" quotePrefix="1" applyNumberFormat="1" applyFont="1" applyAlignment="1">
      <alignment horizontal="left" vertical="top" wrapText="1"/>
    </xf>
    <xf numFmtId="0" fontId="6" fillId="0" borderId="0" xfId="59" quotePrefix="1" applyNumberFormat="1" applyFont="1" applyAlignment="1">
      <alignment horizontal="left" vertical="top"/>
    </xf>
    <xf numFmtId="0" fontId="40" fillId="0" borderId="41" xfId="63" applyFont="1" applyBorder="1" applyAlignment="1">
      <alignment horizontal="center" vertical="center"/>
    </xf>
    <xf numFmtId="0" fontId="40" fillId="0" borderId="0" xfId="63" applyFont="1" applyBorder="1" applyAlignment="1">
      <alignment horizontal="center" vertical="center"/>
    </xf>
    <xf numFmtId="0" fontId="40" fillId="0" borderId="38" xfId="63" applyFont="1" applyBorder="1" applyAlignment="1">
      <alignment horizontal="center" vertical="center"/>
    </xf>
    <xf numFmtId="0" fontId="40" fillId="0" borderId="42" xfId="63" applyFont="1" applyBorder="1" applyAlignment="1">
      <alignment horizontal="center" vertical="center"/>
    </xf>
    <xf numFmtId="10" fontId="0" fillId="0" borderId="32" xfId="0" applyNumberFormat="1" applyFill="1" applyBorder="1"/>
  </cellXfs>
  <cellStyles count="6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3" xfId="30"/>
    <cellStyle name="Comma 4" xfId="58"/>
    <cellStyle name="Comma 5" xfId="61"/>
    <cellStyle name="Currency" xfId="31" builtinId="4"/>
    <cellStyle name="Currency 2" xfId="32"/>
    <cellStyle name="Currency 3" xfId="33"/>
    <cellStyle name="Currency 4" xfId="60"/>
    <cellStyle name="Explanatory Text" xfId="34" builtinId="53" customBuiltin="1"/>
    <cellStyle name="Good" xfId="35" builtinId="26" customBuiltin="1"/>
    <cellStyle name="Heading 1" xfId="36" builtinId="16" customBuiltin="1"/>
    <cellStyle name="Heading 2" xfId="37" builtinId="17" customBuiltin="1"/>
    <cellStyle name="Heading 3" xfId="38" builtinId="18" customBuiltin="1"/>
    <cellStyle name="Heading 4" xfId="39" builtinId="19" customBuiltin="1"/>
    <cellStyle name="Hyperlink" xfId="40" builtinId="8"/>
    <cellStyle name="Input" xfId="41" builtinId="20" customBuiltin="1"/>
    <cellStyle name="Linked Cell" xfId="42" builtinId="24" customBuiltin="1"/>
    <cellStyle name="Neutral" xfId="43" builtinId="28" customBuiltin="1"/>
    <cellStyle name="Normal" xfId="0" builtinId="0"/>
    <cellStyle name="Normal 2" xfId="44"/>
    <cellStyle name="Normal 3" xfId="45"/>
    <cellStyle name="Normal 4" xfId="46"/>
    <cellStyle name="Normal 5" xfId="57"/>
    <cellStyle name="Normal 6" xfId="59"/>
    <cellStyle name="Normal 6 2" xfId="65"/>
    <cellStyle name="Normal 7" xfId="63"/>
    <cellStyle name="Normal_ElectricAvoidedCost_FlatLoad.Jim_Tom.10.14.11" xfId="47"/>
    <cellStyle name="Note" xfId="48" builtinId="10" customBuiltin="1"/>
    <cellStyle name="Output" xfId="49" builtinId="21" customBuiltin="1"/>
    <cellStyle name="Percent" xfId="50" builtinId="5"/>
    <cellStyle name="Percent 2" xfId="51"/>
    <cellStyle name="Percent 3" xfId="52"/>
    <cellStyle name="Percent 3 2" xfId="64"/>
    <cellStyle name="Percent 4" xfId="62"/>
    <cellStyle name="Style 1" xfId="53"/>
    <cellStyle name="Title" xfId="54" builtinId="15" customBuiltin="1"/>
    <cellStyle name="Total" xfId="55" builtinId="25" customBuiltin="1"/>
    <cellStyle name="Warning Text" xfId="56" builtinId="11" customBuiltin="1"/>
  </cellStyles>
  <dxfs count="0"/>
  <tableStyles count="0" defaultTableStyle="TableStyleMedium9"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usernames" Target="revisions/userNam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 Id="rId30" Type="http://schemas.openxmlformats.org/officeDocument/2006/relationships/revisionHeaders" Target="revisions/revisionHeader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0-5CC6-11CF-8D67-00AA00BDCE1D}" ax:persistence="persistStream" r:id="rId1"/>
</file>

<file path=xl/activeX/activeX10.xml><?xml version="1.0" encoding="utf-8"?>
<ax:ocx xmlns:ax="http://schemas.microsoft.com/office/2006/activeX" xmlns:r="http://schemas.openxmlformats.org/officeDocument/2006/relationships" ax:classid="{5512D122-5CC6-11CF-8D67-00AA00BDCE1D}" ax:persistence="persistStream" r:id="rId1"/>
</file>

<file path=xl/activeX/activeX11.xml><?xml version="1.0" encoding="utf-8"?>
<ax:ocx xmlns:ax="http://schemas.microsoft.com/office/2006/activeX" xmlns:r="http://schemas.openxmlformats.org/officeDocument/2006/relationships" ax:classid="{5512D122-5CC6-11CF-8D67-00AA00BDCE1D}" ax:persistence="persistStream" r:id="rId1"/>
</file>

<file path=xl/activeX/activeX12.xml><?xml version="1.0" encoding="utf-8"?>
<ax:ocx xmlns:ax="http://schemas.microsoft.com/office/2006/activeX" xmlns:r="http://schemas.openxmlformats.org/officeDocument/2006/relationships" ax:classid="{5512D110-5CC6-11CF-8D67-00AA00BDCE1D}" ax:persistence="persistStream" r:id="rId1"/>
</file>

<file path=xl/activeX/activeX2.xml><?xml version="1.0" encoding="utf-8"?>
<ax:ocx xmlns:ax="http://schemas.microsoft.com/office/2006/activeX" xmlns:r="http://schemas.openxmlformats.org/officeDocument/2006/relationships" ax:classid="{5512D122-5CC6-11CF-8D67-00AA00BDCE1D}" ax:persistence="persistStream" r:id="rId1"/>
</file>

<file path=xl/activeX/activeX3.xml><?xml version="1.0" encoding="utf-8"?>
<ax:ocx xmlns:ax="http://schemas.microsoft.com/office/2006/activeX" xmlns:r="http://schemas.openxmlformats.org/officeDocument/2006/relationships" ax:classid="{5512D122-5CC6-11CF-8D67-00AA00BDCE1D}" ax:persistence="persistStream" r:id="rId1"/>
</file>

<file path=xl/activeX/activeX4.xml><?xml version="1.0" encoding="utf-8"?>
<ax:ocx xmlns:ax="http://schemas.microsoft.com/office/2006/activeX" xmlns:r="http://schemas.openxmlformats.org/officeDocument/2006/relationships" ax:classid="{5512D11A-5CC6-11CF-8D67-00AA00BDCE1D}" ax:persistence="persistStream" r:id="rId1"/>
</file>

<file path=xl/activeX/activeX5.xml><?xml version="1.0" encoding="utf-8"?>
<ax:ocx xmlns:ax="http://schemas.microsoft.com/office/2006/activeX" xmlns:r="http://schemas.openxmlformats.org/officeDocument/2006/relationships" ax:classid="{5512D11A-5CC6-11CF-8D67-00AA00BDCE1D}" ax:persistence="persistStream" r:id="rId1"/>
</file>

<file path=xl/activeX/activeX6.xml><?xml version="1.0" encoding="utf-8"?>
<ax:ocx xmlns:ax="http://schemas.microsoft.com/office/2006/activeX" xmlns:r="http://schemas.openxmlformats.org/officeDocument/2006/relationships" ax:classid="{5512D122-5CC6-11CF-8D67-00AA00BDCE1D}" ax:persistence="persistStream" r:id="rId1"/>
</file>

<file path=xl/activeX/activeX7.xml><?xml version="1.0" encoding="utf-8"?>
<ax:ocx xmlns:ax="http://schemas.microsoft.com/office/2006/activeX" xmlns:r="http://schemas.openxmlformats.org/officeDocument/2006/relationships" ax:classid="{5512D122-5CC6-11CF-8D67-00AA00BDCE1D}" ax:persistence="persistStream" r:id="rId1"/>
</file>

<file path=xl/activeX/activeX8.xml><?xml version="1.0" encoding="utf-8"?>
<ax:ocx xmlns:ax="http://schemas.microsoft.com/office/2006/activeX" xmlns:r="http://schemas.openxmlformats.org/officeDocument/2006/relationships" ax:classid="{5512D110-5CC6-11CF-8D67-00AA00BDCE1D}" ax:persistence="persistStream" r:id="rId1"/>
</file>

<file path=xl/activeX/activeX9.xml><?xml version="1.0" encoding="utf-8"?>
<ax:ocx xmlns:ax="http://schemas.microsoft.com/office/2006/activeX" xmlns:r="http://schemas.openxmlformats.org/officeDocument/2006/relationships" ax:classid="{5512D11A-5CC6-11CF-8D67-00AA00BDCE1D}" ax:persistence="persistStream" r:id="rId1"/>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All</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0-C1E5-4900-B61D-5D47D8C99D10}"/>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1-C1E5-4900-B61D-5D47D8C99D10}"/>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2-C1E5-4900-B61D-5D47D8C99D10}"/>
            </c:ext>
          </c:extLst>
        </c:ser>
        <c:ser>
          <c:idx val="3"/>
          <c:order val="3"/>
          <c:spPr>
            <a:ln w="12700">
              <a:solidFill>
                <a:srgbClr val="00FFFF"/>
              </a:solidFill>
              <a:prstDash val="solid"/>
            </a:ln>
          </c:spPr>
          <c:marker>
            <c:symbol val="x"/>
            <c:size val="5"/>
            <c:spPr>
              <a:noFill/>
              <a:ln>
                <a:solidFill>
                  <a:srgbClr val="00FF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3-C1E5-4900-B61D-5D47D8C99D10}"/>
            </c:ext>
          </c:extLst>
        </c:ser>
        <c:ser>
          <c:idx val="4"/>
          <c:order val="4"/>
          <c:spPr>
            <a:ln w="12700">
              <a:solidFill>
                <a:srgbClr val="800080"/>
              </a:solidFill>
              <a:prstDash val="solid"/>
            </a:ln>
          </c:spPr>
          <c:marker>
            <c:symbol val="star"/>
            <c:size val="5"/>
            <c:spPr>
              <a:noFill/>
              <a:ln>
                <a:solidFill>
                  <a:srgbClr val="8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4-C1E5-4900-B61D-5D47D8C99D10}"/>
            </c:ext>
          </c:extLst>
        </c:ser>
        <c:ser>
          <c:idx val="5"/>
          <c:order val="5"/>
          <c:spPr>
            <a:ln w="12700">
              <a:solidFill>
                <a:srgbClr val="800000"/>
              </a:solidFill>
              <a:prstDash val="solid"/>
            </a:ln>
          </c:spPr>
          <c:marker>
            <c:symbol val="circle"/>
            <c:size val="5"/>
            <c:spPr>
              <a:solidFill>
                <a:srgbClr val="800000"/>
              </a:solidFill>
              <a:ln>
                <a:solidFill>
                  <a:srgbClr val="8000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5-C1E5-4900-B61D-5D47D8C99D10}"/>
            </c:ext>
          </c:extLst>
        </c:ser>
        <c:ser>
          <c:idx val="6"/>
          <c:order val="6"/>
          <c:spPr>
            <a:ln w="12700">
              <a:solidFill>
                <a:srgbClr val="008080"/>
              </a:solidFill>
              <a:prstDash val="solid"/>
            </a:ln>
          </c:spPr>
          <c:marker>
            <c:symbol val="plus"/>
            <c:size val="5"/>
            <c:spPr>
              <a:noFill/>
              <a:ln>
                <a:solidFill>
                  <a:srgbClr val="008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6-C1E5-4900-B61D-5D47D8C99D10}"/>
            </c:ext>
          </c:extLst>
        </c:ser>
        <c:ser>
          <c:idx val="7"/>
          <c:order val="7"/>
          <c:spPr>
            <a:ln w="12700">
              <a:solidFill>
                <a:srgbClr val="0000FF"/>
              </a:solidFill>
              <a:prstDash val="solid"/>
            </a:ln>
          </c:spPr>
          <c:marker>
            <c:symbol val="dot"/>
            <c:size val="5"/>
            <c:spPr>
              <a:noFill/>
              <a:ln>
                <a:solidFill>
                  <a:srgbClr val="00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7-C1E5-4900-B61D-5D47D8C99D10}"/>
            </c:ext>
          </c:extLst>
        </c:ser>
        <c:ser>
          <c:idx val="8"/>
          <c:order val="8"/>
          <c:spPr>
            <a:ln w="12700">
              <a:solidFill>
                <a:srgbClr val="00CCFF"/>
              </a:solidFill>
              <a:prstDash val="solid"/>
            </a:ln>
          </c:spPr>
          <c:marker>
            <c:symbol val="dash"/>
            <c:size val="5"/>
            <c:spPr>
              <a:noFill/>
              <a:ln>
                <a:solidFill>
                  <a:srgbClr val="00CC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8-C1E5-4900-B61D-5D47D8C99D10}"/>
            </c:ext>
          </c:extLst>
        </c:ser>
        <c:ser>
          <c:idx val="9"/>
          <c:order val="9"/>
          <c:spPr>
            <a:ln w="12700">
              <a:solidFill>
                <a:srgbClr val="CCFFFF"/>
              </a:solidFill>
              <a:prstDash val="solid"/>
            </a:ln>
          </c:spPr>
          <c:marker>
            <c:symbol val="diamond"/>
            <c:size val="5"/>
            <c:spPr>
              <a:solidFill>
                <a:srgbClr val="CCFFFF"/>
              </a:solidFill>
              <a:ln>
                <a:solidFill>
                  <a:srgbClr val="CCFF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9-C1E5-4900-B61D-5D47D8C99D10}"/>
            </c:ext>
          </c:extLst>
        </c:ser>
        <c:ser>
          <c:idx val="10"/>
          <c:order val="10"/>
          <c:spPr>
            <a:ln w="12700">
              <a:solidFill>
                <a:srgbClr val="CCFFCC"/>
              </a:solidFill>
              <a:prstDash val="solid"/>
            </a:ln>
          </c:spPr>
          <c:marker>
            <c:symbol val="square"/>
            <c:size val="5"/>
            <c:spPr>
              <a:solidFill>
                <a:srgbClr val="CCFFCC"/>
              </a:solidFill>
              <a:ln>
                <a:solidFill>
                  <a:srgbClr val="CCFFCC"/>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A-C1E5-4900-B61D-5D47D8C99D10}"/>
            </c:ext>
          </c:extLst>
        </c:ser>
        <c:ser>
          <c:idx val="11"/>
          <c:order val="11"/>
          <c:spPr>
            <a:ln w="12700">
              <a:solidFill>
                <a:srgbClr val="FFFF99"/>
              </a:solidFill>
              <a:prstDash val="solid"/>
            </a:ln>
          </c:spPr>
          <c:marker>
            <c:symbol val="triangle"/>
            <c:size val="5"/>
            <c:spPr>
              <a:solidFill>
                <a:srgbClr val="FFFF99"/>
              </a:solidFill>
              <a:ln>
                <a:solidFill>
                  <a:srgbClr val="FFFF99"/>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B-C1E5-4900-B61D-5D47D8C99D10}"/>
            </c:ext>
          </c:extLst>
        </c:ser>
        <c:ser>
          <c:idx val="12"/>
          <c:order val="12"/>
          <c:spPr>
            <a:ln w="12700">
              <a:solidFill>
                <a:srgbClr val="99CCFF"/>
              </a:solidFill>
              <a:prstDash val="solid"/>
            </a:ln>
          </c:spPr>
          <c:marker>
            <c:symbol val="x"/>
            <c:size val="5"/>
            <c:spPr>
              <a:noFill/>
              <a:ln>
                <a:solidFill>
                  <a:srgbClr val="99CC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C-C1E5-4900-B61D-5D47D8C99D10}"/>
            </c:ext>
          </c:extLst>
        </c:ser>
        <c:dLbls>
          <c:showLegendKey val="0"/>
          <c:showVal val="0"/>
          <c:showCatName val="0"/>
          <c:showSerName val="0"/>
          <c:showPercent val="0"/>
          <c:showBubbleSize val="0"/>
        </c:dLbls>
        <c:marker val="1"/>
        <c:smooth val="0"/>
        <c:axId val="231291520"/>
        <c:axId val="231297792"/>
      </c:lineChart>
      <c:catAx>
        <c:axId val="231291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97792"/>
        <c:crosses val="autoZero"/>
        <c:auto val="1"/>
        <c:lblAlgn val="ctr"/>
        <c:lblOffset val="100"/>
        <c:tickLblSkip val="1"/>
        <c:tickMarkSkip val="1"/>
        <c:noMultiLvlLbl val="0"/>
      </c:catAx>
      <c:valAx>
        <c:axId val="23129779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91520"/>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Residential</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0-4B7C-4C8E-B5B6-F1F89FFE3596}"/>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1-4B7C-4C8E-B5B6-F1F89FFE3596}"/>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2-4B7C-4C8E-B5B6-F1F89FFE3596}"/>
            </c:ext>
          </c:extLst>
        </c:ser>
        <c:ser>
          <c:idx val="3"/>
          <c:order val="3"/>
          <c:spPr>
            <a:ln w="12700">
              <a:solidFill>
                <a:srgbClr val="00FFFF"/>
              </a:solidFill>
              <a:prstDash val="solid"/>
            </a:ln>
          </c:spPr>
          <c:marker>
            <c:symbol val="x"/>
            <c:size val="5"/>
            <c:spPr>
              <a:noFill/>
              <a:ln>
                <a:solidFill>
                  <a:srgbClr val="00FF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3-4B7C-4C8E-B5B6-F1F89FFE3596}"/>
            </c:ext>
          </c:extLst>
        </c:ser>
        <c:ser>
          <c:idx val="4"/>
          <c:order val="4"/>
          <c:spPr>
            <a:ln w="12700">
              <a:solidFill>
                <a:srgbClr val="800080"/>
              </a:solidFill>
              <a:prstDash val="solid"/>
            </a:ln>
          </c:spPr>
          <c:marker>
            <c:symbol val="star"/>
            <c:size val="5"/>
            <c:spPr>
              <a:noFill/>
              <a:ln>
                <a:solidFill>
                  <a:srgbClr val="8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4-4B7C-4C8E-B5B6-F1F89FFE3596}"/>
            </c:ext>
          </c:extLst>
        </c:ser>
        <c:ser>
          <c:idx val="5"/>
          <c:order val="5"/>
          <c:spPr>
            <a:ln w="12700">
              <a:solidFill>
                <a:srgbClr val="800000"/>
              </a:solidFill>
              <a:prstDash val="solid"/>
            </a:ln>
          </c:spPr>
          <c:marker>
            <c:symbol val="circle"/>
            <c:size val="5"/>
            <c:spPr>
              <a:solidFill>
                <a:srgbClr val="800000"/>
              </a:solidFill>
              <a:ln>
                <a:solidFill>
                  <a:srgbClr val="8000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5-4B7C-4C8E-B5B6-F1F89FFE3596}"/>
            </c:ext>
          </c:extLst>
        </c:ser>
        <c:ser>
          <c:idx val="6"/>
          <c:order val="6"/>
          <c:spPr>
            <a:ln w="12700">
              <a:solidFill>
                <a:srgbClr val="008080"/>
              </a:solidFill>
              <a:prstDash val="solid"/>
            </a:ln>
          </c:spPr>
          <c:marker>
            <c:symbol val="plus"/>
            <c:size val="5"/>
            <c:spPr>
              <a:noFill/>
              <a:ln>
                <a:solidFill>
                  <a:srgbClr val="008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6-4B7C-4C8E-B5B6-F1F89FFE3596}"/>
            </c:ext>
          </c:extLst>
        </c:ser>
        <c:ser>
          <c:idx val="7"/>
          <c:order val="7"/>
          <c:spPr>
            <a:ln w="12700">
              <a:solidFill>
                <a:srgbClr val="0000FF"/>
              </a:solidFill>
              <a:prstDash val="solid"/>
            </a:ln>
          </c:spPr>
          <c:marker>
            <c:symbol val="dot"/>
            <c:size val="5"/>
            <c:spPr>
              <a:noFill/>
              <a:ln>
                <a:solidFill>
                  <a:srgbClr val="00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7-4B7C-4C8E-B5B6-F1F89FFE3596}"/>
            </c:ext>
          </c:extLst>
        </c:ser>
        <c:dLbls>
          <c:showLegendKey val="0"/>
          <c:showVal val="0"/>
          <c:showCatName val="0"/>
          <c:showSerName val="0"/>
          <c:showPercent val="0"/>
          <c:showBubbleSize val="0"/>
        </c:dLbls>
        <c:marker val="1"/>
        <c:smooth val="0"/>
        <c:axId val="231212544"/>
        <c:axId val="231214080"/>
      </c:lineChart>
      <c:catAx>
        <c:axId val="231212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14080"/>
        <c:crosses val="autoZero"/>
        <c:auto val="1"/>
        <c:lblAlgn val="ctr"/>
        <c:lblOffset val="100"/>
        <c:tickLblSkip val="1"/>
        <c:tickMarkSkip val="1"/>
        <c:noMultiLvlLbl val="0"/>
      </c:catAx>
      <c:valAx>
        <c:axId val="23121408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12544"/>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2.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4.emf"/><Relationship Id="rId4"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 Id="rId4" Type="http://schemas.openxmlformats.org/officeDocument/2006/relationships/image" Target="../media/image7.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4.emf"/><Relationship Id="rId4"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xdr:from>
      <xdr:col>3</xdr:col>
      <xdr:colOff>0</xdr:colOff>
      <xdr:row>42</xdr:row>
      <xdr:rowOff>129540</xdr:rowOff>
    </xdr:from>
    <xdr:to>
      <xdr:col>3</xdr:col>
      <xdr:colOff>0</xdr:colOff>
      <xdr:row>61</xdr:row>
      <xdr:rowOff>137160</xdr:rowOff>
    </xdr:to>
    <xdr:graphicFrame macro="">
      <xdr:nvGraphicFramePr>
        <xdr:cNvPr id="221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42</xdr:row>
      <xdr:rowOff>129540</xdr:rowOff>
    </xdr:from>
    <xdr:to>
      <xdr:col>3</xdr:col>
      <xdr:colOff>0</xdr:colOff>
      <xdr:row>61</xdr:row>
      <xdr:rowOff>137160</xdr:rowOff>
    </xdr:to>
    <xdr:graphicFrame macro="">
      <xdr:nvGraphicFramePr>
        <xdr:cNvPr id="221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556260</xdr:colOff>
          <xdr:row>2</xdr:row>
          <xdr:rowOff>7620</xdr:rowOff>
        </xdr:from>
        <xdr:to>
          <xdr:col>7</xdr:col>
          <xdr:colOff>777240</xdr:colOff>
          <xdr:row>3</xdr:row>
          <xdr:rowOff>30480</xdr:rowOff>
        </xdr:to>
        <xdr:sp macro="" textlink="">
          <xdr:nvSpPr>
            <xdr:cNvPr id="5121" name="Control 1" hidden="1">
              <a:extLst>
                <a:ext uri="{63B3BB69-23CF-44E3-9099-C40C66FF867C}">
                  <a14:compatExt spid="_x0000_s5121"/>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556260</xdr:colOff>
          <xdr:row>2</xdr:row>
          <xdr:rowOff>7620</xdr:rowOff>
        </xdr:from>
        <xdr:to>
          <xdr:col>8</xdr:col>
          <xdr:colOff>152400</xdr:colOff>
          <xdr:row>3</xdr:row>
          <xdr:rowOff>30480</xdr:rowOff>
        </xdr:to>
        <xdr:sp macro="" textlink="">
          <xdr:nvSpPr>
            <xdr:cNvPr id="5122" name="Control 2" hidden="1">
              <a:extLst>
                <a:ext uri="{63B3BB69-23CF-44E3-9099-C40C66FF867C}">
                  <a14:compatExt spid="_x0000_s5122"/>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556260</xdr:colOff>
          <xdr:row>2</xdr:row>
          <xdr:rowOff>7620</xdr:rowOff>
        </xdr:from>
        <xdr:to>
          <xdr:col>8</xdr:col>
          <xdr:colOff>152400</xdr:colOff>
          <xdr:row>3</xdr:row>
          <xdr:rowOff>30480</xdr:rowOff>
        </xdr:to>
        <xdr:sp macro="" textlink="">
          <xdr:nvSpPr>
            <xdr:cNvPr id="5123" name="Control 3" hidden="1">
              <a:extLst>
                <a:ext uri="{63B3BB69-23CF-44E3-9099-C40C66FF867C}">
                  <a14:compatExt spid="_x0000_s5123"/>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556260</xdr:colOff>
          <xdr:row>2</xdr:row>
          <xdr:rowOff>7620</xdr:rowOff>
        </xdr:from>
        <xdr:to>
          <xdr:col>8</xdr:col>
          <xdr:colOff>175260</xdr:colOff>
          <xdr:row>3</xdr:row>
          <xdr:rowOff>114300</xdr:rowOff>
        </xdr:to>
        <xdr:sp macro="" textlink="">
          <xdr:nvSpPr>
            <xdr:cNvPr id="5124" name="Control 4" hidden="1">
              <a:extLst>
                <a:ext uri="{63B3BB69-23CF-44E3-9099-C40C66FF867C}">
                  <a14:compatExt spid="_x0000_s5124"/>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556260</xdr:colOff>
          <xdr:row>2</xdr:row>
          <xdr:rowOff>30480</xdr:rowOff>
        </xdr:from>
        <xdr:to>
          <xdr:col>7</xdr:col>
          <xdr:colOff>777240</xdr:colOff>
          <xdr:row>3</xdr:row>
          <xdr:rowOff>53340</xdr:rowOff>
        </xdr:to>
        <xdr:sp macro="" textlink="">
          <xdr:nvSpPr>
            <xdr:cNvPr id="27649" name="Control 1" hidden="1">
              <a:extLst>
                <a:ext uri="{63B3BB69-23CF-44E3-9099-C40C66FF867C}">
                  <a14:compatExt spid="_x0000_s27649"/>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556260</xdr:colOff>
          <xdr:row>2</xdr:row>
          <xdr:rowOff>30480</xdr:rowOff>
        </xdr:from>
        <xdr:to>
          <xdr:col>8</xdr:col>
          <xdr:colOff>152400</xdr:colOff>
          <xdr:row>3</xdr:row>
          <xdr:rowOff>53340</xdr:rowOff>
        </xdr:to>
        <xdr:sp macro="" textlink="">
          <xdr:nvSpPr>
            <xdr:cNvPr id="27650" name="Control 2" hidden="1">
              <a:extLst>
                <a:ext uri="{63B3BB69-23CF-44E3-9099-C40C66FF867C}">
                  <a14:compatExt spid="_x0000_s2765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556260</xdr:colOff>
          <xdr:row>2</xdr:row>
          <xdr:rowOff>30480</xdr:rowOff>
        </xdr:from>
        <xdr:to>
          <xdr:col>8</xdr:col>
          <xdr:colOff>152400</xdr:colOff>
          <xdr:row>3</xdr:row>
          <xdr:rowOff>53340</xdr:rowOff>
        </xdr:to>
        <xdr:sp macro="" textlink="">
          <xdr:nvSpPr>
            <xdr:cNvPr id="27651" name="Control 3" hidden="1">
              <a:extLst>
                <a:ext uri="{63B3BB69-23CF-44E3-9099-C40C66FF867C}">
                  <a14:compatExt spid="_x0000_s27651"/>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556260</xdr:colOff>
          <xdr:row>2</xdr:row>
          <xdr:rowOff>30480</xdr:rowOff>
        </xdr:from>
        <xdr:to>
          <xdr:col>8</xdr:col>
          <xdr:colOff>175260</xdr:colOff>
          <xdr:row>3</xdr:row>
          <xdr:rowOff>137160</xdr:rowOff>
        </xdr:to>
        <xdr:sp macro="" textlink="">
          <xdr:nvSpPr>
            <xdr:cNvPr id="27652" name="Control 4" hidden="1">
              <a:extLst>
                <a:ext uri="{63B3BB69-23CF-44E3-9099-C40C66FF867C}">
                  <a14:compatExt spid="_x0000_s27652"/>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556260</xdr:colOff>
          <xdr:row>2</xdr:row>
          <xdr:rowOff>30480</xdr:rowOff>
        </xdr:from>
        <xdr:to>
          <xdr:col>7</xdr:col>
          <xdr:colOff>777240</xdr:colOff>
          <xdr:row>3</xdr:row>
          <xdr:rowOff>53340</xdr:rowOff>
        </xdr:to>
        <xdr:sp macro="" textlink="">
          <xdr:nvSpPr>
            <xdr:cNvPr id="28673" name="Control 1" hidden="1">
              <a:extLst>
                <a:ext uri="{63B3BB69-23CF-44E3-9099-C40C66FF867C}">
                  <a14:compatExt spid="_x0000_s28673"/>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556260</xdr:colOff>
          <xdr:row>2</xdr:row>
          <xdr:rowOff>30480</xdr:rowOff>
        </xdr:from>
        <xdr:to>
          <xdr:col>8</xdr:col>
          <xdr:colOff>152400</xdr:colOff>
          <xdr:row>3</xdr:row>
          <xdr:rowOff>53340</xdr:rowOff>
        </xdr:to>
        <xdr:sp macro="" textlink="">
          <xdr:nvSpPr>
            <xdr:cNvPr id="28674" name="Control 2" hidden="1">
              <a:extLst>
                <a:ext uri="{63B3BB69-23CF-44E3-9099-C40C66FF867C}">
                  <a14:compatExt spid="_x0000_s28674"/>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556260</xdr:colOff>
          <xdr:row>2</xdr:row>
          <xdr:rowOff>30480</xdr:rowOff>
        </xdr:from>
        <xdr:to>
          <xdr:col>8</xdr:col>
          <xdr:colOff>152400</xdr:colOff>
          <xdr:row>3</xdr:row>
          <xdr:rowOff>53340</xdr:rowOff>
        </xdr:to>
        <xdr:sp macro="" textlink="">
          <xdr:nvSpPr>
            <xdr:cNvPr id="28675" name="Control 3" hidden="1">
              <a:extLst>
                <a:ext uri="{63B3BB69-23CF-44E3-9099-C40C66FF867C}">
                  <a14:compatExt spid="_x0000_s28675"/>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556260</xdr:colOff>
          <xdr:row>2</xdr:row>
          <xdr:rowOff>30480</xdr:rowOff>
        </xdr:from>
        <xdr:to>
          <xdr:col>8</xdr:col>
          <xdr:colOff>175260</xdr:colOff>
          <xdr:row>3</xdr:row>
          <xdr:rowOff>137160</xdr:rowOff>
        </xdr:to>
        <xdr:sp macro="" textlink="">
          <xdr:nvSpPr>
            <xdr:cNvPr id="28676" name="Control 4" hidden="1">
              <a:extLst>
                <a:ext uri="{63B3BB69-23CF-44E3-9099-C40C66FF867C}">
                  <a14:compatExt spid="_x0000_s28676"/>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sourcePlanning\2009IRP\Aurora\PSM\RevReq\Update%20A\Update%20A%20Constrained_No%20DSM_FullCap_PSM%2020-1%202009%20IR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willi\AppData\Local\Microsoft\Windows\Temporary%20Internet%20Files\Content.Outlook\OMOIMSCX\PSM%20III%2023.4_2015%20IRP%20Capacity%20Cal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_DATA_"/>
      <sheetName val="Case Output"/>
      <sheetName val="EvalSum"/>
      <sheetName val="Evaluation Summary"/>
      <sheetName val="Assumptions"/>
      <sheetName val="Acquisition Inputs"/>
      <sheetName val="AURORAenergy"/>
      <sheetName val="AURORAcost"/>
      <sheetName val="AURORArevenue"/>
      <sheetName val="ACQTHERMAL"/>
      <sheetName val="ACQWIND"/>
      <sheetName val="ACQPPA"/>
      <sheetName val="EXISTCOAL"/>
      <sheetName val="CONTRACT"/>
      <sheetName val="EXISTGAS"/>
      <sheetName val="EXISTWIND"/>
      <sheetName val="WESTERNHYDRO"/>
      <sheetName val="MIDCHYDRO"/>
      <sheetName val="NEWBIOMASS"/>
      <sheetName val="NEWCOAL"/>
      <sheetName val="NEWGAS"/>
      <sheetName val="NEWGASPK"/>
      <sheetName val="NEWGEOTHERMAL"/>
      <sheetName val="NEWSOLAR"/>
      <sheetName val="NEWWIND"/>
      <sheetName val="NEWWINDLONG"/>
      <sheetName val="Load_Market_DSM"/>
      <sheetName val="RPS Summary"/>
      <sheetName val="Dispatch Cases"/>
      <sheetName val="Capital Additions"/>
      <sheetName val="Results Summary"/>
      <sheetName val="ACQConsol"/>
      <sheetName val="Acquisition Thermal"/>
      <sheetName val="Acquisition Wind"/>
      <sheetName val="Consol"/>
      <sheetName val="CCGT"/>
      <sheetName val="Geothermal"/>
      <sheetName val="Long Haul Wind"/>
      <sheetName val="Solar"/>
      <sheetName val="Open Slot"/>
      <sheetName val="Wind"/>
      <sheetName val="Coal"/>
      <sheetName val="Recip Engine"/>
      <sheetName val="Biomass"/>
      <sheetName val="Joint Ownership MW"/>
      <sheetName val="Contracted MW"/>
      <sheetName val="Exist Consol"/>
      <sheetName val="Existing Gas"/>
      <sheetName val="Colstrip"/>
      <sheetName val="Existing Wind"/>
      <sheetName val="West Hydro"/>
      <sheetName val="Mid_C Hydro"/>
      <sheetName val="PPA Rollup"/>
      <sheetName val="Equity Equalization - PPA"/>
      <sheetName val="End Effects"/>
      <sheetName val="Nameplate Capacity"/>
      <sheetName val="WACC"/>
      <sheetName val="AURORAENERGY1"/>
      <sheetName val="AURORACOST1"/>
      <sheetName val="AURORAREVENUE1"/>
      <sheetName val="AURORAENERGY11"/>
      <sheetName val="AURORACOST11"/>
      <sheetName val="AURORAREVENUE11"/>
    </sheetNames>
    <sheetDataSet>
      <sheetData sheetId="0" refreshError="1"/>
      <sheetData sheetId="1" refreshError="1"/>
      <sheetData sheetId="2" refreshError="1"/>
      <sheetData sheetId="3" refreshError="1"/>
      <sheetData sheetId="4">
        <row r="1">
          <cell r="A1" t="str">
            <v>Current Trends - All Generic</v>
          </cell>
        </row>
        <row r="2">
          <cell r="A2" t="str">
            <v>PSM 20-1 2009 IRP Update A Cnstrd No DSR</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_DATA_"/>
      <sheetName val="Capacity Calculation"/>
      <sheetName val="To Tableau"/>
      <sheetName val="Evaluation Summary"/>
      <sheetName val="Comments"/>
      <sheetName val="LPProblem"/>
      <sheetName val="Peak Capacity Need"/>
      <sheetName val="Assumptions"/>
      <sheetName val="AuroraEnergyAll"/>
      <sheetName val="AuroraCostAll"/>
      <sheetName val="AuroraRevenueAll"/>
      <sheetName val="AuroraCO2EmissionsAll"/>
      <sheetName val="Peak Inputs"/>
      <sheetName val="CO2_Emissions"/>
      <sheetName val="Load_Market_DSM"/>
      <sheetName val="REC Credit"/>
      <sheetName val="Thermal Acq Inputs"/>
      <sheetName val="Wind Acq Inputs"/>
      <sheetName val="Wind PPA Inputs"/>
      <sheetName val="Fixed Price PPA Inputs"/>
      <sheetName val="Toll PPA Inputs"/>
      <sheetName val="AURORAenergy"/>
      <sheetName val="AURORAcost"/>
      <sheetName val="AURORArevenue"/>
      <sheetName val="Results Summary"/>
      <sheetName val="AcqTherm 1"/>
      <sheetName val="AcqTherm 2"/>
      <sheetName val="AcqTherm 3"/>
      <sheetName val="AcqTherm 4"/>
      <sheetName val="AcqTherm 5"/>
      <sheetName val="AcqWind 1"/>
      <sheetName val="AcqWind 2"/>
      <sheetName val="AcqWind 3"/>
      <sheetName val="AcqWind 4"/>
      <sheetName val="AcqWind 5"/>
      <sheetName val="CCGT"/>
      <sheetName val="Peaker Aero"/>
      <sheetName val="Self Build Peaker"/>
      <sheetName val="Peaker Recip"/>
      <sheetName val="Peaker Frame"/>
      <sheetName val="Chart1"/>
      <sheetName val="Biomass"/>
      <sheetName val="Batteries"/>
      <sheetName val="Solar"/>
      <sheetName val="Wind"/>
      <sheetName val="MT Wind"/>
      <sheetName val="PPA Rollup"/>
      <sheetName val="Equity Equalization - PPA"/>
      <sheetName val="Net Cost Calc"/>
      <sheetName val="Book Life"/>
      <sheetName val="Replacement Cost Rollup"/>
      <sheetName val="CCGT Replacement Rev Req"/>
      <sheetName val="Peaker Frame Replace Rev Req"/>
      <sheetName val="Peaker Aero Replacement Rev Req"/>
      <sheetName val="Peaker Recip Replace Rev Req"/>
      <sheetName val="Wind Replacement Rev Req"/>
      <sheetName val="MT Wind Replacement Rev Req"/>
      <sheetName val="Biomass Replacement Rev Req"/>
      <sheetName val="Solar Replacement Rev Req"/>
      <sheetName val="Battery Replacement Rev Req"/>
      <sheetName val="WACC"/>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8">
          <cell r="K8">
            <v>228</v>
          </cell>
        </row>
        <row r="24">
          <cell r="O24">
            <v>7.7700000000000005E-2</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revisions/_rels/revisionHeaders.xml.rels><?xml version="1.0" encoding="UTF-8" standalone="yes"?>
<Relationships xmlns="http://schemas.openxmlformats.org/package/2006/relationships"><Relationship Id="rId2" Type="http://schemas.openxmlformats.org/officeDocument/2006/relationships/revisionLog" Target="revisionLog2.xml"/><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819467D2-1D26-4BC1-9AC1-63297EB2169A}" diskRevisions="1" revisionId="29" version="2">
  <header guid="{A12BCEA7-8F8F-4415-A6A9-5B12B3964857}" dateTime="2021-11-23T11:01:46" maxSheetId="20" userName="Cass, Mei" r:id="rId1">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819467D2-1D26-4BC1-9AC1-63297EB2169A}" dateTime="2021-11-23T12:02:42" maxSheetId="20" userName="Cass, Mei" r:id="rId2" minRId="1" maxRId="15">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oc r="D24" t="inlineStr">
      <is>
        <t>Cosnervation benefit not used</t>
      </is>
    </oc>
    <nc r="D24" t="inlineStr">
      <is>
        <t>Conservation benefit not used</t>
      </is>
    </nc>
  </rcc>
  <rcc rId="2" sId="1">
    <oc r="B42" t="inlineStr">
      <is>
        <t>Cell L6 includes the  reserve requirment.</t>
      </is>
    </oc>
    <nc r="B42" t="inlineStr">
      <is>
        <t>Cell L6 includes the  reserve requirement.</t>
      </is>
    </nc>
  </rcc>
  <rcc rId="3" sId="1">
    <oc r="A1" t="inlineStr">
      <is>
        <t>There were no changes to the mathematcal logic in the tabs just input assumptions.</t>
      </is>
    </oc>
    <nc r="A1"/>
  </rcc>
  <rcc rId="4" sId="1" quotePrefix="1">
    <oc r="B9" t="inlineStr">
      <is>
        <t xml:space="preserve"> Basis for assumptions in this table is PSE's 2021 IRP</t>
      </is>
    </oc>
    <nc r="B9" t="inlineStr">
      <is>
        <t>Basis for assumptions in this table is PSE's 2021 IRP</t>
      </is>
    </nc>
  </rcc>
  <rcc rId="5" sId="1">
    <oc r="B35" t="inlineStr">
      <is>
        <t>Column N and O are the present value and the cumulative present value respectively  of the energy that is used to calculated the levelized cost in column P.</t>
      </is>
    </oc>
    <nc r="B35" t="inlineStr">
      <is>
        <t>Columns N and O are the present value and the cumulative present value respectively  of the energy that is used to calculated the levelized cost in column P.</t>
      </is>
    </nc>
  </rcc>
  <rcc rId="6" sId="1">
    <oc r="A40" t="inlineStr">
      <is>
        <t>7. The output TABS indicates the avoIded cost for  baseload,  solar and wind  varied by number of years  5, 10 and 15</t>
      </is>
    </oc>
    <nc r="A40" t="inlineStr">
      <is>
        <t>7. The output TABS indicate the avoided costs for baseload, solar and wind varied by number of years --  5, 10 and 15.</t>
      </is>
    </nc>
  </rcc>
  <rcc rId="7" sId="1">
    <oc r="A46" t="inlineStr">
      <is>
        <t>8.  [Output Summary] TAB summarizes the results  from each of the sensitivities.</t>
      </is>
    </oc>
    <nc r="A46" t="inlineStr">
      <is>
        <t>8.  [Output Summary] TAB summarizes the results from the proposed filing and the prior UTC approved filing.</t>
      </is>
    </nc>
  </rcc>
  <rcc rId="8" sId="1">
    <oc r="B29" t="inlineStr">
      <is>
        <t>Avoided cost is converted from $/KW  to $/MWh  based on the Effective Load Carrying Capabilty  (ELCC)  and the net capacity factor of each type of resource.</t>
      </is>
    </oc>
    <nc r="B29" t="inlineStr">
      <is>
        <t>Avoided cost is converted from $/KW  to $/MWh  based on the Effective Load Carrying Capability (ELCC) and the net capacity factor  (NCF) of each type of resource.</t>
      </is>
    </nc>
  </rcc>
  <rcc rId="9" sId="1">
    <oc r="A21" t="inlineStr">
      <is>
        <t>4. Update the Avoided cost tabs for:[Baseload Avoided Capacity Calcs], [Wind Avoided Cost Calcs], and [Solar Avoided Cost Calcs]</t>
      </is>
    </oc>
    <nc r="A21" t="inlineStr">
      <is>
        <t>4. Update the Avoided capacity cost tabs for:[Baseload Avoided Capacity Calcs], [Wind Avoided Cost Calcs], and [Solar Avoided Cost Calcs]</t>
      </is>
    </nc>
  </rcc>
  <rcc rId="10" sId="1">
    <oc r="D26" t="inlineStr">
      <is>
        <t>Standard inflation rate</t>
      </is>
    </oc>
    <nc r="D26" t="inlineStr">
      <is>
        <t>Inflation rate</t>
      </is>
    </nc>
  </rcc>
  <rcc rId="11" sId="1">
    <oc r="B18" t="inlineStr">
      <is>
        <t>Note:  Was not changed for this update since the same approved GRC was in Effect</t>
      </is>
    </oc>
    <nc r="B18" t="inlineStr">
      <is>
        <t>Note:  There is no change for this update since the same approved GRC cost of capital has been effective for both 2020 and 2021 updates.</t>
      </is>
    </nc>
  </rcc>
  <rcc rId="12" sId="11" numFmtId="14">
    <oc r="D4">
      <v>2.7E-2</v>
    </oc>
    <nc r="D4">
      <f>+FlatLoadShapeEnergy_perMWh!E6</f>
    </nc>
  </rcc>
  <rfmt sheetId="11" sqref="D4">
    <dxf>
      <fill>
        <patternFill patternType="none">
          <bgColor auto="1"/>
        </patternFill>
      </fill>
    </dxf>
  </rfmt>
  <rcc rId="13" sId="13" numFmtId="14">
    <oc r="E9">
      <v>2.5000000000000001E-2</v>
    </oc>
    <nc r="E9">
      <f>+FlatLoadShapeEnergy_perMWh!E8</f>
    </nc>
  </rcc>
  <rfmt sheetId="13" sqref="E9">
    <dxf>
      <fill>
        <patternFill patternType="none">
          <bgColor auto="1"/>
        </patternFill>
      </fill>
    </dxf>
  </rfmt>
  <rcc rId="14" sId="14" numFmtId="14">
    <oc r="E9">
      <v>2.5000000000000001E-2</v>
    </oc>
    <nc r="E9">
      <f>+FlatLoadShapeEnergy_perMWh!E8</f>
    </nc>
  </rcc>
  <rfmt sheetId="14" sqref="E9">
    <dxf>
      <fill>
        <patternFill patternType="none">
          <bgColor auto="1"/>
        </patternFill>
      </fill>
    </dxf>
  </rfmt>
  <rfmt sheetId="15" sqref="E9">
    <dxf>
      <fill>
        <patternFill patternType="none">
          <bgColor auto="1"/>
        </patternFill>
      </fill>
    </dxf>
  </rfmt>
  <rcc rId="15" sId="15" numFmtId="14">
    <oc r="E9">
      <v>2.5000000000000001E-2</v>
    </oc>
    <nc r="E9">
      <f>+FlatLoadShapeEnergy_perMWh!E8</f>
    </nc>
  </rcc>
  <rcv guid="{78103E26-15C6-4D37-9879-762EF0B43905}" action="delete"/>
  <rdn rId="0" localSheetId="3" customView="1" name="Z_78103E26_15C6_4D37_9879_762EF0B43905_.wvu.PrintArea" hidden="1" oldHidden="1">
    <formula>'Output - Summary'!$B$2:$AB$9</formula>
    <oldFormula>'Output - Summary'!$B$2:$AB$9</oldFormula>
  </rdn>
  <rdn rId="0" localSheetId="4" customView="1" name="Z_78103E26_15C6_4D37_9879_762EF0B43905_.wvu.PrintArea" hidden="1" oldHidden="1">
    <formula>'Output - 5yr Baseload'!$B$2:$AC$35</formula>
    <oldFormula>'Output - 5yr Baseload'!$B$2:$AC$35</oldFormula>
  </rdn>
  <rdn rId="0" localSheetId="5" customView="1" name="Z_78103E26_15C6_4D37_9879_762EF0B43905_.wvu.PrintArea" hidden="1" oldHidden="1">
    <formula>'Output - 10yr Baseload'!$B$2:$AC$35</formula>
    <oldFormula>'Output - 10yr Baseload'!$B$2:$AC$35</oldFormula>
  </rdn>
  <rdn rId="0" localSheetId="6" customView="1" name="Z_78103E26_15C6_4D37_9879_762EF0B43905_.wvu.PrintArea" hidden="1" oldHidden="1">
    <formula>'Output - 15yr Baseload'!$B$2:$AD$35</formula>
    <oldFormula>'Output - 15yr Baseload'!$B$2:$AD$35</oldFormula>
  </rdn>
  <rdn rId="0" localSheetId="7" customView="1" name="Z_78103E26_15C6_4D37_9879_762EF0B43905_.wvu.PrintArea" hidden="1" oldHidden="1">
    <formula>'Output - 10yr Wind'!$B$2:$AC$35</formula>
    <oldFormula>'Output - 10yr Wind'!$B$2:$AC$35</oldFormula>
  </rdn>
  <rdn rId="0" localSheetId="8" customView="1" name="Z_78103E26_15C6_4D37_9879_762EF0B43905_.wvu.PrintArea" hidden="1" oldHidden="1">
    <formula>'Output - 15yr Wind'!$B$2:$AD$35</formula>
    <oldFormula>'Output - 15yr Wind'!$B$2:$AD$35</oldFormula>
  </rdn>
  <rdn rId="0" localSheetId="9" customView="1" name="Z_78103E26_15C6_4D37_9879_762EF0B43905_.wvu.PrintArea" hidden="1" oldHidden="1">
    <formula>'Output - 10yr Solar'!$B$2:$AC$35</formula>
    <oldFormula>'Output - 10yr Solar'!$B$2:$AC$35</oldFormula>
  </rdn>
  <rdn rId="0" localSheetId="10" customView="1" name="Z_78103E26_15C6_4D37_9879_762EF0B43905_.wvu.PrintArea" hidden="1" oldHidden="1">
    <formula>'Output - 15yr Solar'!$B$2:$AD$35</formula>
    <oldFormula>'Output - 15yr Solar'!$B$2:$AD$35</oldFormula>
  </rdn>
  <rdn rId="0" localSheetId="11" customView="1" name="Z_78103E26_15C6_4D37_9879_762EF0B43905_.wvu.PrintArea" hidden="1" oldHidden="1">
    <formula>'Electric EES CE Std Energy'!$B$2:$F$29</formula>
    <oldFormula>'Electric EES CE Std Energy'!$B$2:$F$29</oldFormula>
  </rdn>
  <rdn rId="0" localSheetId="12" customView="1" name="Z_78103E26_15C6_4D37_9879_762EF0B43905_.wvu.PrintArea" hidden="1" oldHidden="1">
    <formula>FlatLoadShapeEnergy_perMWh!$B$4:$P$33</formula>
    <oldFormula>FlatLoadShapeEnergy_perMWh!$B$4:$P$33</oldFormula>
  </rdn>
  <rdn rId="0" localSheetId="13" customView="1" name="Z_78103E26_15C6_4D37_9879_762EF0B43905_.wvu.PrintArea" hidden="1" oldHidden="1">
    <formula>'Baseload Avoided Capacity Calcs'!$B$4:$L$29</formula>
    <oldFormula>'Baseload Avoided Capacity Calcs'!$B$4:$L$29</oldFormula>
  </rdn>
  <rdn rId="0" localSheetId="14" customView="1" name="Z_78103E26_15C6_4D37_9879_762EF0B43905_.wvu.PrintArea" hidden="1" oldHidden="1">
    <formula>'Wind Avoided Capacity Calcs'!$B$4:$L$30</formula>
    <oldFormula>'Wind Avoided Capacity Calcs'!$B$4:$L$30</oldFormula>
  </rdn>
  <rdn rId="0" localSheetId="15" customView="1" name="Z_78103E26_15C6_4D37_9879_762EF0B43905_.wvu.PrintArea" hidden="1" oldHidden="1">
    <formula>'Solar Avoided Capacity Calcs'!$B$4:$L$30</formula>
    <oldFormula>'Solar Avoided Capacity Calcs'!$B$4:$L$30</oldFormula>
  </rdn>
  <rdn rId="0" localSheetId="18" customView="1" name="Z_78103E26_15C6_4D37_9879_762EF0B43905_.wvu.PrintArea" hidden="1" oldHidden="1">
    <formula>'Capacity Delivered'!$B$3:$S$28</formula>
    <oldFormula>'Capacity Delivered'!$B$3:$S$28</oldFormula>
  </rdn>
  <rcv guid="{78103E26-15C6-4D37-9879-762EF0B43905}"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819467D2-1D26-4BC1-9AC1-63297EB2169A}" name="Cass, Mei" id="-672595908" dateTime="2021-11-23T11:01:46"/>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8" Type="http://schemas.openxmlformats.org/officeDocument/2006/relationships/control" Target="../activeX/activeX2.xml"/><Relationship Id="rId13" Type="http://schemas.openxmlformats.org/officeDocument/2006/relationships/image" Target="../media/image4.emf"/><Relationship Id="rId3" Type="http://schemas.openxmlformats.org/officeDocument/2006/relationships/customProperty" Target="../customProperty6.bin"/><Relationship Id="rId7" Type="http://schemas.openxmlformats.org/officeDocument/2006/relationships/image" Target="../media/image1.emf"/><Relationship Id="rId12" Type="http://schemas.openxmlformats.org/officeDocument/2006/relationships/control" Target="../activeX/activeX4.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control" Target="../activeX/activeX1.xml"/><Relationship Id="rId11" Type="http://schemas.openxmlformats.org/officeDocument/2006/relationships/image" Target="../media/image3.emf"/><Relationship Id="rId5" Type="http://schemas.openxmlformats.org/officeDocument/2006/relationships/vmlDrawing" Target="../drawings/vmlDrawing2.vml"/><Relationship Id="rId10" Type="http://schemas.openxmlformats.org/officeDocument/2006/relationships/control" Target="../activeX/activeX3.xml"/><Relationship Id="rId4" Type="http://schemas.openxmlformats.org/officeDocument/2006/relationships/drawing" Target="../drawings/drawing2.xml"/><Relationship Id="rId9" Type="http://schemas.openxmlformats.org/officeDocument/2006/relationships/image" Target="../media/image2.emf"/><Relationship Id="rId14" Type="http://schemas.openxmlformats.org/officeDocument/2006/relationships/comments" Target="../comments2.xml"/></Relationships>
</file>

<file path=xl/worksheets/_rels/sheet14.xml.rels><?xml version="1.0" encoding="UTF-8" standalone="yes"?>
<Relationships xmlns="http://schemas.openxmlformats.org/package/2006/relationships"><Relationship Id="rId8" Type="http://schemas.openxmlformats.org/officeDocument/2006/relationships/image" Target="../media/image5.emf"/><Relationship Id="rId13" Type="http://schemas.openxmlformats.org/officeDocument/2006/relationships/comments" Target="../comments3.xml"/><Relationship Id="rId3" Type="http://schemas.openxmlformats.org/officeDocument/2006/relationships/drawing" Target="../drawings/drawing3.xml"/><Relationship Id="rId7" Type="http://schemas.openxmlformats.org/officeDocument/2006/relationships/control" Target="../activeX/activeX6.xml"/><Relationship Id="rId12" Type="http://schemas.openxmlformats.org/officeDocument/2006/relationships/image" Target="../media/image7.emf"/><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image" Target="../media/image4.emf"/><Relationship Id="rId11" Type="http://schemas.openxmlformats.org/officeDocument/2006/relationships/control" Target="../activeX/activeX8.xml"/><Relationship Id="rId5" Type="http://schemas.openxmlformats.org/officeDocument/2006/relationships/control" Target="../activeX/activeX5.xml"/><Relationship Id="rId10" Type="http://schemas.openxmlformats.org/officeDocument/2006/relationships/image" Target="../media/image6.emf"/><Relationship Id="rId4" Type="http://schemas.openxmlformats.org/officeDocument/2006/relationships/vmlDrawing" Target="../drawings/vmlDrawing3.vml"/><Relationship Id="rId9" Type="http://schemas.openxmlformats.org/officeDocument/2006/relationships/control" Target="../activeX/activeX7.xml"/></Relationships>
</file>

<file path=xl/worksheets/_rels/sheet15.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comments" Target="../comments4.xml"/><Relationship Id="rId3" Type="http://schemas.openxmlformats.org/officeDocument/2006/relationships/drawing" Target="../drawings/drawing4.xml"/><Relationship Id="rId7" Type="http://schemas.openxmlformats.org/officeDocument/2006/relationships/control" Target="../activeX/activeX10.xml"/><Relationship Id="rId12" Type="http://schemas.openxmlformats.org/officeDocument/2006/relationships/image" Target="../media/image10.emf"/><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image" Target="../media/image4.emf"/><Relationship Id="rId11" Type="http://schemas.openxmlformats.org/officeDocument/2006/relationships/control" Target="../activeX/activeX12.xml"/><Relationship Id="rId5" Type="http://schemas.openxmlformats.org/officeDocument/2006/relationships/control" Target="../activeX/activeX9.xml"/><Relationship Id="rId10" Type="http://schemas.openxmlformats.org/officeDocument/2006/relationships/image" Target="../media/image9.emf"/><Relationship Id="rId4" Type="http://schemas.openxmlformats.org/officeDocument/2006/relationships/vmlDrawing" Target="../drawings/vmlDrawing4.vml"/><Relationship Id="rId9" Type="http://schemas.openxmlformats.org/officeDocument/2006/relationships/control" Target="../activeX/activeX11.xml"/></Relationships>
</file>

<file path=xl/worksheets/_rels/sheet16.xml.rels><?xml version="1.0" encoding="UTF-8" standalone="yes"?>
<Relationships xmlns="http://schemas.openxmlformats.org/package/2006/relationships"><Relationship Id="rId3" Type="http://schemas.openxmlformats.org/officeDocument/2006/relationships/customProperty" Target="../customProperty7.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7.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8.xml.rels><?xml version="1.0" encoding="UTF-8" standalone="yes"?>
<Relationships xmlns="http://schemas.openxmlformats.org/package/2006/relationships"><Relationship Id="rId3" Type="http://schemas.openxmlformats.org/officeDocument/2006/relationships/customProperty" Target="../customProperty9.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9.xml.rels><?xml version="1.0" encoding="UTF-8" standalone="yes"?>
<Relationships xmlns="http://schemas.openxmlformats.org/package/2006/relationships"><Relationship Id="rId3" Type="http://schemas.openxmlformats.org/officeDocument/2006/relationships/customProperty" Target="../customProperty10.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46"/>
  <sheetViews>
    <sheetView topLeftCell="A21" workbookViewId="0">
      <selection activeCell="C25" sqref="C25"/>
    </sheetView>
  </sheetViews>
  <sheetFormatPr defaultColWidth="9.109375" defaultRowHeight="15" x14ac:dyDescent="0.25"/>
  <cols>
    <col min="1" max="1" width="14.109375" style="53" customWidth="1"/>
    <col min="2" max="2" width="41" style="53" customWidth="1"/>
    <col min="3" max="3" width="16.33203125" style="53" customWidth="1"/>
    <col min="4" max="4" width="13.44140625" style="53" customWidth="1"/>
    <col min="5" max="5" width="12.44140625" style="53" customWidth="1"/>
    <col min="6" max="16384" width="9.109375" style="53"/>
  </cols>
  <sheetData>
    <row r="1" spans="1:19" x14ac:dyDescent="0.25"/>
    <row r="3" spans="1:19" x14ac:dyDescent="0.25">
      <c r="A3" s="53" t="s">
        <v>144</v>
      </c>
    </row>
    <row r="5" spans="1:19" x14ac:dyDescent="0.25">
      <c r="A5" s="53" t="s">
        <v>145</v>
      </c>
    </row>
    <row r="6" spans="1:19" ht="76.5" customHeight="1" x14ac:dyDescent="0.25">
      <c r="B6" s="351" t="s">
        <v>130</v>
      </c>
      <c r="C6" s="351"/>
      <c r="D6" s="351"/>
      <c r="E6" s="351"/>
      <c r="F6" s="351"/>
      <c r="G6" s="351"/>
      <c r="H6" s="351"/>
      <c r="I6" s="351"/>
      <c r="J6" s="351"/>
      <c r="K6" s="351"/>
      <c r="L6" s="351"/>
      <c r="M6" s="351"/>
      <c r="N6" s="351"/>
      <c r="O6" s="351"/>
      <c r="P6" s="351"/>
    </row>
    <row r="8" spans="1:19" x14ac:dyDescent="0.25">
      <c r="A8" s="53" t="s">
        <v>157</v>
      </c>
    </row>
    <row r="9" spans="1:19" x14ac:dyDescent="0.25">
      <c r="B9" s="352" t="s">
        <v>169</v>
      </c>
      <c r="C9" s="352"/>
      <c r="D9" s="352"/>
      <c r="E9" s="352"/>
      <c r="F9" s="352"/>
      <c r="G9" s="352"/>
      <c r="H9" s="352"/>
      <c r="I9" s="352"/>
      <c r="J9" s="352"/>
      <c r="K9" s="352"/>
      <c r="L9" s="352"/>
      <c r="M9" s="352"/>
      <c r="N9" s="352"/>
      <c r="O9" s="352"/>
      <c r="P9" s="352"/>
      <c r="Q9" s="352"/>
      <c r="R9" s="352"/>
      <c r="S9" s="341"/>
    </row>
    <row r="10" spans="1:19" x14ac:dyDescent="0.25">
      <c r="B10" s="353" t="s">
        <v>151</v>
      </c>
      <c r="C10" s="353"/>
      <c r="D10" s="353"/>
      <c r="E10" s="353"/>
      <c r="F10" s="353"/>
      <c r="G10" s="353"/>
      <c r="H10" s="353"/>
      <c r="I10" s="353"/>
      <c r="J10" s="353"/>
      <c r="K10" s="353"/>
      <c r="L10" s="353"/>
      <c r="M10" s="353"/>
      <c r="N10" s="353"/>
      <c r="O10" s="353"/>
      <c r="P10" s="353"/>
      <c r="Q10" s="353"/>
      <c r="R10" s="342"/>
    </row>
    <row r="11" spans="1:19" x14ac:dyDescent="0.25">
      <c r="B11" s="343" t="s">
        <v>152</v>
      </c>
      <c r="C11" s="342"/>
      <c r="D11" s="342"/>
      <c r="E11" s="342"/>
      <c r="F11" s="342"/>
      <c r="G11" s="342"/>
      <c r="H11" s="342"/>
      <c r="I11" s="342"/>
      <c r="J11" s="342"/>
      <c r="K11" s="342"/>
      <c r="L11" s="342"/>
      <c r="M11" s="342"/>
      <c r="N11" s="342"/>
      <c r="O11" s="342"/>
      <c r="P11" s="342"/>
      <c r="Q11" s="342"/>
      <c r="R11" s="342"/>
    </row>
    <row r="12" spans="1:19" x14ac:dyDescent="0.25">
      <c r="B12" s="354" t="s">
        <v>153</v>
      </c>
      <c r="C12" s="354"/>
      <c r="D12" s="354"/>
      <c r="E12" s="354"/>
      <c r="F12" s="354"/>
      <c r="G12" s="354"/>
      <c r="H12" s="354"/>
      <c r="I12" s="354"/>
      <c r="J12" s="354"/>
      <c r="K12" s="354"/>
      <c r="L12" s="354"/>
      <c r="M12" s="354"/>
      <c r="N12" s="354"/>
      <c r="O12" s="354"/>
      <c r="P12" s="354"/>
      <c r="Q12" s="354"/>
      <c r="R12" s="354"/>
    </row>
    <row r="13" spans="1:19" x14ac:dyDescent="0.25">
      <c r="B13" s="344" t="s">
        <v>154</v>
      </c>
      <c r="C13" s="345"/>
      <c r="D13" s="346"/>
      <c r="E13" s="346"/>
      <c r="F13" s="346"/>
      <c r="G13" s="346"/>
      <c r="H13" s="346"/>
      <c r="I13" s="346"/>
      <c r="J13" s="346"/>
      <c r="K13" s="346"/>
      <c r="L13" s="346"/>
      <c r="M13" s="346"/>
      <c r="N13" s="346"/>
      <c r="O13" s="346"/>
      <c r="P13" s="346"/>
      <c r="Q13" s="346"/>
      <c r="R13" s="342"/>
    </row>
    <row r="14" spans="1:19" x14ac:dyDescent="0.25">
      <c r="B14" s="344" t="s">
        <v>155</v>
      </c>
      <c r="C14" s="347"/>
      <c r="D14" s="342"/>
      <c r="F14" s="342"/>
      <c r="G14" s="342"/>
      <c r="H14" s="342"/>
      <c r="J14" s="342"/>
      <c r="K14" s="342"/>
      <c r="M14" s="342"/>
      <c r="N14" s="342"/>
      <c r="O14" s="342"/>
      <c r="P14" s="342"/>
      <c r="Q14" s="342"/>
      <c r="R14" s="342"/>
    </row>
    <row r="16" spans="1:19" x14ac:dyDescent="0.25">
      <c r="A16" s="53" t="s">
        <v>146</v>
      </c>
    </row>
    <row r="17" spans="1:4" x14ac:dyDescent="0.25">
      <c r="B17" s="53" t="s">
        <v>147</v>
      </c>
    </row>
    <row r="18" spans="1:4" x14ac:dyDescent="0.25">
      <c r="B18" s="53" t="s">
        <v>176</v>
      </c>
    </row>
    <row r="21" spans="1:4" x14ac:dyDescent="0.25">
      <c r="A21" s="53" t="s">
        <v>174</v>
      </c>
    </row>
    <row r="23" spans="1:4" ht="15.6" x14ac:dyDescent="0.3">
      <c r="B23" s="348" t="s">
        <v>121</v>
      </c>
      <c r="C23" s="350">
        <f>12.61*(1+C26)</f>
        <v>12.925249999999998</v>
      </c>
      <c r="D23" s="53" t="s">
        <v>149</v>
      </c>
    </row>
    <row r="24" spans="1:4" ht="15.6" x14ac:dyDescent="0.3">
      <c r="B24" s="349" t="s">
        <v>122</v>
      </c>
      <c r="C24" s="46">
        <v>0</v>
      </c>
      <c r="D24" s="53" t="s">
        <v>167</v>
      </c>
    </row>
    <row r="25" spans="1:4" ht="15.6" x14ac:dyDescent="0.3">
      <c r="B25" s="349" t="s">
        <v>45</v>
      </c>
      <c r="C25" s="46">
        <f>Rate_of_Return</f>
        <v>7.3899999999999993E-2</v>
      </c>
      <c r="D25" s="53" t="s">
        <v>148</v>
      </c>
    </row>
    <row r="26" spans="1:4" ht="15.6" x14ac:dyDescent="0.3">
      <c r="B26" s="349" t="s">
        <v>46</v>
      </c>
      <c r="C26" s="46">
        <v>2.5000000000000001E-2</v>
      </c>
      <c r="D26" s="53" t="s">
        <v>175</v>
      </c>
    </row>
    <row r="28" spans="1:4" x14ac:dyDescent="0.25">
      <c r="B28" s="53" t="s">
        <v>159</v>
      </c>
    </row>
    <row r="29" spans="1:4" x14ac:dyDescent="0.25">
      <c r="B29" s="53" t="s">
        <v>173</v>
      </c>
    </row>
    <row r="30" spans="1:4" x14ac:dyDescent="0.25">
      <c r="B30" s="53" t="s">
        <v>160</v>
      </c>
    </row>
    <row r="32" spans="1:4" x14ac:dyDescent="0.25">
      <c r="A32" s="53" t="s">
        <v>150</v>
      </c>
    </row>
    <row r="33" spans="1:2" x14ac:dyDescent="0.25">
      <c r="B33" s="53" t="s">
        <v>162</v>
      </c>
    </row>
    <row r="34" spans="1:2" x14ac:dyDescent="0.25">
      <c r="B34" s="53" t="s">
        <v>163</v>
      </c>
    </row>
    <row r="35" spans="1:2" x14ac:dyDescent="0.25">
      <c r="B35" s="53" t="s">
        <v>170</v>
      </c>
    </row>
    <row r="37" spans="1:2" x14ac:dyDescent="0.25">
      <c r="A37" s="53" t="s">
        <v>161</v>
      </c>
    </row>
    <row r="38" spans="1:2" x14ac:dyDescent="0.25">
      <c r="B38" s="53" t="s">
        <v>156</v>
      </c>
    </row>
    <row r="40" spans="1:2" x14ac:dyDescent="0.25">
      <c r="A40" s="53" t="s">
        <v>171</v>
      </c>
    </row>
    <row r="41" spans="1:2" x14ac:dyDescent="0.25">
      <c r="B41" s="53" t="s">
        <v>164</v>
      </c>
    </row>
    <row r="42" spans="1:2" x14ac:dyDescent="0.25">
      <c r="B42" s="53" t="s">
        <v>168</v>
      </c>
    </row>
    <row r="43" spans="1:2" x14ac:dyDescent="0.25">
      <c r="B43" s="53" t="s">
        <v>165</v>
      </c>
    </row>
    <row r="44" spans="1:2" x14ac:dyDescent="0.25">
      <c r="B44" s="53" t="s">
        <v>166</v>
      </c>
    </row>
    <row r="46" spans="1:2" x14ac:dyDescent="0.25">
      <c r="A46" s="53" t="s">
        <v>172</v>
      </c>
    </row>
  </sheetData>
  <customSheetViews>
    <customSheetView guid="{78103E26-15C6-4D37-9879-762EF0B43905}" topLeftCell="A21">
      <selection activeCell="C25" sqref="C25"/>
      <pageMargins left="0.7" right="0.7" top="0.75" bottom="0.75" header="0.3" footer="0.3"/>
      <pageSetup orientation="portrait" r:id="rId1"/>
    </customSheetView>
  </customSheetViews>
  <mergeCells count="4">
    <mergeCell ref="B6:P6"/>
    <mergeCell ref="B9:R9"/>
    <mergeCell ref="B10:Q10"/>
    <mergeCell ref="B12:R12"/>
  </mergeCells>
  <pageMargins left="0.7" right="0.7" top="0.75" bottom="0.75" header="0.3" footer="0.3"/>
  <pageSetup orientation="portrait"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E40"/>
  <sheetViews>
    <sheetView workbookViewId="0">
      <selection activeCell="G14" sqref="G14"/>
    </sheetView>
  </sheetViews>
  <sheetFormatPr defaultColWidth="9.109375" defaultRowHeight="15" x14ac:dyDescent="0.25"/>
  <cols>
    <col min="1" max="1" width="2.6640625" style="53" customWidth="1"/>
    <col min="2" max="2" width="5" style="53" customWidth="1"/>
    <col min="3" max="3" width="46.6640625" style="53" customWidth="1"/>
    <col min="4" max="4" width="2.6640625" style="53" customWidth="1"/>
    <col min="5" max="22" width="12.6640625" style="53" customWidth="1"/>
    <col min="23" max="23" width="2.6640625" style="53" customWidth="1"/>
    <col min="24" max="25" width="12.6640625" style="53" customWidth="1"/>
    <col min="26" max="30" width="12.33203125" style="53" customWidth="1"/>
    <col min="31" max="16384" width="9.109375" style="53"/>
  </cols>
  <sheetData>
    <row r="2" spans="2:31" ht="19.5" customHeight="1" x14ac:dyDescent="0.3">
      <c r="C2" s="207" t="s">
        <v>83</v>
      </c>
      <c r="D2" s="207"/>
      <c r="E2" s="207"/>
      <c r="F2" s="207"/>
      <c r="G2" s="207"/>
      <c r="H2" s="207"/>
      <c r="I2" s="207"/>
      <c r="J2" s="207"/>
      <c r="K2" s="207"/>
      <c r="L2" s="207"/>
    </row>
    <row r="3" spans="2:31" ht="15.6" x14ac:dyDescent="0.3">
      <c r="C3" s="42" t="s">
        <v>43</v>
      </c>
    </row>
    <row r="4" spans="2:31" s="110" customFormat="1" ht="45" x14ac:dyDescent="0.25">
      <c r="B4" s="109"/>
      <c r="C4" s="144" t="s">
        <v>0</v>
      </c>
      <c r="D4" s="144"/>
      <c r="E4" s="144" t="s">
        <v>1</v>
      </c>
      <c r="F4" s="144" t="s">
        <v>2</v>
      </c>
      <c r="G4" s="144" t="s">
        <v>3</v>
      </c>
      <c r="H4" s="144" t="s">
        <v>4</v>
      </c>
      <c r="I4" s="144" t="s">
        <v>5</v>
      </c>
      <c r="J4" s="144" t="s">
        <v>6</v>
      </c>
      <c r="K4" s="144" t="s">
        <v>7</v>
      </c>
      <c r="L4" s="145" t="s">
        <v>14</v>
      </c>
      <c r="M4" s="145"/>
    </row>
    <row r="5" spans="2:31" x14ac:dyDescent="0.25">
      <c r="C5" s="147"/>
      <c r="D5" s="148"/>
      <c r="E5" s="149">
        <v>15</v>
      </c>
      <c r="F5" s="283">
        <f>+'Capacity Delivered'!$I$5</f>
        <v>0.04</v>
      </c>
      <c r="G5" s="150" t="s">
        <v>8</v>
      </c>
      <c r="H5" s="151">
        <f>'Electric EES CE Std Energy'!D23</f>
        <v>2.356871902062823E-2</v>
      </c>
      <c r="I5" s="152">
        <f>'Solar Avoided Capacity Calcs'!Y21</f>
        <v>3.5001977830966284E-3</v>
      </c>
      <c r="J5" s="152">
        <f>H5+I5</f>
        <v>2.7068916803724859E-2</v>
      </c>
      <c r="K5" s="153">
        <f>J5</f>
        <v>2.7068916803724859E-2</v>
      </c>
      <c r="L5" s="154">
        <f>K5*1000</f>
        <v>27.068916803724861</v>
      </c>
      <c r="M5" s="138"/>
    </row>
    <row r="6" spans="2:31" ht="15.6" x14ac:dyDescent="0.3">
      <c r="C6" s="146"/>
      <c r="D6" s="146"/>
      <c r="E6" s="113"/>
      <c r="F6" s="113"/>
      <c r="G6" s="113"/>
      <c r="H6" s="32">
        <f>H5*1000</f>
        <v>23.56871902062823</v>
      </c>
      <c r="I6" s="32">
        <f t="shared" ref="I6:K6" si="0">I5*1000</f>
        <v>3.5001977830966284</v>
      </c>
      <c r="J6" s="32">
        <f t="shared" si="0"/>
        <v>27.068916803724861</v>
      </c>
      <c r="K6" s="32">
        <f t="shared" si="0"/>
        <v>27.068916803724861</v>
      </c>
      <c r="L6" s="115">
        <f>L5*(1-M6)</f>
        <v>26.256849299613116</v>
      </c>
      <c r="M6" s="232">
        <v>0.03</v>
      </c>
      <c r="N6" s="116" t="s">
        <v>36</v>
      </c>
    </row>
    <row r="7" spans="2:31" x14ac:dyDescent="0.25">
      <c r="C7" s="117"/>
      <c r="D7" s="114"/>
      <c r="H7" s="40"/>
      <c r="I7" s="112"/>
      <c r="J7" s="40"/>
      <c r="K7" s="112"/>
      <c r="L7" s="112"/>
      <c r="M7" s="113"/>
    </row>
    <row r="8" spans="2:31" ht="15.6" x14ac:dyDescent="0.3">
      <c r="C8" s="113"/>
      <c r="D8" s="113"/>
      <c r="E8" s="113"/>
      <c r="F8" s="113"/>
      <c r="G8" s="113"/>
      <c r="H8" s="118"/>
      <c r="I8" s="118"/>
      <c r="J8" s="118"/>
      <c r="K8" s="118"/>
      <c r="L8" s="118"/>
      <c r="M8" s="118"/>
      <c r="N8" s="118"/>
      <c r="O8" s="118"/>
      <c r="P8" s="118"/>
      <c r="Q8" s="118"/>
      <c r="R8" s="118"/>
      <c r="S8" s="118"/>
      <c r="T8" s="118"/>
      <c r="U8" s="119"/>
      <c r="V8" s="119"/>
      <c r="W8" s="119"/>
      <c r="X8" s="198" t="s">
        <v>73</v>
      </c>
      <c r="Y8" s="119"/>
      <c r="Z8" s="119"/>
      <c r="AA8" s="119"/>
    </row>
    <row r="9" spans="2:31" x14ac:dyDescent="0.25">
      <c r="C9" s="120" t="s">
        <v>9</v>
      </c>
      <c r="D9" s="120"/>
      <c r="E9" s="120"/>
      <c r="F9" s="121">
        <f>+L6</f>
        <v>26.256849299613116</v>
      </c>
      <c r="G9" s="121">
        <f t="shared" ref="G9:T9" si="1">F9</f>
        <v>26.256849299613116</v>
      </c>
      <c r="H9" s="121">
        <f t="shared" si="1"/>
        <v>26.256849299613116</v>
      </c>
      <c r="I9" s="121">
        <f t="shared" si="1"/>
        <v>26.256849299613116</v>
      </c>
      <c r="J9" s="121">
        <f t="shared" si="1"/>
        <v>26.256849299613116</v>
      </c>
      <c r="K9" s="121">
        <f t="shared" si="1"/>
        <v>26.256849299613116</v>
      </c>
      <c r="L9" s="121">
        <f t="shared" si="1"/>
        <v>26.256849299613116</v>
      </c>
      <c r="M9" s="121">
        <f t="shared" si="1"/>
        <v>26.256849299613116</v>
      </c>
      <c r="N9" s="121">
        <f t="shared" si="1"/>
        <v>26.256849299613116</v>
      </c>
      <c r="O9" s="121">
        <f t="shared" si="1"/>
        <v>26.256849299613116</v>
      </c>
      <c r="P9" s="121">
        <f t="shared" si="1"/>
        <v>26.256849299613116</v>
      </c>
      <c r="Q9" s="121">
        <f t="shared" si="1"/>
        <v>26.256849299613116</v>
      </c>
      <c r="R9" s="121">
        <f t="shared" si="1"/>
        <v>26.256849299613116</v>
      </c>
      <c r="S9" s="121">
        <f t="shared" si="1"/>
        <v>26.256849299613116</v>
      </c>
      <c r="T9" s="121">
        <f t="shared" si="1"/>
        <v>26.256849299613116</v>
      </c>
      <c r="U9" s="40"/>
      <c r="V9" s="40"/>
      <c r="W9" s="40"/>
      <c r="X9" s="197">
        <f>NPV(Rate_of_Return,F9:T9)</f>
        <v>233.36401352669159</v>
      </c>
      <c r="Y9" s="197">
        <f>-PMT(Rate_of_Return,15,X9)</f>
        <v>26.256849299613108</v>
      </c>
      <c r="Z9" s="40"/>
      <c r="AA9" s="40"/>
    </row>
    <row r="10" spans="2:31" x14ac:dyDescent="0.25">
      <c r="C10" s="113"/>
      <c r="D10" s="113"/>
      <c r="E10" s="113"/>
      <c r="F10" s="122"/>
      <c r="G10" s="122"/>
      <c r="H10" s="122"/>
      <c r="I10" s="122"/>
      <c r="J10" s="122"/>
      <c r="K10" s="122"/>
      <c r="L10" s="122"/>
      <c r="M10" s="122"/>
      <c r="N10" s="122"/>
      <c r="O10" s="122"/>
      <c r="P10" s="122"/>
      <c r="Q10" s="122"/>
      <c r="R10" s="122"/>
      <c r="S10" s="122"/>
      <c r="T10" s="122"/>
      <c r="U10" s="40"/>
      <c r="V10" s="40"/>
      <c r="W10" s="40"/>
      <c r="X10" s="32"/>
      <c r="Y10" s="32"/>
      <c r="Z10" s="40"/>
      <c r="AA10" s="40"/>
    </row>
    <row r="11" spans="2:31" x14ac:dyDescent="0.25">
      <c r="C11" s="53" t="s">
        <v>55</v>
      </c>
      <c r="F11" s="202">
        <v>1</v>
      </c>
      <c r="G11" s="202">
        <v>2</v>
      </c>
      <c r="H11" s="202">
        <v>3</v>
      </c>
      <c r="I11" s="202">
        <v>4</v>
      </c>
      <c r="J11" s="202">
        <v>5</v>
      </c>
      <c r="K11" s="202">
        <v>6</v>
      </c>
      <c r="L11" s="202">
        <v>7</v>
      </c>
      <c r="M11" s="202">
        <v>8</v>
      </c>
      <c r="N11" s="202">
        <v>9</v>
      </c>
      <c r="O11" s="202">
        <v>10</v>
      </c>
      <c r="P11" s="202">
        <v>11</v>
      </c>
      <c r="Q11" s="202">
        <v>12</v>
      </c>
      <c r="R11" s="202">
        <v>13</v>
      </c>
      <c r="S11" s="202">
        <v>14</v>
      </c>
      <c r="T11" s="202">
        <v>15</v>
      </c>
      <c r="U11" s="202">
        <v>16</v>
      </c>
      <c r="V11" s="202">
        <v>17</v>
      </c>
      <c r="W11" s="40"/>
      <c r="X11" s="40"/>
      <c r="Y11" s="40"/>
      <c r="Z11" s="40"/>
      <c r="AA11" s="40"/>
    </row>
    <row r="12" spans="2:31" ht="15.6" x14ac:dyDescent="0.3">
      <c r="C12" s="113"/>
      <c r="D12" s="111"/>
      <c r="E12" s="113"/>
      <c r="F12" s="123">
        <f>'Energy Prices'!$C$6</f>
        <v>2021</v>
      </c>
      <c r="G12" s="123">
        <f>F12+1</f>
        <v>2022</v>
      </c>
      <c r="H12" s="123">
        <f>G12+1</f>
        <v>2023</v>
      </c>
      <c r="I12" s="123">
        <f t="shared" ref="I12:T12" si="2">H12+1</f>
        <v>2024</v>
      </c>
      <c r="J12" s="123">
        <f t="shared" si="2"/>
        <v>2025</v>
      </c>
      <c r="K12" s="123">
        <f t="shared" si="2"/>
        <v>2026</v>
      </c>
      <c r="L12" s="123">
        <f t="shared" si="2"/>
        <v>2027</v>
      </c>
      <c r="M12" s="123">
        <f t="shared" si="2"/>
        <v>2028</v>
      </c>
      <c r="N12" s="123">
        <f t="shared" si="2"/>
        <v>2029</v>
      </c>
      <c r="O12" s="123">
        <f t="shared" si="2"/>
        <v>2030</v>
      </c>
      <c r="P12" s="123">
        <f t="shared" si="2"/>
        <v>2031</v>
      </c>
      <c r="Q12" s="123">
        <f t="shared" si="2"/>
        <v>2032</v>
      </c>
      <c r="R12" s="123">
        <f t="shared" si="2"/>
        <v>2033</v>
      </c>
      <c r="S12" s="123">
        <f t="shared" si="2"/>
        <v>2034</v>
      </c>
      <c r="T12" s="123">
        <f t="shared" si="2"/>
        <v>2035</v>
      </c>
      <c r="U12" s="123">
        <f>T12+1</f>
        <v>2036</v>
      </c>
      <c r="V12" s="123">
        <f>U12+1</f>
        <v>2037</v>
      </c>
      <c r="W12" s="200"/>
      <c r="X12" s="198" t="s">
        <v>73</v>
      </c>
      <c r="Y12" s="32"/>
      <c r="Z12" s="119"/>
      <c r="AA12" s="119"/>
    </row>
    <row r="13" spans="2:31" ht="52.95" customHeight="1" x14ac:dyDescent="0.25">
      <c r="B13" s="113"/>
      <c r="C13" s="203" t="s">
        <v>77</v>
      </c>
      <c r="D13" s="113"/>
      <c r="F13" s="155">
        <f t="shared" ref="F13:T13" si="3">F$9*F$20</f>
        <v>22.689148417600382</v>
      </c>
      <c r="G13" s="156">
        <f>G$9*G$20</f>
        <v>23.256377128040391</v>
      </c>
      <c r="H13" s="157">
        <f t="shared" si="3"/>
        <v>23.837786556241397</v>
      </c>
      <c r="I13" s="157">
        <f t="shared" si="3"/>
        <v>24.433731220147429</v>
      </c>
      <c r="J13" s="157">
        <f t="shared" si="3"/>
        <v>25.044574500651116</v>
      </c>
      <c r="K13" s="157">
        <f t="shared" si="3"/>
        <v>25.670688863167388</v>
      </c>
      <c r="L13" s="157">
        <f t="shared" si="3"/>
        <v>26.312456084746572</v>
      </c>
      <c r="M13" s="157">
        <f t="shared" si="3"/>
        <v>26.970267486865236</v>
      </c>
      <c r="N13" s="157">
        <f t="shared" si="3"/>
        <v>27.64452417403686</v>
      </c>
      <c r="O13" s="157">
        <f t="shared" si="3"/>
        <v>28.335637278387782</v>
      </c>
      <c r="P13" s="157">
        <f t="shared" si="3"/>
        <v>29.044028210347474</v>
      </c>
      <c r="Q13" s="157">
        <f t="shared" si="3"/>
        <v>29.770128915606151</v>
      </c>
      <c r="R13" s="157">
        <f t="shared" si="3"/>
        <v>30.514382138496305</v>
      </c>
      <c r="S13" s="157">
        <f t="shared" si="3"/>
        <v>31.277241691958707</v>
      </c>
      <c r="T13" s="157">
        <f t="shared" si="3"/>
        <v>32.059172734257672</v>
      </c>
      <c r="U13" s="199">
        <f>T13*1.025</f>
        <v>32.860652052614114</v>
      </c>
      <c r="V13" s="199">
        <f>U13*1.025</f>
        <v>33.682168353929463</v>
      </c>
      <c r="W13" s="125"/>
      <c r="X13" s="197">
        <f>NPV(Rate_of_Return,F13:T13)</f>
        <v>233.36401352669171</v>
      </c>
      <c r="Y13" s="197">
        <f>-PMT(Rate_of_Return,15,X13)</f>
        <v>26.256849299613119</v>
      </c>
      <c r="Z13" s="125"/>
      <c r="AA13" s="125"/>
      <c r="AE13" s="126"/>
    </row>
    <row r="14" spans="2:31" x14ac:dyDescent="0.25">
      <c r="C14" s="124"/>
      <c r="E14" s="127"/>
      <c r="F14" s="125"/>
      <c r="G14" s="125"/>
      <c r="H14" s="125"/>
      <c r="I14" s="125"/>
      <c r="J14" s="125"/>
      <c r="K14" s="125"/>
      <c r="L14" s="125"/>
      <c r="M14" s="125"/>
      <c r="N14" s="125"/>
      <c r="O14" s="125"/>
      <c r="P14" s="125"/>
      <c r="Q14" s="125"/>
      <c r="R14" s="125"/>
      <c r="S14" s="125"/>
      <c r="T14" s="125"/>
      <c r="U14" s="125"/>
      <c r="V14" s="125"/>
      <c r="W14" s="125"/>
      <c r="X14" s="119"/>
      <c r="Y14" s="119"/>
      <c r="Z14" s="119"/>
      <c r="AA14" s="119"/>
    </row>
    <row r="15" spans="2:31" x14ac:dyDescent="0.25">
      <c r="C15" s="128"/>
      <c r="E15" s="127"/>
      <c r="F15" s="125"/>
      <c r="G15" s="206"/>
      <c r="H15" s="125"/>
      <c r="I15" s="125"/>
      <c r="J15" s="125"/>
      <c r="K15" s="125"/>
      <c r="L15" s="125"/>
      <c r="M15" s="125"/>
      <c r="N15" s="125"/>
      <c r="O15" s="125"/>
      <c r="P15" s="125"/>
      <c r="Q15" s="125"/>
      <c r="R15" s="125"/>
      <c r="S15" s="125"/>
      <c r="T15" s="125"/>
      <c r="U15" s="125"/>
      <c r="V15" s="125"/>
      <c r="W15" s="125"/>
      <c r="X15" s="119"/>
      <c r="Y15" s="119"/>
      <c r="Z15" s="119"/>
      <c r="AA15" s="119"/>
    </row>
    <row r="16" spans="2:31" x14ac:dyDescent="0.25">
      <c r="C16" s="53" t="s">
        <v>10</v>
      </c>
      <c r="Q16" s="119"/>
      <c r="R16" s="119"/>
    </row>
    <row r="17" spans="2:27" x14ac:dyDescent="0.25">
      <c r="Q17" s="119"/>
      <c r="R17" s="119"/>
    </row>
    <row r="18" spans="2:27" ht="15.6" x14ac:dyDescent="0.3">
      <c r="C18" s="113"/>
      <c r="D18" s="113"/>
      <c r="E18" s="113"/>
      <c r="F18" s="113"/>
      <c r="G18" s="113"/>
      <c r="H18" s="113"/>
      <c r="I18" s="113"/>
      <c r="J18" s="113"/>
      <c r="K18" s="113"/>
      <c r="L18" s="113"/>
      <c r="M18" s="113"/>
      <c r="N18" s="113"/>
      <c r="O18" s="113"/>
      <c r="P18" s="113"/>
      <c r="Q18" s="118"/>
      <c r="R18" s="118"/>
      <c r="S18" s="113"/>
      <c r="T18" s="113"/>
      <c r="X18" s="198" t="s">
        <v>73</v>
      </c>
      <c r="Y18" s="113"/>
    </row>
    <row r="19" spans="2:27" x14ac:dyDescent="0.25">
      <c r="C19" s="120" t="s">
        <v>11</v>
      </c>
      <c r="D19" s="120"/>
      <c r="E19" s="120"/>
      <c r="F19" s="139">
        <v>100</v>
      </c>
      <c r="G19" s="139">
        <f t="shared" ref="G19:T19" si="4">F19*1.025</f>
        <v>102.49999999999999</v>
      </c>
      <c r="H19" s="139">
        <f t="shared" si="4"/>
        <v>105.06249999999997</v>
      </c>
      <c r="I19" s="139">
        <f t="shared" si="4"/>
        <v>107.68906249999996</v>
      </c>
      <c r="J19" s="139">
        <f t="shared" si="4"/>
        <v>110.38128906249996</v>
      </c>
      <c r="K19" s="139">
        <f t="shared" si="4"/>
        <v>113.14082128906244</v>
      </c>
      <c r="L19" s="139">
        <f t="shared" si="4"/>
        <v>115.96934182128899</v>
      </c>
      <c r="M19" s="139">
        <f t="shared" si="4"/>
        <v>118.8685753668212</v>
      </c>
      <c r="N19" s="139">
        <f t="shared" si="4"/>
        <v>121.84028975099173</v>
      </c>
      <c r="O19" s="139">
        <f t="shared" si="4"/>
        <v>124.88629699476651</v>
      </c>
      <c r="P19" s="139">
        <f t="shared" si="4"/>
        <v>128.00845441963565</v>
      </c>
      <c r="Q19" s="139">
        <f t="shared" si="4"/>
        <v>131.20866578012652</v>
      </c>
      <c r="R19" s="139">
        <f t="shared" si="4"/>
        <v>134.48888242462968</v>
      </c>
      <c r="S19" s="139">
        <f t="shared" si="4"/>
        <v>137.8511044852454</v>
      </c>
      <c r="T19" s="139">
        <f t="shared" si="4"/>
        <v>141.29738209737653</v>
      </c>
      <c r="U19" s="129"/>
      <c r="V19" s="129"/>
      <c r="W19" s="129"/>
      <c r="X19" s="159">
        <f>NPV(Rate_of_Return,F19:T19)</f>
        <v>1028.5269822893265</v>
      </c>
      <c r="Y19" s="159">
        <f>-PMT(Rate_of_Return,15,X19)</f>
        <v>115.72426085081801</v>
      </c>
      <c r="Z19" s="119"/>
      <c r="AA19" s="119"/>
    </row>
    <row r="20" spans="2:27" x14ac:dyDescent="0.25">
      <c r="C20" s="142" t="s">
        <v>12</v>
      </c>
      <c r="D20" s="142"/>
      <c r="E20" s="142"/>
      <c r="F20" s="143">
        <f>F19/$Y$19</f>
        <v>0.86412303923817313</v>
      </c>
      <c r="G20" s="143">
        <f t="shared" ref="G20:T20" si="5">G19/$Y$19</f>
        <v>0.88572611521912736</v>
      </c>
      <c r="H20" s="143">
        <f t="shared" si="5"/>
        <v>0.90786926809960544</v>
      </c>
      <c r="I20" s="143">
        <f t="shared" si="5"/>
        <v>0.93056599980209553</v>
      </c>
      <c r="J20" s="143">
        <f t="shared" si="5"/>
        <v>0.95383014979714786</v>
      </c>
      <c r="K20" s="143">
        <f t="shared" si="5"/>
        <v>0.97767590354207645</v>
      </c>
      <c r="L20" s="143">
        <f t="shared" si="5"/>
        <v>1.0021178011306282</v>
      </c>
      <c r="M20" s="143">
        <f t="shared" si="5"/>
        <v>1.0271707461588939</v>
      </c>
      <c r="N20" s="143">
        <f t="shared" si="5"/>
        <v>1.0528500148128661</v>
      </c>
      <c r="O20" s="143">
        <f t="shared" si="5"/>
        <v>1.0791712651831877</v>
      </c>
      <c r="P20" s="143">
        <f t="shared" si="5"/>
        <v>1.1061505468127673</v>
      </c>
      <c r="Q20" s="143">
        <f t="shared" si="5"/>
        <v>1.1338043104830862</v>
      </c>
      <c r="R20" s="143">
        <f t="shared" si="5"/>
        <v>1.1621494182451633</v>
      </c>
      <c r="S20" s="143">
        <f t="shared" si="5"/>
        <v>1.1912031537012922</v>
      </c>
      <c r="T20" s="143">
        <f t="shared" si="5"/>
        <v>1.2209832325438243</v>
      </c>
      <c r="U20" s="130"/>
      <c r="V20" s="130"/>
      <c r="W20" s="130"/>
      <c r="X20" s="158">
        <f>NPV(Rate_of_Return,F20:T20)</f>
        <v>8.8877386187431942</v>
      </c>
      <c r="Y20" s="158">
        <f>-PMT(Rate_of_Return,15,X20)</f>
        <v>1</v>
      </c>
      <c r="Z20" s="119"/>
      <c r="AA20" s="119"/>
    </row>
    <row r="21" spans="2:27" x14ac:dyDescent="0.25">
      <c r="C21" s="113"/>
      <c r="D21" s="113"/>
      <c r="E21" s="140"/>
      <c r="F21" s="140"/>
      <c r="G21" s="140"/>
      <c r="H21" s="140"/>
      <c r="I21" s="140"/>
      <c r="J21" s="140"/>
      <c r="K21" s="140"/>
      <c r="L21" s="140"/>
      <c r="M21" s="141"/>
      <c r="N21" s="141"/>
      <c r="O21" s="141"/>
      <c r="P21" s="141"/>
      <c r="Q21" s="141"/>
      <c r="R21" s="141"/>
      <c r="S21" s="141"/>
      <c r="T21" s="141"/>
      <c r="X21" s="113"/>
      <c r="Y21" s="113"/>
    </row>
    <row r="22" spans="2:27" x14ac:dyDescent="0.25">
      <c r="B22" s="131" t="s">
        <v>13</v>
      </c>
      <c r="C22" s="132"/>
      <c r="D22" s="133"/>
      <c r="E22" s="133"/>
      <c r="F22" s="133"/>
      <c r="G22" s="133"/>
      <c r="H22" s="133"/>
      <c r="I22" s="133"/>
      <c r="J22" s="133"/>
      <c r="K22" s="133"/>
      <c r="L22" s="133"/>
      <c r="M22" s="133"/>
      <c r="N22" s="133"/>
      <c r="O22" s="133"/>
      <c r="Z22" s="128"/>
    </row>
    <row r="23" spans="2:27" x14ac:dyDescent="0.25">
      <c r="B23" s="134">
        <v>1</v>
      </c>
      <c r="C23" s="280" t="s">
        <v>113</v>
      </c>
      <c r="D23" s="133"/>
      <c r="E23" s="133"/>
      <c r="F23" s="133"/>
      <c r="G23" s="133"/>
      <c r="H23" s="133"/>
      <c r="I23" s="133"/>
      <c r="J23" s="133"/>
      <c r="K23" s="133"/>
      <c r="L23" s="133"/>
      <c r="M23" s="133"/>
      <c r="N23" s="133"/>
      <c r="O23" s="133"/>
      <c r="Z23" s="124"/>
    </row>
    <row r="24" spans="2:27" x14ac:dyDescent="0.25">
      <c r="B24" s="134">
        <v>2</v>
      </c>
      <c r="C24" s="133" t="s">
        <v>103</v>
      </c>
      <c r="D24" s="133"/>
      <c r="E24" s="133"/>
      <c r="F24" s="133"/>
      <c r="G24" s="133"/>
      <c r="H24" s="133"/>
      <c r="I24" s="133"/>
      <c r="J24" s="133"/>
      <c r="K24" s="133"/>
      <c r="L24" s="133"/>
      <c r="M24" s="133"/>
      <c r="N24" s="133"/>
      <c r="O24" s="133"/>
      <c r="Z24" s="125"/>
    </row>
    <row r="25" spans="2:27" x14ac:dyDescent="0.25">
      <c r="B25" s="134">
        <v>3</v>
      </c>
      <c r="C25" s="133" t="s">
        <v>44</v>
      </c>
      <c r="D25" s="133"/>
      <c r="E25" s="133"/>
      <c r="F25" s="133"/>
      <c r="G25" s="133"/>
      <c r="H25" s="133"/>
      <c r="I25" s="133"/>
      <c r="J25" s="133"/>
      <c r="K25" s="133"/>
      <c r="L25" s="133"/>
      <c r="M25" s="133"/>
      <c r="N25" s="133"/>
      <c r="O25" s="133"/>
      <c r="Z25" s="135"/>
    </row>
    <row r="26" spans="2:27" x14ac:dyDescent="0.25">
      <c r="B26" s="134">
        <v>4</v>
      </c>
      <c r="C26" s="133" t="s">
        <v>118</v>
      </c>
      <c r="D26" s="133"/>
      <c r="E26" s="133"/>
      <c r="F26" s="133"/>
      <c r="G26" s="133"/>
      <c r="H26" s="133"/>
      <c r="I26" s="133"/>
      <c r="J26" s="133"/>
      <c r="K26" s="133"/>
      <c r="L26" s="133"/>
      <c r="M26" s="133"/>
      <c r="N26" s="133"/>
      <c r="O26" s="133"/>
      <c r="Z26" s="135"/>
    </row>
    <row r="27" spans="2:27" x14ac:dyDescent="0.25">
      <c r="B27" s="134">
        <v>5</v>
      </c>
      <c r="C27" s="133" t="s">
        <v>78</v>
      </c>
      <c r="D27" s="133"/>
      <c r="E27" s="133"/>
      <c r="F27" s="133"/>
      <c r="G27" s="133"/>
      <c r="H27" s="133"/>
      <c r="I27" s="133"/>
      <c r="J27" s="133"/>
      <c r="K27" s="133"/>
      <c r="L27" s="133"/>
      <c r="M27" s="133"/>
      <c r="N27" s="133"/>
      <c r="O27" s="133"/>
      <c r="Z27" s="124"/>
    </row>
    <row r="28" spans="2:27" x14ac:dyDescent="0.25">
      <c r="B28" s="134">
        <v>6</v>
      </c>
      <c r="C28" s="133" t="s">
        <v>79</v>
      </c>
      <c r="D28" s="133"/>
      <c r="E28" s="133"/>
      <c r="F28" s="133"/>
      <c r="G28" s="133"/>
      <c r="H28" s="133"/>
      <c r="I28" s="133"/>
      <c r="J28" s="133"/>
      <c r="K28" s="133"/>
      <c r="L28" s="133"/>
      <c r="M28" s="133"/>
      <c r="N28" s="133"/>
      <c r="O28" s="133"/>
      <c r="Z28" s="125"/>
    </row>
    <row r="29" spans="2:27" x14ac:dyDescent="0.25">
      <c r="B29" s="134">
        <v>7</v>
      </c>
      <c r="C29" s="133" t="s">
        <v>80</v>
      </c>
      <c r="D29" s="133"/>
      <c r="E29" s="133"/>
      <c r="F29" s="133"/>
      <c r="G29" s="133"/>
      <c r="H29" s="133"/>
      <c r="I29" s="133"/>
      <c r="J29" s="133"/>
      <c r="K29" s="133"/>
      <c r="L29" s="133"/>
      <c r="M29" s="133"/>
      <c r="N29" s="133"/>
      <c r="O29" s="133"/>
      <c r="P29" s="133"/>
      <c r="Q29" s="133"/>
    </row>
    <row r="30" spans="2:27" x14ac:dyDescent="0.25">
      <c r="B30" s="134">
        <v>8</v>
      </c>
      <c r="C30" s="133" t="s">
        <v>50</v>
      </c>
      <c r="D30" s="133"/>
      <c r="E30" s="133"/>
      <c r="F30" s="133"/>
      <c r="G30" s="133"/>
      <c r="H30" s="133"/>
      <c r="I30" s="133"/>
      <c r="J30" s="133"/>
      <c r="K30" s="133"/>
      <c r="L30" s="133"/>
      <c r="M30" s="133"/>
      <c r="N30" s="133"/>
      <c r="O30" s="133"/>
      <c r="P30" s="133"/>
      <c r="Q30" s="133"/>
    </row>
    <row r="31" spans="2:27" x14ac:dyDescent="0.25">
      <c r="B31" s="134">
        <v>9</v>
      </c>
      <c r="C31" s="133" t="s">
        <v>81</v>
      </c>
      <c r="D31" s="133"/>
      <c r="E31" s="133"/>
      <c r="F31" s="133"/>
      <c r="G31" s="133"/>
      <c r="H31" s="133"/>
      <c r="I31" s="133"/>
      <c r="J31" s="133"/>
      <c r="K31" s="133"/>
      <c r="L31" s="133"/>
      <c r="M31" s="133"/>
      <c r="N31" s="133"/>
      <c r="O31" s="133"/>
      <c r="P31" s="133"/>
      <c r="Q31" s="133"/>
    </row>
    <row r="32" spans="2:27" x14ac:dyDescent="0.25">
      <c r="B32" s="134">
        <v>10</v>
      </c>
      <c r="C32" s="53" t="s">
        <v>82</v>
      </c>
    </row>
    <row r="33" spans="2:20" x14ac:dyDescent="0.25">
      <c r="B33" s="134">
        <v>11</v>
      </c>
      <c r="C33" s="53" t="s">
        <v>101</v>
      </c>
    </row>
    <row r="34" spans="2:20" ht="15.6" x14ac:dyDescent="0.3">
      <c r="B34" s="136"/>
      <c r="C34" s="5"/>
      <c r="D34" s="5"/>
      <c r="E34" s="5"/>
      <c r="F34" s="5"/>
    </row>
    <row r="35" spans="2:20" ht="15.6" x14ac:dyDescent="0.3">
      <c r="B35" s="136"/>
      <c r="C35" s="5"/>
      <c r="D35" s="5"/>
      <c r="E35" s="5"/>
      <c r="F35" s="5"/>
    </row>
    <row r="37" spans="2:20" x14ac:dyDescent="0.25">
      <c r="F37" s="119"/>
      <c r="G37" s="137"/>
      <c r="H37" s="137"/>
      <c r="I37" s="137"/>
      <c r="J37" s="137"/>
      <c r="K37" s="137"/>
      <c r="L37" s="137"/>
      <c r="M37" s="137"/>
      <c r="N37" s="137"/>
      <c r="O37" s="137"/>
      <c r="P37" s="137"/>
      <c r="Q37" s="137"/>
      <c r="R37" s="137"/>
      <c r="S37" s="137"/>
      <c r="T37" s="137"/>
    </row>
    <row r="38" spans="2:20" x14ac:dyDescent="0.25">
      <c r="G38" s="137"/>
      <c r="H38" s="137"/>
      <c r="I38" s="137"/>
      <c r="J38" s="137"/>
      <c r="K38" s="137"/>
      <c r="L38" s="137"/>
      <c r="M38" s="137"/>
      <c r="N38" s="137"/>
      <c r="O38" s="137"/>
      <c r="P38" s="137"/>
      <c r="Q38" s="137"/>
      <c r="R38" s="137"/>
      <c r="S38" s="137"/>
      <c r="T38" s="137"/>
    </row>
    <row r="39" spans="2:20" x14ac:dyDescent="0.25">
      <c r="F39" s="119"/>
      <c r="G39" s="119"/>
      <c r="H39" s="119"/>
      <c r="I39" s="119"/>
      <c r="J39" s="119"/>
      <c r="K39" s="119"/>
      <c r="L39" s="119"/>
      <c r="M39" s="119"/>
      <c r="N39" s="119"/>
      <c r="O39" s="119"/>
      <c r="P39" s="119"/>
      <c r="Q39" s="119"/>
      <c r="R39" s="119"/>
      <c r="S39" s="119"/>
      <c r="T39" s="119"/>
    </row>
    <row r="40" spans="2:20" x14ac:dyDescent="0.25">
      <c r="D40" s="129"/>
    </row>
  </sheetData>
  <customSheetViews>
    <customSheetView guid="{78103E26-15C6-4D37-9879-762EF0B43905}" fitToPage="1">
      <selection activeCell="G14" sqref="G14"/>
      <pageMargins left="0.75" right="0.5" top="0.76" bottom="0.79" header="0.5" footer="0.26"/>
      <pageSetup scale="34" orientation="landscape" r:id="rId1"/>
      <headerFooter alignWithMargins="0">
        <oddFooter>&amp;L&amp;F&amp;C&amp;A&amp;RPSE Advice No. 2018-48 &amp;D
Page &amp;P of &amp;N</oddFooter>
      </headerFooter>
    </customSheetView>
  </customSheetViews>
  <dataValidations disablePrompts="1" count="3">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 type="decimal" operator="greaterThan" allowBlank="1" showInputMessage="1" showErrorMessage="1" sqref="C5:D5">
      <formula1>0</formula1>
    </dataValidation>
  </dataValidations>
  <pageMargins left="0.75" right="0.5" top="0.76" bottom="0.79" header="0.5" footer="0.26"/>
  <pageSetup scale="34" orientation="landscape" r:id="rId2"/>
  <headerFooter alignWithMargins="0">
    <oddFooter>&amp;L&amp;F&amp;C&amp;A&amp;RPSE Advice No. 2018-48 &amp;D
Page &amp;P of &amp;N</oddFooter>
  </headerFooter>
  <customProperties>
    <customPr name="_pios_id" r:id="rId3"/>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tint="0.39997558519241921"/>
    <pageSetUpPr fitToPage="1"/>
  </sheetPr>
  <dimension ref="B2:F41"/>
  <sheetViews>
    <sheetView workbookViewId="0">
      <selection activeCell="B16" sqref="B16"/>
    </sheetView>
  </sheetViews>
  <sheetFormatPr defaultRowHeight="13.2" x14ac:dyDescent="0.25"/>
  <cols>
    <col min="1" max="1" width="2.6640625" customWidth="1"/>
    <col min="2" max="2" width="12.44140625" customWidth="1"/>
    <col min="3" max="4" width="14.6640625" customWidth="1"/>
    <col min="5" max="5" width="12.44140625" customWidth="1"/>
  </cols>
  <sheetData>
    <row r="2" spans="2:6" ht="15.6" x14ac:dyDescent="0.3">
      <c r="B2" s="5" t="str">
        <f>+FlatLoadShapeEnergy_perMWh!P4</f>
        <v>Levelized Cost Effectiveness Standard-Energy</v>
      </c>
    </row>
    <row r="3" spans="2:6" ht="13.8" x14ac:dyDescent="0.25">
      <c r="B3" s="355" t="s">
        <v>51</v>
      </c>
      <c r="C3" s="355"/>
      <c r="D3" s="35"/>
    </row>
    <row r="4" spans="2:6" x14ac:dyDescent="0.25">
      <c r="B4" s="356" t="str">
        <f>+FlatLoadShapeEnergy_perMWh!C6</f>
        <v>Line Loss Reduction</v>
      </c>
      <c r="C4" s="357"/>
      <c r="D4" s="376">
        <f>+FlatLoadShapeEnergy_perMWh!E6</f>
        <v>2.7E-2</v>
      </c>
      <c r="E4" s="35"/>
    </row>
    <row r="5" spans="2:6" x14ac:dyDescent="0.25">
      <c r="B5" s="358" t="s">
        <v>45</v>
      </c>
      <c r="C5" s="358"/>
      <c r="D5" s="161">
        <f>Rate_of_Return</f>
        <v>7.3899999999999993E-2</v>
      </c>
      <c r="E5" s="43"/>
    </row>
    <row r="6" spans="2:6" x14ac:dyDescent="0.25">
      <c r="B6" s="7"/>
      <c r="C6" s="29"/>
      <c r="D6" s="43"/>
      <c r="E6" s="1"/>
    </row>
    <row r="7" spans="2:6" x14ac:dyDescent="0.25">
      <c r="C7" s="2"/>
      <c r="D7" s="2"/>
    </row>
    <row r="8" spans="2:6" s="7" customFormat="1" ht="45.75" customHeight="1" x14ac:dyDescent="0.25">
      <c r="B8" s="6" t="s">
        <v>1</v>
      </c>
      <c r="C8" s="6" t="s">
        <v>74</v>
      </c>
      <c r="D8" s="30" t="s">
        <v>75</v>
      </c>
      <c r="E8"/>
      <c r="F8"/>
    </row>
    <row r="9" spans="2:6" x14ac:dyDescent="0.25">
      <c r="B9" s="8">
        <v>1</v>
      </c>
      <c r="C9" s="36">
        <f>+FlatLoadShapeEnergy_perMWh!P7</f>
        <v>23.466949999999997</v>
      </c>
      <c r="D9" s="160">
        <f t="shared" ref="D9:D27" si="0">C9/1000</f>
        <v>2.3466949999999997E-2</v>
      </c>
    </row>
    <row r="10" spans="2:6" x14ac:dyDescent="0.25">
      <c r="B10" s="8">
        <v>2</v>
      </c>
      <c r="C10" s="36">
        <f>+FlatLoadShapeEnergy_perMWh!P8</f>
        <v>22.644914221997201</v>
      </c>
      <c r="D10" s="160">
        <f t="shared" si="0"/>
        <v>2.26449142219972E-2</v>
      </c>
    </row>
    <row r="11" spans="2:6" x14ac:dyDescent="0.25">
      <c r="B11" s="8">
        <v>3</v>
      </c>
      <c r="C11" s="36">
        <f>+FlatLoadShapeEnergy_perMWh!P9</f>
        <v>22.161330006507324</v>
      </c>
      <c r="D11" s="160">
        <f t="shared" si="0"/>
        <v>2.2161330006507322E-2</v>
      </c>
    </row>
    <row r="12" spans="2:6" x14ac:dyDescent="0.25">
      <c r="B12" s="8">
        <v>4</v>
      </c>
      <c r="C12" s="36">
        <f>+FlatLoadShapeEnergy_perMWh!P10</f>
        <v>21.749967572135283</v>
      </c>
      <c r="D12" s="160">
        <f t="shared" si="0"/>
        <v>2.1749967572135282E-2</v>
      </c>
    </row>
    <row r="13" spans="2:6" x14ac:dyDescent="0.25">
      <c r="B13" s="8">
        <v>5</v>
      </c>
      <c r="C13" s="36">
        <f>+FlatLoadShapeEnergy_perMWh!P11</f>
        <v>21.496895857758748</v>
      </c>
      <c r="D13" s="160">
        <f t="shared" si="0"/>
        <v>2.1496895857758748E-2</v>
      </c>
    </row>
    <row r="14" spans="2:6" x14ac:dyDescent="0.25">
      <c r="B14" s="8">
        <v>6</v>
      </c>
      <c r="C14" s="36">
        <f>+FlatLoadShapeEnergy_perMWh!P12</f>
        <v>21.360169466660984</v>
      </c>
      <c r="D14" s="160">
        <f t="shared" si="0"/>
        <v>2.1360169466660986E-2</v>
      </c>
    </row>
    <row r="15" spans="2:6" x14ac:dyDescent="0.25">
      <c r="B15" s="8">
        <v>7</v>
      </c>
      <c r="C15" s="36">
        <f>+FlatLoadShapeEnergy_perMWh!P13</f>
        <v>21.640600376044478</v>
      </c>
      <c r="D15" s="160">
        <f t="shared" si="0"/>
        <v>2.164060037604448E-2</v>
      </c>
    </row>
    <row r="16" spans="2:6" x14ac:dyDescent="0.25">
      <c r="B16" s="8">
        <v>8</v>
      </c>
      <c r="C16" s="36">
        <f>+FlatLoadShapeEnergy_perMWh!P14</f>
        <v>21.971089152439877</v>
      </c>
      <c r="D16" s="160">
        <f t="shared" si="0"/>
        <v>2.1971089152439876E-2</v>
      </c>
    </row>
    <row r="17" spans="2:4" x14ac:dyDescent="0.25">
      <c r="B17" s="8">
        <v>9</v>
      </c>
      <c r="C17" s="36">
        <f>+FlatLoadShapeEnergy_perMWh!P15</f>
        <v>22.312456869027589</v>
      </c>
      <c r="D17" s="160">
        <f t="shared" si="0"/>
        <v>2.2312456869027587E-2</v>
      </c>
    </row>
    <row r="18" spans="2:4" x14ac:dyDescent="0.25">
      <c r="B18" s="8">
        <v>10</v>
      </c>
      <c r="C18" s="36">
        <f>+FlatLoadShapeEnergy_perMWh!P16</f>
        <v>22.555031190838232</v>
      </c>
      <c r="D18" s="160">
        <f t="shared" si="0"/>
        <v>2.255503119083823E-2</v>
      </c>
    </row>
    <row r="19" spans="2:4" x14ac:dyDescent="0.25">
      <c r="B19" s="8">
        <v>11</v>
      </c>
      <c r="C19" s="36">
        <f>+FlatLoadShapeEnergy_perMWh!P17</f>
        <v>22.73463242637661</v>
      </c>
      <c r="D19" s="160">
        <f t="shared" si="0"/>
        <v>2.2734632426376609E-2</v>
      </c>
    </row>
    <row r="20" spans="2:4" x14ac:dyDescent="0.25">
      <c r="B20" s="8">
        <v>12</v>
      </c>
      <c r="C20" s="36">
        <f>+FlatLoadShapeEnergy_perMWh!P18</f>
        <v>22.916589856179158</v>
      </c>
      <c r="D20" s="160">
        <f t="shared" si="0"/>
        <v>2.2916589856179156E-2</v>
      </c>
    </row>
    <row r="21" spans="2:4" x14ac:dyDescent="0.25">
      <c r="B21" s="8">
        <v>13</v>
      </c>
      <c r="C21" s="36">
        <f>+FlatLoadShapeEnergy_perMWh!P19</f>
        <v>23.134143796401776</v>
      </c>
      <c r="D21" s="160">
        <f t="shared" si="0"/>
        <v>2.3134143796401777E-2</v>
      </c>
    </row>
    <row r="22" spans="2:4" x14ac:dyDescent="0.25">
      <c r="B22" s="8">
        <v>14</v>
      </c>
      <c r="C22" s="36">
        <f>+FlatLoadShapeEnergy_perMWh!P20</f>
        <v>23.350056606891251</v>
      </c>
      <c r="D22" s="160">
        <f t="shared" si="0"/>
        <v>2.335005660689125E-2</v>
      </c>
    </row>
    <row r="23" spans="2:4" x14ac:dyDescent="0.25">
      <c r="B23" s="281">
        <v>15</v>
      </c>
      <c r="C23" s="282">
        <f>+FlatLoadShapeEnergy_perMWh!P21</f>
        <v>23.56871902062823</v>
      </c>
      <c r="D23" s="160">
        <f>C23/1000</f>
        <v>2.356871902062823E-2</v>
      </c>
    </row>
    <row r="24" spans="2:4" x14ac:dyDescent="0.25">
      <c r="B24" s="8">
        <v>16</v>
      </c>
      <c r="C24" s="36">
        <f>+FlatLoadShapeEnergy_perMWh!P22</f>
        <v>23.809721083906837</v>
      </c>
      <c r="D24" s="160">
        <f t="shared" si="0"/>
        <v>2.3809721083906835E-2</v>
      </c>
    </row>
    <row r="25" spans="2:4" x14ac:dyDescent="0.25">
      <c r="B25" s="8">
        <v>17</v>
      </c>
      <c r="C25" s="36">
        <f>+FlatLoadShapeEnergy_perMWh!P23</f>
        <v>24.010563771540284</v>
      </c>
      <c r="D25" s="160">
        <f t="shared" si="0"/>
        <v>2.4010563771540285E-2</v>
      </c>
    </row>
    <row r="26" spans="2:4" x14ac:dyDescent="0.25">
      <c r="B26" s="8">
        <v>18</v>
      </c>
      <c r="C26" s="36">
        <f>+FlatLoadShapeEnergy_perMWh!P24</f>
        <v>24.183688627646816</v>
      </c>
      <c r="D26" s="160">
        <f t="shared" si="0"/>
        <v>2.4183688627646815E-2</v>
      </c>
    </row>
    <row r="27" spans="2:4" x14ac:dyDescent="0.25">
      <c r="B27" s="8">
        <v>19</v>
      </c>
      <c r="C27" s="36">
        <f>+FlatLoadShapeEnergy_perMWh!P25</f>
        <v>24.330764227180442</v>
      </c>
      <c r="D27" s="160">
        <f t="shared" si="0"/>
        <v>2.4330764227180442E-2</v>
      </c>
    </row>
    <row r="28" spans="2:4" x14ac:dyDescent="0.25">
      <c r="B28" s="8">
        <v>20</v>
      </c>
      <c r="C28" s="36">
        <f>+FlatLoadShapeEnergy_perMWh!P26</f>
        <v>24.467321296226054</v>
      </c>
      <c r="D28" s="160">
        <f t="shared" ref="D28:D29" si="1">C28/1000</f>
        <v>2.4467321296226054E-2</v>
      </c>
    </row>
    <row r="29" spans="2:4" x14ac:dyDescent="0.25">
      <c r="B29" s="8">
        <v>21</v>
      </c>
      <c r="C29" s="36">
        <f>+FlatLoadShapeEnergy_perMWh!P27</f>
        <v>24.611065299797751</v>
      </c>
      <c r="D29" s="160">
        <f t="shared" si="1"/>
        <v>2.4611065299797751E-2</v>
      </c>
    </row>
    <row r="39" spans="2:3" x14ac:dyDescent="0.25">
      <c r="C39" s="9"/>
    </row>
    <row r="40" spans="2:3" x14ac:dyDescent="0.25">
      <c r="C40" s="10"/>
    </row>
    <row r="41" spans="2:3" s="13" customFormat="1" x14ac:dyDescent="0.25">
      <c r="B41" s="11"/>
      <c r="C41" s="12"/>
    </row>
  </sheetData>
  <customSheetViews>
    <customSheetView guid="{78103E26-15C6-4D37-9879-762EF0B43905}" fitToPage="1">
      <selection activeCell="B16" sqref="B16"/>
      <pageMargins left="0.75" right="0.5" top="0.76" bottom="0.79" header="0.5" footer="0.26"/>
      <pageSetup orientation="landscape" r:id="rId1"/>
      <headerFooter alignWithMargins="0">
        <oddFooter>&amp;L&amp;F&amp;C&amp;A&amp;RPSE Advice No. 2018-48 &amp;D
Page &amp;P of &amp;N</oddFooter>
      </headerFooter>
    </customSheetView>
  </customSheetViews>
  <mergeCells count="3">
    <mergeCell ref="B3:C3"/>
    <mergeCell ref="B4:C4"/>
    <mergeCell ref="B5:C5"/>
  </mergeCells>
  <phoneticPr fontId="0" type="noConversion"/>
  <pageMargins left="0.75" right="0.5" top="0.76" bottom="0.79" header="0.5" footer="0.26"/>
  <pageSetup orientation="landscape" r:id="rId2"/>
  <headerFooter alignWithMargins="0">
    <oddFooter>&amp;L&amp;F&amp;C&amp;A&amp;RPSE Advice No. 2018-48 &amp;D
Page &amp;P of &amp;N</oddFooter>
  </headerFooter>
  <customProperties>
    <customPr name="_pios_id" r:id="rId3"/>
  </customProperties>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39997558519241921"/>
    <pageSetUpPr fitToPage="1"/>
  </sheetPr>
  <dimension ref="B1:U33"/>
  <sheetViews>
    <sheetView workbookViewId="0">
      <selection activeCell="E8" sqref="E8"/>
    </sheetView>
  </sheetViews>
  <sheetFormatPr defaultColWidth="14.44140625" defaultRowHeight="15" x14ac:dyDescent="0.25"/>
  <cols>
    <col min="1" max="1" width="2.6640625" style="195" customWidth="1"/>
    <col min="2" max="2" width="4" style="195" bestFit="1" customWidth="1"/>
    <col min="3" max="3" width="30.88671875" style="195" customWidth="1"/>
    <col min="4" max="4" width="3.6640625" style="195" customWidth="1"/>
    <col min="5" max="5" width="10.44140625" style="195" customWidth="1"/>
    <col min="6" max="6" width="2.6640625" style="195" customWidth="1"/>
    <col min="7" max="7" width="9.44140625" style="195" customWidth="1"/>
    <col min="8" max="8" width="12.5546875" style="195" customWidth="1"/>
    <col min="9" max="9" width="17.6640625" style="195" customWidth="1"/>
    <col min="10" max="10" width="14.44140625" style="195" customWidth="1"/>
    <col min="11" max="11" width="17" style="195" customWidth="1"/>
    <col min="12" max="12" width="14.44140625" style="195" customWidth="1"/>
    <col min="13" max="13" width="16.33203125" style="195" bestFit="1" customWidth="1"/>
    <col min="14" max="14" width="15.6640625" style="195" customWidth="1"/>
    <col min="15" max="16" width="16.109375" style="195" customWidth="1"/>
    <col min="17" max="16384" width="14.44140625" style="195"/>
  </cols>
  <sheetData>
    <row r="1" spans="2:21" s="189" customFormat="1" x14ac:dyDescent="0.25"/>
    <row r="2" spans="2:21" s="189" customFormat="1" ht="15.6" x14ac:dyDescent="0.3">
      <c r="B2" s="190"/>
      <c r="C2" s="190"/>
      <c r="D2" s="190"/>
      <c r="E2" s="190"/>
      <c r="F2" s="190"/>
      <c r="G2" s="190"/>
      <c r="H2" s="190"/>
      <c r="I2" s="190"/>
      <c r="J2" s="191"/>
      <c r="K2" s="190"/>
      <c r="L2" s="190"/>
      <c r="M2" s="192"/>
      <c r="N2" s="190"/>
      <c r="O2" s="190"/>
      <c r="P2" s="190"/>
      <c r="Q2" s="190"/>
      <c r="R2" s="190"/>
      <c r="S2" s="190"/>
      <c r="T2" s="190"/>
      <c r="U2" s="190"/>
    </row>
    <row r="3" spans="2:21" ht="15.6" x14ac:dyDescent="0.3">
      <c r="B3" s="193"/>
      <c r="C3" s="193"/>
      <c r="D3" s="193"/>
      <c r="E3" s="193"/>
      <c r="F3" s="193"/>
      <c r="G3" s="193"/>
      <c r="H3" s="193"/>
      <c r="I3" s="193"/>
      <c r="J3" s="22"/>
      <c r="K3" s="190"/>
      <c r="L3" s="190"/>
      <c r="M3" s="194"/>
      <c r="N3" s="193"/>
      <c r="O3" s="193"/>
      <c r="P3" s="193"/>
      <c r="Q3" s="193"/>
      <c r="R3" s="193"/>
      <c r="S3" s="193"/>
      <c r="T3" s="193"/>
      <c r="U3" s="193"/>
    </row>
    <row r="4" spans="2:21" ht="66" customHeight="1" x14ac:dyDescent="0.3">
      <c r="B4" s="193"/>
      <c r="C4" s="193"/>
      <c r="D4" s="193"/>
      <c r="E4" s="193"/>
      <c r="F4" s="193"/>
      <c r="G4" s="23" t="s">
        <v>15</v>
      </c>
      <c r="H4" s="24" t="s">
        <v>1</v>
      </c>
      <c r="I4" s="25" t="s">
        <v>28</v>
      </c>
      <c r="J4" s="24" t="s">
        <v>133</v>
      </c>
      <c r="K4" s="25" t="s">
        <v>47</v>
      </c>
      <c r="L4" s="25" t="s">
        <v>48</v>
      </c>
      <c r="M4" s="24" t="s">
        <v>49</v>
      </c>
      <c r="N4" s="24" t="s">
        <v>31</v>
      </c>
      <c r="O4" s="24" t="s">
        <v>32</v>
      </c>
      <c r="P4" s="24" t="s">
        <v>29</v>
      </c>
      <c r="Q4" s="24"/>
      <c r="R4" s="23"/>
      <c r="S4" s="24"/>
      <c r="T4" s="24"/>
      <c r="U4" s="24"/>
    </row>
    <row r="5" spans="2:21" ht="15.6" x14ac:dyDescent="0.3">
      <c r="B5" s="177"/>
      <c r="C5" s="177"/>
      <c r="D5" s="177"/>
      <c r="E5" s="177"/>
      <c r="F5" s="177"/>
      <c r="G5" s="26"/>
      <c r="H5" s="26" t="s">
        <v>20</v>
      </c>
      <c r="I5" s="26" t="s">
        <v>52</v>
      </c>
      <c r="J5" s="26" t="s">
        <v>52</v>
      </c>
      <c r="K5" s="26" t="s">
        <v>52</v>
      </c>
      <c r="L5" s="26" t="s">
        <v>52</v>
      </c>
      <c r="M5" s="26" t="s">
        <v>52</v>
      </c>
      <c r="N5" s="26" t="s">
        <v>52</v>
      </c>
      <c r="O5" s="26" t="s">
        <v>52</v>
      </c>
      <c r="P5" s="26" t="s">
        <v>52</v>
      </c>
      <c r="Q5" s="23"/>
      <c r="R5" s="23"/>
      <c r="S5" s="23"/>
      <c r="T5" s="23"/>
      <c r="U5" s="23"/>
    </row>
    <row r="6" spans="2:21" ht="15.6" x14ac:dyDescent="0.3">
      <c r="B6" s="177"/>
      <c r="C6" s="28" t="s">
        <v>133</v>
      </c>
      <c r="D6" s="28" t="str">
        <f>+J6</f>
        <v>[4]</v>
      </c>
      <c r="E6" s="319">
        <v>2.7E-2</v>
      </c>
      <c r="F6" s="51"/>
      <c r="G6" s="162" t="s">
        <v>21</v>
      </c>
      <c r="H6" s="162" t="s">
        <v>22</v>
      </c>
      <c r="I6" s="162" t="s">
        <v>23</v>
      </c>
      <c r="J6" s="162" t="s">
        <v>24</v>
      </c>
      <c r="K6" s="162" t="s">
        <v>25</v>
      </c>
      <c r="L6" s="162" t="s">
        <v>30</v>
      </c>
      <c r="M6" s="162" t="s">
        <v>26</v>
      </c>
      <c r="N6" s="162" t="s">
        <v>27</v>
      </c>
      <c r="O6" s="162" t="s">
        <v>35</v>
      </c>
      <c r="P6" s="162" t="s">
        <v>71</v>
      </c>
      <c r="Q6" s="27"/>
      <c r="R6" s="23"/>
      <c r="S6" s="193"/>
      <c r="T6" s="27"/>
      <c r="U6" s="23"/>
    </row>
    <row r="7" spans="2:21" ht="15.6" x14ac:dyDescent="0.3">
      <c r="B7" s="34"/>
      <c r="C7" s="28" t="s">
        <v>45</v>
      </c>
      <c r="D7" s="28"/>
      <c r="E7" s="178">
        <f>Rate_of_Return</f>
        <v>7.3899999999999993E-2</v>
      </c>
      <c r="F7" s="179"/>
      <c r="G7" s="170">
        <f>'Energy Prices'!C6</f>
        <v>2021</v>
      </c>
      <c r="H7" s="165">
        <v>1</v>
      </c>
      <c r="I7" s="180">
        <f>'Energy Prices'!P6</f>
        <v>22.85</v>
      </c>
      <c r="J7" s="180">
        <f>I7*$E$6</f>
        <v>0.61695</v>
      </c>
      <c r="K7" s="180">
        <v>0</v>
      </c>
      <c r="L7" s="180">
        <v>0</v>
      </c>
      <c r="M7" s="180">
        <v>0</v>
      </c>
      <c r="N7" s="180">
        <f>(I7+J7+K7+L7+M7)/((1+$E$7)^H7)</f>
        <v>21.852081199366793</v>
      </c>
      <c r="O7" s="180">
        <f>N7</f>
        <v>21.852081199366793</v>
      </c>
      <c r="P7" s="180">
        <f>(-PMT($E$7,H7,(O7)))</f>
        <v>23.466949999999997</v>
      </c>
      <c r="Q7" s="181"/>
      <c r="R7" s="182"/>
      <c r="S7" s="183"/>
      <c r="T7" s="184"/>
      <c r="U7" s="184"/>
    </row>
    <row r="8" spans="2:21" ht="15.6" x14ac:dyDescent="0.3">
      <c r="B8" s="177"/>
      <c r="C8" s="28" t="s">
        <v>46</v>
      </c>
      <c r="D8" s="28"/>
      <c r="E8" s="320">
        <v>2.5000000000000001E-2</v>
      </c>
      <c r="F8" s="179"/>
      <c r="G8" s="38">
        <f>G7+1</f>
        <v>2022</v>
      </c>
      <c r="H8" s="39">
        <v>2</v>
      </c>
      <c r="I8" s="185">
        <f>'Energy Prices'!P7</f>
        <v>21.19</v>
      </c>
      <c r="J8" s="185">
        <f t="shared" ref="J8:J25" si="0">I8*$E$6</f>
        <v>0.57213000000000003</v>
      </c>
      <c r="K8" s="185">
        <f>+$K$7</f>
        <v>0</v>
      </c>
      <c r="L8" s="185">
        <v>0</v>
      </c>
      <c r="M8" s="185">
        <v>0</v>
      </c>
      <c r="N8" s="185">
        <f t="shared" ref="N8:N25" si="1">(I8+J8+K8+L8+M8)/((1+$E$7)^H8)</f>
        <v>18.870078878314132</v>
      </c>
      <c r="O8" s="185">
        <f t="shared" ref="O8:O25" si="2">N8+O7</f>
        <v>40.722160077680925</v>
      </c>
      <c r="P8" s="180">
        <f>(-PMT($E$7,H8,(O8)))</f>
        <v>22.644914221997201</v>
      </c>
      <c r="Q8" s="181"/>
      <c r="R8" s="182"/>
      <c r="S8" s="183"/>
      <c r="T8" s="184"/>
      <c r="U8" s="184"/>
    </row>
    <row r="9" spans="2:21" ht="15.6" x14ac:dyDescent="0.3">
      <c r="B9" s="177"/>
      <c r="C9" s="28"/>
      <c r="D9" s="28"/>
      <c r="E9" s="179"/>
      <c r="F9" s="186"/>
      <c r="G9" s="38">
        <f t="shared" ref="G9:G27" si="3">G8+1</f>
        <v>2023</v>
      </c>
      <c r="H9" s="39">
        <v>3</v>
      </c>
      <c r="I9" s="185">
        <f>'Energy Prices'!P8</f>
        <v>20.53</v>
      </c>
      <c r="J9" s="185">
        <f t="shared" si="0"/>
        <v>0.55430999999999997</v>
      </c>
      <c r="K9" s="185">
        <f t="shared" ref="K9:K27" si="4">+$K$7</f>
        <v>0</v>
      </c>
      <c r="L9" s="185">
        <v>0</v>
      </c>
      <c r="M9" s="185">
        <v>0</v>
      </c>
      <c r="N9" s="185">
        <f t="shared" si="1"/>
        <v>17.024245201364739</v>
      </c>
      <c r="O9" s="185">
        <f t="shared" si="2"/>
        <v>57.746405279045661</v>
      </c>
      <c r="P9" s="180">
        <f t="shared" ref="P9:P26" si="5">(-PMT($E$7,H9,(O9)))</f>
        <v>22.161330006507324</v>
      </c>
      <c r="Q9" s="181"/>
      <c r="R9" s="182"/>
      <c r="S9" s="183"/>
      <c r="T9" s="184"/>
      <c r="U9" s="184"/>
    </row>
    <row r="10" spans="2:21" x14ac:dyDescent="0.25">
      <c r="B10" s="177"/>
      <c r="C10" s="177"/>
      <c r="D10" s="177"/>
      <c r="E10" s="177"/>
      <c r="F10" s="179"/>
      <c r="G10" s="38">
        <f t="shared" si="3"/>
        <v>2024</v>
      </c>
      <c r="H10" s="39">
        <v>4</v>
      </c>
      <c r="I10" s="185">
        <f>'Energy Prices'!P9</f>
        <v>19.79</v>
      </c>
      <c r="J10" s="185">
        <f t="shared" si="0"/>
        <v>0.53432999999999997</v>
      </c>
      <c r="K10" s="185">
        <f t="shared" si="4"/>
        <v>0</v>
      </c>
      <c r="L10" s="185">
        <v>0</v>
      </c>
      <c r="M10" s="185">
        <v>0</v>
      </c>
      <c r="N10" s="185">
        <f t="shared" si="1"/>
        <v>15.28131993262482</v>
      </c>
      <c r="O10" s="185">
        <f t="shared" si="2"/>
        <v>73.027725211670486</v>
      </c>
      <c r="P10" s="180">
        <f t="shared" si="5"/>
        <v>21.749967572135283</v>
      </c>
      <c r="Q10" s="181"/>
      <c r="R10" s="182"/>
      <c r="S10" s="183"/>
      <c r="T10" s="184"/>
      <c r="U10" s="184"/>
    </row>
    <row r="11" spans="2:21" x14ac:dyDescent="0.25">
      <c r="B11" s="177"/>
      <c r="C11" s="177"/>
      <c r="D11" s="177"/>
      <c r="E11" s="177"/>
      <c r="F11" s="179"/>
      <c r="G11" s="38">
        <f t="shared" si="3"/>
        <v>2025</v>
      </c>
      <c r="H11" s="39">
        <v>5</v>
      </c>
      <c r="I11" s="185">
        <f>'Energy Prices'!P10</f>
        <v>19.75</v>
      </c>
      <c r="J11" s="185">
        <f t="shared" si="0"/>
        <v>0.53325</v>
      </c>
      <c r="K11" s="185">
        <f t="shared" si="4"/>
        <v>0</v>
      </c>
      <c r="L11" s="185">
        <v>0</v>
      </c>
      <c r="M11" s="185">
        <v>0</v>
      </c>
      <c r="N11" s="185">
        <f>(I11+J11+K11+L11+M11)/((1+$E$7)^H11)</f>
        <v>14.200980519372779</v>
      </c>
      <c r="O11" s="185">
        <f t="shared" si="2"/>
        <v>87.228705731043263</v>
      </c>
      <c r="P11" s="180">
        <f t="shared" si="5"/>
        <v>21.496895857758748</v>
      </c>
      <c r="Q11" s="181"/>
      <c r="R11" s="182"/>
      <c r="S11" s="183"/>
      <c r="T11" s="184"/>
      <c r="U11" s="184"/>
    </row>
    <row r="12" spans="2:21" x14ac:dyDescent="0.25">
      <c r="B12" s="193"/>
      <c r="C12" s="193"/>
      <c r="D12" s="193"/>
      <c r="E12" s="193"/>
      <c r="F12" s="177"/>
      <c r="G12" s="38">
        <f t="shared" si="3"/>
        <v>2026</v>
      </c>
      <c r="H12" s="39">
        <v>6</v>
      </c>
      <c r="I12" s="185">
        <f>'Energy Prices'!P11</f>
        <v>19.97</v>
      </c>
      <c r="J12" s="185">
        <f t="shared" si="0"/>
        <v>0.53918999999999995</v>
      </c>
      <c r="K12" s="185">
        <f t="shared" si="4"/>
        <v>0</v>
      </c>
      <c r="L12" s="185">
        <v>0</v>
      </c>
      <c r="M12" s="185">
        <v>0</v>
      </c>
      <c r="N12" s="185">
        <f>(I12+J12+K12+L12+M12)/((1+$E$7)^H12)</f>
        <v>13.37104819517997</v>
      </c>
      <c r="O12" s="185">
        <f t="shared" si="2"/>
        <v>100.59975392622323</v>
      </c>
      <c r="P12" s="180">
        <f t="shared" si="5"/>
        <v>21.360169466660984</v>
      </c>
      <c r="Q12" s="181"/>
      <c r="R12" s="182"/>
      <c r="S12" s="183"/>
      <c r="T12" s="184"/>
      <c r="U12" s="184"/>
    </row>
    <row r="13" spans="2:21" x14ac:dyDescent="0.25">
      <c r="B13" s="193"/>
      <c r="C13" s="193"/>
      <c r="D13" s="193"/>
      <c r="E13" s="193"/>
      <c r="F13" s="177"/>
      <c r="G13" s="38">
        <f t="shared" si="3"/>
        <v>2027</v>
      </c>
      <c r="H13" s="39">
        <v>7</v>
      </c>
      <c r="I13" s="185">
        <f>'Energy Prices'!P12</f>
        <v>23.19</v>
      </c>
      <c r="J13" s="185">
        <f t="shared" si="0"/>
        <v>0.62613000000000008</v>
      </c>
      <c r="K13" s="185">
        <f t="shared" si="4"/>
        <v>0</v>
      </c>
      <c r="L13" s="185">
        <v>0</v>
      </c>
      <c r="M13" s="185">
        <v>0</v>
      </c>
      <c r="N13" s="185">
        <f t="shared" si="1"/>
        <v>14.458535164989009</v>
      </c>
      <c r="O13" s="185">
        <f t="shared" si="2"/>
        <v>115.05828909121223</v>
      </c>
      <c r="P13" s="180">
        <f t="shared" si="5"/>
        <v>21.640600376044478</v>
      </c>
      <c r="Q13" s="181"/>
      <c r="R13" s="182"/>
      <c r="S13" s="183"/>
      <c r="T13" s="184"/>
      <c r="U13" s="184"/>
    </row>
    <row r="14" spans="2:21" x14ac:dyDescent="0.25">
      <c r="B14" s="193"/>
      <c r="C14" s="193"/>
      <c r="D14" s="193"/>
      <c r="E14" s="193"/>
      <c r="F14" s="179"/>
      <c r="G14" s="38">
        <f t="shared" si="3"/>
        <v>2028</v>
      </c>
      <c r="H14" s="39">
        <v>8</v>
      </c>
      <c r="I14" s="185">
        <f>'Energy Prices'!P13</f>
        <v>24.42</v>
      </c>
      <c r="J14" s="185">
        <f t="shared" si="0"/>
        <v>0.65934000000000004</v>
      </c>
      <c r="K14" s="185">
        <f t="shared" si="4"/>
        <v>0</v>
      </c>
      <c r="L14" s="185">
        <v>0</v>
      </c>
      <c r="M14" s="185">
        <v>0</v>
      </c>
      <c r="N14" s="185">
        <f>(I14+J14+K14+L14+M14)/((1+$E$7)^H14)</f>
        <v>14.177686345558749</v>
      </c>
      <c r="O14" s="185">
        <f t="shared" si="2"/>
        <v>129.23597543677099</v>
      </c>
      <c r="P14" s="180">
        <f t="shared" si="5"/>
        <v>21.971089152439877</v>
      </c>
      <c r="Q14" s="181"/>
      <c r="R14" s="182"/>
      <c r="S14" s="183"/>
      <c r="T14" s="184"/>
      <c r="U14" s="184"/>
    </row>
    <row r="15" spans="2:21" x14ac:dyDescent="0.25">
      <c r="B15" s="193"/>
      <c r="C15" s="193"/>
      <c r="D15" s="193"/>
      <c r="E15" s="193"/>
      <c r="F15" s="177"/>
      <c r="G15" s="38">
        <f t="shared" si="3"/>
        <v>2029</v>
      </c>
      <c r="H15" s="39">
        <v>9</v>
      </c>
      <c r="I15" s="185">
        <f>'Energy Prices'!P14</f>
        <v>25.44</v>
      </c>
      <c r="J15" s="185">
        <f t="shared" si="0"/>
        <v>0.68688000000000005</v>
      </c>
      <c r="K15" s="185">
        <f t="shared" si="4"/>
        <v>0</v>
      </c>
      <c r="L15" s="185">
        <v>0</v>
      </c>
      <c r="M15" s="185">
        <v>0</v>
      </c>
      <c r="N15" s="185">
        <f t="shared" si="1"/>
        <v>13.753491683317593</v>
      </c>
      <c r="O15" s="185">
        <f t="shared" si="2"/>
        <v>142.98946712008859</v>
      </c>
      <c r="P15" s="180">
        <f t="shared" si="5"/>
        <v>22.312456869027589</v>
      </c>
      <c r="Q15" s="181"/>
      <c r="R15" s="182"/>
      <c r="S15" s="183"/>
      <c r="T15" s="184"/>
      <c r="U15" s="184"/>
    </row>
    <row r="16" spans="2:21" x14ac:dyDescent="0.25">
      <c r="B16" s="193"/>
      <c r="C16" s="193"/>
      <c r="D16" s="193"/>
      <c r="E16" s="193"/>
      <c r="F16" s="187"/>
      <c r="G16" s="38">
        <f t="shared" si="3"/>
        <v>2030</v>
      </c>
      <c r="H16" s="39">
        <v>10</v>
      </c>
      <c r="I16" s="185">
        <f>'Energy Prices'!P15</f>
        <v>25.05</v>
      </c>
      <c r="J16" s="185">
        <f t="shared" si="0"/>
        <v>0.67635000000000001</v>
      </c>
      <c r="K16" s="185">
        <f t="shared" si="4"/>
        <v>0</v>
      </c>
      <c r="L16" s="185">
        <v>0</v>
      </c>
      <c r="M16" s="185">
        <v>0</v>
      </c>
      <c r="N16" s="185">
        <f t="shared" si="1"/>
        <v>12.610716138200861</v>
      </c>
      <c r="O16" s="185">
        <f t="shared" si="2"/>
        <v>155.60018325828946</v>
      </c>
      <c r="P16" s="180">
        <f t="shared" si="5"/>
        <v>22.555031190838232</v>
      </c>
      <c r="Q16" s="181"/>
      <c r="R16" s="182"/>
      <c r="S16" s="183"/>
      <c r="T16" s="184"/>
      <c r="U16" s="184"/>
    </row>
    <row r="17" spans="2:21" x14ac:dyDescent="0.25">
      <c r="B17" s="193"/>
      <c r="C17" s="193"/>
      <c r="D17" s="193"/>
      <c r="E17" s="193"/>
      <c r="F17" s="188"/>
      <c r="G17" s="38">
        <f t="shared" si="3"/>
        <v>2031</v>
      </c>
      <c r="H17" s="39">
        <v>11</v>
      </c>
      <c r="I17" s="185">
        <f>'Energy Prices'!P16</f>
        <v>24.78</v>
      </c>
      <c r="J17" s="185">
        <f t="shared" si="0"/>
        <v>0.66905999999999999</v>
      </c>
      <c r="K17" s="185">
        <f t="shared" si="4"/>
        <v>0</v>
      </c>
      <c r="L17" s="185">
        <v>0</v>
      </c>
      <c r="M17" s="185">
        <v>0</v>
      </c>
      <c r="N17" s="185">
        <f t="shared" si="1"/>
        <v>11.616344400485456</v>
      </c>
      <c r="O17" s="185">
        <f t="shared" si="2"/>
        <v>167.21652765877491</v>
      </c>
      <c r="P17" s="180">
        <f t="shared" si="5"/>
        <v>22.73463242637661</v>
      </c>
      <c r="Q17" s="181"/>
      <c r="R17" s="182"/>
      <c r="S17" s="183"/>
      <c r="T17" s="184"/>
      <c r="U17" s="184"/>
    </row>
    <row r="18" spans="2:21" x14ac:dyDescent="0.25">
      <c r="B18" s="193"/>
      <c r="C18" s="193"/>
      <c r="D18" s="193"/>
      <c r="E18" s="193"/>
      <c r="F18" s="188"/>
      <c r="G18" s="38">
        <f t="shared" si="3"/>
        <v>2032</v>
      </c>
      <c r="H18" s="39">
        <v>12</v>
      </c>
      <c r="I18" s="185">
        <f>'Energy Prices'!P17</f>
        <v>25.38</v>
      </c>
      <c r="J18" s="185">
        <f t="shared" si="0"/>
        <v>0.68525999999999998</v>
      </c>
      <c r="K18" s="185">
        <f t="shared" si="4"/>
        <v>0</v>
      </c>
      <c r="L18" s="185">
        <v>0</v>
      </c>
      <c r="M18" s="185">
        <v>0</v>
      </c>
      <c r="N18" s="185">
        <f t="shared" si="1"/>
        <v>11.078882409333648</v>
      </c>
      <c r="O18" s="185">
        <f t="shared" si="2"/>
        <v>178.29541006810857</v>
      </c>
      <c r="P18" s="180">
        <f t="shared" si="5"/>
        <v>22.916589856179158</v>
      </c>
      <c r="Q18" s="181"/>
      <c r="R18" s="182"/>
      <c r="S18" s="183"/>
      <c r="T18" s="184"/>
      <c r="U18" s="184"/>
    </row>
    <row r="19" spans="2:21" x14ac:dyDescent="0.25">
      <c r="B19" s="193"/>
      <c r="C19" s="193"/>
      <c r="D19" s="193"/>
      <c r="E19" s="193"/>
      <c r="F19" s="188"/>
      <c r="G19" s="38">
        <f t="shared" si="3"/>
        <v>2033</v>
      </c>
      <c r="H19" s="39">
        <v>13</v>
      </c>
      <c r="I19" s="185">
        <f>'Energy Prices'!P18</f>
        <v>26.69</v>
      </c>
      <c r="J19" s="185">
        <f>I19*$E$6</f>
        <v>0.72062999999999999</v>
      </c>
      <c r="K19" s="185">
        <f t="shared" si="4"/>
        <v>0</v>
      </c>
      <c r="L19" s="185">
        <v>0</v>
      </c>
      <c r="M19" s="185">
        <v>0</v>
      </c>
      <c r="N19" s="185">
        <f t="shared" si="1"/>
        <v>10.848983944100516</v>
      </c>
      <c r="O19" s="185">
        <f t="shared" si="2"/>
        <v>189.14439401220909</v>
      </c>
      <c r="P19" s="180">
        <f t="shared" si="5"/>
        <v>23.134143796401776</v>
      </c>
      <c r="Q19" s="181"/>
      <c r="R19" s="182"/>
      <c r="S19" s="183"/>
      <c r="T19" s="184"/>
      <c r="U19" s="184"/>
    </row>
    <row r="20" spans="2:21" x14ac:dyDescent="0.25">
      <c r="B20" s="193"/>
      <c r="C20" s="193"/>
      <c r="D20" s="193"/>
      <c r="E20" s="193"/>
      <c r="F20" s="188"/>
      <c r="G20" s="38">
        <f t="shared" si="3"/>
        <v>2034</v>
      </c>
      <c r="H20" s="39">
        <v>14</v>
      </c>
      <c r="I20" s="185">
        <f>'Energy Prices'!P19</f>
        <v>27.4</v>
      </c>
      <c r="J20" s="185">
        <f t="shared" si="0"/>
        <v>0.7397999999999999</v>
      </c>
      <c r="K20" s="185">
        <f t="shared" si="4"/>
        <v>0</v>
      </c>
      <c r="L20" s="185">
        <v>0</v>
      </c>
      <c r="M20" s="185">
        <v>0</v>
      </c>
      <c r="N20" s="185">
        <f t="shared" si="1"/>
        <v>10.371157105084295</v>
      </c>
      <c r="O20" s="185">
        <f t="shared" si="2"/>
        <v>199.5155511172934</v>
      </c>
      <c r="P20" s="180">
        <f t="shared" si="5"/>
        <v>23.350056606891251</v>
      </c>
      <c r="Q20" s="181"/>
      <c r="R20" s="182"/>
      <c r="S20" s="183"/>
      <c r="T20" s="184"/>
      <c r="U20" s="184"/>
    </row>
    <row r="21" spans="2:21" x14ac:dyDescent="0.25">
      <c r="B21" s="193"/>
      <c r="C21" s="193"/>
      <c r="D21" s="193"/>
      <c r="E21" s="193"/>
      <c r="F21" s="188"/>
      <c r="G21" s="37">
        <f t="shared" si="3"/>
        <v>2035</v>
      </c>
      <c r="H21" s="37">
        <v>15</v>
      </c>
      <c r="I21" s="185">
        <f>'Energy Prices'!P20</f>
        <v>28.25</v>
      </c>
      <c r="J21" s="185">
        <f t="shared" si="0"/>
        <v>0.76275000000000004</v>
      </c>
      <c r="K21" s="185">
        <f t="shared" si="4"/>
        <v>0</v>
      </c>
      <c r="L21" s="185">
        <v>0</v>
      </c>
      <c r="M21" s="185">
        <v>0</v>
      </c>
      <c r="N21" s="185">
        <f>(I21+J21+K21+L21+M21)/((1+$E$7)^H21)</f>
        <v>9.9570631166514083</v>
      </c>
      <c r="O21" s="185">
        <f>N21+O20</f>
        <v>209.4726142339448</v>
      </c>
      <c r="P21" s="180">
        <f t="shared" si="5"/>
        <v>23.56871902062823</v>
      </c>
      <c r="Q21" s="181"/>
      <c r="R21" s="182"/>
      <c r="S21" s="183"/>
      <c r="T21" s="184"/>
      <c r="U21" s="184"/>
    </row>
    <row r="22" spans="2:21" x14ac:dyDescent="0.25">
      <c r="B22" s="193"/>
      <c r="C22" s="193"/>
      <c r="D22" s="193"/>
      <c r="E22" s="193"/>
      <c r="F22" s="188"/>
      <c r="G22" s="38">
        <f t="shared" si="3"/>
        <v>2036</v>
      </c>
      <c r="H22" s="39">
        <v>16</v>
      </c>
      <c r="I22" s="185">
        <f>'Energy Prices'!P21</f>
        <v>29.71</v>
      </c>
      <c r="J22" s="185">
        <f t="shared" si="0"/>
        <v>0.80217000000000005</v>
      </c>
      <c r="K22" s="185">
        <f t="shared" si="4"/>
        <v>0</v>
      </c>
      <c r="L22" s="185">
        <v>0</v>
      </c>
      <c r="M22" s="185">
        <v>0</v>
      </c>
      <c r="N22" s="185">
        <f t="shared" si="1"/>
        <v>9.7510552537632922</v>
      </c>
      <c r="O22" s="185">
        <f t="shared" si="2"/>
        <v>219.22366948770809</v>
      </c>
      <c r="P22" s="180">
        <f t="shared" si="5"/>
        <v>23.809721083906837</v>
      </c>
      <c r="Q22" s="181"/>
      <c r="R22" s="182"/>
      <c r="S22" s="183"/>
      <c r="T22" s="184"/>
      <c r="U22" s="184"/>
    </row>
    <row r="23" spans="2:21" x14ac:dyDescent="0.25">
      <c r="B23" s="193"/>
      <c r="C23" s="193"/>
      <c r="D23" s="193"/>
      <c r="E23" s="193"/>
      <c r="F23" s="188"/>
      <c r="G23" s="38">
        <f t="shared" si="3"/>
        <v>2037</v>
      </c>
      <c r="H23" s="39">
        <v>17</v>
      </c>
      <c r="I23" s="185">
        <f>'Energy Prices'!P22</f>
        <v>29.43</v>
      </c>
      <c r="J23" s="185">
        <f t="shared" si="0"/>
        <v>0.79461000000000004</v>
      </c>
      <c r="K23" s="185">
        <f t="shared" si="4"/>
        <v>0</v>
      </c>
      <c r="L23" s="185">
        <v>0</v>
      </c>
      <c r="M23" s="185">
        <v>0</v>
      </c>
      <c r="N23" s="185">
        <f t="shared" si="1"/>
        <v>8.9944660168340409</v>
      </c>
      <c r="O23" s="185">
        <f t="shared" si="2"/>
        <v>228.21813550454215</v>
      </c>
      <c r="P23" s="180">
        <f>(-PMT($E$7,H23,(O23)))</f>
        <v>24.010563771540284</v>
      </c>
      <c r="Q23" s="181"/>
      <c r="R23" s="182"/>
      <c r="S23" s="183"/>
      <c r="T23" s="184"/>
      <c r="U23" s="184"/>
    </row>
    <row r="24" spans="2:21" x14ac:dyDescent="0.25">
      <c r="B24" s="193"/>
      <c r="C24" s="193"/>
      <c r="D24" s="193"/>
      <c r="E24" s="193"/>
      <c r="F24" s="188"/>
      <c r="G24" s="38">
        <f t="shared" si="3"/>
        <v>2038</v>
      </c>
      <c r="H24" s="39">
        <v>18</v>
      </c>
      <c r="I24" s="185">
        <f>'Energy Prices'!P23</f>
        <v>29.33</v>
      </c>
      <c r="J24" s="185">
        <f t="shared" si="0"/>
        <v>0.79190999999999989</v>
      </c>
      <c r="K24" s="185">
        <f t="shared" si="4"/>
        <v>0</v>
      </c>
      <c r="L24" s="185">
        <v>0</v>
      </c>
      <c r="M24" s="185">
        <v>0</v>
      </c>
      <c r="N24" s="185">
        <f t="shared" si="1"/>
        <v>8.347056318989706</v>
      </c>
      <c r="O24" s="185">
        <f t="shared" si="2"/>
        <v>236.56519182353185</v>
      </c>
      <c r="P24" s="180">
        <f t="shared" si="5"/>
        <v>24.183688627646816</v>
      </c>
      <c r="Q24" s="181"/>
      <c r="R24" s="182"/>
      <c r="S24" s="183"/>
      <c r="T24" s="184"/>
      <c r="U24" s="184"/>
    </row>
    <row r="25" spans="2:21" x14ac:dyDescent="0.25">
      <c r="B25" s="193"/>
      <c r="C25" s="193"/>
      <c r="D25" s="193"/>
      <c r="E25" s="193"/>
      <c r="F25" s="188"/>
      <c r="G25" s="38">
        <f t="shared" si="3"/>
        <v>2039</v>
      </c>
      <c r="H25" s="39">
        <v>19</v>
      </c>
      <c r="I25" s="185">
        <f>'Energy Prices'!P24</f>
        <v>29.12</v>
      </c>
      <c r="J25" s="185">
        <f t="shared" si="0"/>
        <v>0.78624000000000005</v>
      </c>
      <c r="K25" s="185">
        <f t="shared" si="4"/>
        <v>0</v>
      </c>
      <c r="L25" s="185">
        <v>0</v>
      </c>
      <c r="M25" s="185">
        <v>0</v>
      </c>
      <c r="N25" s="185">
        <f t="shared" si="1"/>
        <v>7.7170054871037888</v>
      </c>
      <c r="O25" s="185">
        <f t="shared" si="2"/>
        <v>244.28219731063564</v>
      </c>
      <c r="P25" s="180">
        <f t="shared" si="5"/>
        <v>24.330764227180442</v>
      </c>
      <c r="Q25" s="181"/>
      <c r="R25" s="182"/>
      <c r="S25" s="183"/>
      <c r="T25" s="184"/>
      <c r="U25" s="184"/>
    </row>
    <row r="26" spans="2:21" x14ac:dyDescent="0.25">
      <c r="B26" s="193"/>
      <c r="C26" s="193"/>
      <c r="D26" s="193"/>
      <c r="E26" s="193"/>
      <c r="F26" s="188"/>
      <c r="G26" s="38">
        <f t="shared" si="3"/>
        <v>2040</v>
      </c>
      <c r="H26" s="39">
        <v>20</v>
      </c>
      <c r="I26" s="185">
        <f>'Energy Prices'!P25</f>
        <v>29.38</v>
      </c>
      <c r="J26" s="185">
        <f t="shared" ref="J26" si="6">I26*$E$6</f>
        <v>0.79325999999999997</v>
      </c>
      <c r="K26" s="185">
        <f t="shared" si="4"/>
        <v>0</v>
      </c>
      <c r="L26" s="185">
        <v>0</v>
      </c>
      <c r="M26" s="185">
        <v>0</v>
      </c>
      <c r="N26" s="185">
        <f t="shared" ref="N26" si="7">(I26+J26+K26+L26+M26)/((1+$E$7)^H26)</f>
        <v>7.25012321613751</v>
      </c>
      <c r="O26" s="185">
        <f t="shared" ref="O26" si="8">N26+O25</f>
        <v>251.53232052677316</v>
      </c>
      <c r="P26" s="180">
        <f t="shared" si="5"/>
        <v>24.467321296226054</v>
      </c>
      <c r="Q26" s="181"/>
      <c r="R26" s="182"/>
      <c r="S26" s="183"/>
      <c r="T26" s="184"/>
      <c r="U26" s="184"/>
    </row>
    <row r="27" spans="2:21" x14ac:dyDescent="0.25">
      <c r="C27" s="193"/>
      <c r="D27" s="193"/>
      <c r="E27" s="196"/>
      <c r="F27" s="193"/>
      <c r="G27" s="38">
        <f t="shared" si="3"/>
        <v>2041</v>
      </c>
      <c r="H27" s="37">
        <v>21</v>
      </c>
      <c r="I27" s="185">
        <f>'Energy Prices'!P26</f>
        <v>30.39487115211346</v>
      </c>
      <c r="J27" s="185">
        <f>I27*$E$6</f>
        <v>0.82066152110706336</v>
      </c>
      <c r="K27" s="185">
        <f t="shared" si="4"/>
        <v>0</v>
      </c>
      <c r="L27" s="185">
        <v>0</v>
      </c>
      <c r="M27" s="185">
        <v>0</v>
      </c>
      <c r="N27" s="185">
        <f>(I27+J27+K27+L27+M27)/((1+$E$7)^H27)</f>
        <v>6.9844153854979503</v>
      </c>
      <c r="O27" s="185">
        <f>N27+O26</f>
        <v>258.51673591227109</v>
      </c>
      <c r="P27" s="180">
        <f>(-PMT($E$7,H27,(O27)))</f>
        <v>24.611065299797751</v>
      </c>
      <c r="Q27" s="181"/>
      <c r="R27" s="182"/>
      <c r="S27" s="183"/>
      <c r="T27" s="184"/>
      <c r="U27" s="184"/>
    </row>
    <row r="28" spans="2:21" x14ac:dyDescent="0.25">
      <c r="C28" s="193"/>
      <c r="D28" s="193"/>
      <c r="E28" s="196"/>
      <c r="F28" s="193"/>
      <c r="G28" s="38"/>
      <c r="H28" s="37"/>
      <c r="I28" s="193"/>
      <c r="J28" s="193"/>
      <c r="K28" s="193"/>
      <c r="L28" s="193"/>
      <c r="M28" s="193"/>
      <c r="N28" s="193"/>
      <c r="O28" s="193"/>
      <c r="P28" s="193"/>
      <c r="Q28" s="181"/>
      <c r="R28" s="182"/>
      <c r="S28" s="183"/>
      <c r="T28" s="184"/>
      <c r="U28" s="184"/>
    </row>
    <row r="29" spans="2:21" ht="15.6" x14ac:dyDescent="0.3">
      <c r="B29" s="28" t="s">
        <v>24</v>
      </c>
      <c r="C29" s="316" t="s">
        <v>120</v>
      </c>
      <c r="D29" s="304"/>
      <c r="E29" s="305"/>
      <c r="F29" s="304"/>
      <c r="G29" s="306"/>
      <c r="H29" s="304"/>
      <c r="I29" s="304"/>
      <c r="J29" s="193"/>
      <c r="K29" s="193"/>
      <c r="L29" s="193"/>
      <c r="M29" s="193"/>
      <c r="N29" s="193"/>
      <c r="O29" s="193"/>
      <c r="P29" s="193"/>
      <c r="Q29" s="181"/>
      <c r="R29" s="182"/>
      <c r="S29" s="183"/>
      <c r="T29" s="184"/>
      <c r="U29" s="184"/>
    </row>
    <row r="30" spans="2:21" ht="15.6" x14ac:dyDescent="0.3">
      <c r="B30" s="28"/>
      <c r="C30" s="317" t="s">
        <v>119</v>
      </c>
      <c r="D30" s="193"/>
      <c r="E30" s="196"/>
      <c r="F30" s="193"/>
      <c r="H30" s="193"/>
      <c r="I30" s="193"/>
      <c r="J30" s="193"/>
      <c r="K30" s="193"/>
      <c r="L30" s="193"/>
      <c r="M30" s="193"/>
      <c r="N30" s="193"/>
      <c r="O30" s="193"/>
      <c r="P30" s="193"/>
      <c r="Q30" s="181"/>
      <c r="R30" s="182"/>
      <c r="S30" s="183"/>
      <c r="T30" s="184"/>
      <c r="U30" s="184"/>
    </row>
    <row r="31" spans="2:21" ht="15.6" x14ac:dyDescent="0.3">
      <c r="B31" s="28"/>
      <c r="D31" s="53"/>
      <c r="F31" s="193"/>
      <c r="Q31" s="193"/>
      <c r="R31" s="193"/>
      <c r="S31" s="193"/>
      <c r="T31" s="193"/>
      <c r="U31" s="193"/>
    </row>
    <row r="32" spans="2:21" ht="15.6" x14ac:dyDescent="0.3">
      <c r="B32" s="22"/>
    </row>
    <row r="33" spans="2:2" ht="15.6" x14ac:dyDescent="0.3">
      <c r="B33" s="28"/>
    </row>
  </sheetData>
  <customSheetViews>
    <customSheetView guid="{78103E26-15C6-4D37-9879-762EF0B43905}" fitToPage="1">
      <selection activeCell="E8" sqref="E8"/>
      <pageMargins left="0.75" right="0.5" top="0.76" bottom="0.79" header="0.5" footer="0.26"/>
      <pageSetup scale="63" orientation="landscape" r:id="rId1"/>
      <headerFooter alignWithMargins="0">
        <oddFooter>&amp;L&amp;F&amp;C&amp;A&amp;RPSE Advice No. 2018-48 &amp;D
Page &amp;P of &amp;N</oddFooter>
      </headerFooter>
    </customSheetView>
  </customSheetViews>
  <phoneticPr fontId="14" type="noConversion"/>
  <pageMargins left="0.75" right="0.5" top="0.76" bottom="0.79" header="0.5" footer="0.26"/>
  <pageSetup scale="63" orientation="landscape" r:id="rId2"/>
  <headerFooter alignWithMargins="0">
    <oddFooter>&amp;L&amp;F&amp;C&amp;A&amp;RPSE Advice No. 2018-48 &amp;D
Page &amp;P of &amp;N</oddFooter>
  </headerFooter>
  <customProperties>
    <customPr name="_pios_id" r:id="rId3"/>
  </customPropertie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9" tint="0.39997558519241921"/>
    <pageSetUpPr fitToPage="1"/>
  </sheetPr>
  <dimension ref="A1:Y30"/>
  <sheetViews>
    <sheetView topLeftCell="B1" workbookViewId="0">
      <selection activeCell="E35" sqref="E35"/>
    </sheetView>
  </sheetViews>
  <sheetFormatPr defaultColWidth="9.109375" defaultRowHeight="15" x14ac:dyDescent="0.25"/>
  <cols>
    <col min="1" max="1" width="3.6640625" style="33" customWidth="1"/>
    <col min="2" max="2" width="25.6640625" style="33" customWidth="1"/>
    <col min="3" max="3" width="17.44140625" style="33" customWidth="1"/>
    <col min="4" max="4" width="3.6640625" style="33" customWidth="1"/>
    <col min="5" max="5" width="15.5546875" style="33" customWidth="1"/>
    <col min="6" max="6" width="2.6640625" style="33" customWidth="1"/>
    <col min="7" max="7" width="9.6640625" style="33" customWidth="1"/>
    <col min="8" max="8" width="16.6640625" style="33" customWidth="1"/>
    <col min="9" max="9" width="16.44140625" style="44" customWidth="1"/>
    <col min="10" max="10" width="18.5546875" style="33" customWidth="1"/>
    <col min="11" max="11" width="19" style="33" customWidth="1"/>
    <col min="12" max="14" width="22.33203125" style="33" customWidth="1"/>
    <col min="15" max="15" width="2.6640625" style="33" customWidth="1"/>
    <col min="16" max="16" width="16.44140625" style="44" customWidth="1"/>
    <col min="17" max="17" width="16.6640625" style="168" customWidth="1"/>
    <col min="18" max="18" width="18.5546875" style="33" customWidth="1"/>
    <col min="19" max="19" width="19" style="33" customWidth="1"/>
    <col min="20" max="22" width="22.33203125" style="33" customWidth="1"/>
    <col min="23" max="23" width="2.6640625" style="33" customWidth="1"/>
    <col min="24" max="25" width="22.33203125" style="33" customWidth="1"/>
    <col min="26" max="16384" width="9.109375" style="33"/>
  </cols>
  <sheetData>
    <row r="1" spans="1:25" x14ac:dyDescent="0.25">
      <c r="B1" s="14"/>
    </row>
    <row r="3" spans="1:25" ht="16.2" thickBot="1" x14ac:dyDescent="0.35">
      <c r="I3" s="164"/>
    </row>
    <row r="4" spans="1:25" ht="62.4" x14ac:dyDescent="0.3">
      <c r="G4" s="15" t="s">
        <v>15</v>
      </c>
      <c r="H4" s="16" t="s">
        <v>1</v>
      </c>
      <c r="I4" s="17" t="s">
        <v>16</v>
      </c>
      <c r="J4" s="16" t="s">
        <v>17</v>
      </c>
      <c r="K4" s="16" t="s">
        <v>18</v>
      </c>
      <c r="L4" s="3" t="s">
        <v>19</v>
      </c>
      <c r="M4" s="3" t="s">
        <v>19</v>
      </c>
      <c r="N4" s="3" t="s">
        <v>19</v>
      </c>
      <c r="P4" s="17" t="s">
        <v>72</v>
      </c>
      <c r="Q4" s="17" t="s">
        <v>49</v>
      </c>
      <c r="R4" s="16" t="s">
        <v>17</v>
      </c>
      <c r="S4" s="16" t="s">
        <v>18</v>
      </c>
      <c r="T4" s="3" t="s">
        <v>19</v>
      </c>
      <c r="U4" s="3" t="s">
        <v>19</v>
      </c>
      <c r="V4" s="3" t="s">
        <v>19</v>
      </c>
      <c r="X4" s="236" t="s">
        <v>19</v>
      </c>
      <c r="Y4" s="237" t="s">
        <v>19</v>
      </c>
    </row>
    <row r="5" spans="1:25" ht="15.6" x14ac:dyDescent="0.3">
      <c r="B5" s="50"/>
      <c r="C5" s="50"/>
      <c r="D5" s="50"/>
      <c r="G5" s="18"/>
      <c r="H5" s="18" t="s">
        <v>20</v>
      </c>
      <c r="I5" s="19" t="s">
        <v>123</v>
      </c>
      <c r="J5" s="18" t="s">
        <v>123</v>
      </c>
      <c r="K5" s="18" t="s">
        <v>123</v>
      </c>
      <c r="L5" s="4" t="s">
        <v>123</v>
      </c>
      <c r="M5" s="4" t="s">
        <v>33</v>
      </c>
      <c r="N5" s="4" t="s">
        <v>34</v>
      </c>
      <c r="P5" s="19" t="s">
        <v>123</v>
      </c>
      <c r="Q5" s="19" t="s">
        <v>123</v>
      </c>
      <c r="R5" s="18" t="s">
        <v>123</v>
      </c>
      <c r="S5" s="18" t="s">
        <v>123</v>
      </c>
      <c r="T5" s="4" t="s">
        <v>123</v>
      </c>
      <c r="U5" s="4" t="s">
        <v>33</v>
      </c>
      <c r="V5" s="4" t="s">
        <v>34</v>
      </c>
      <c r="X5" s="238" t="s">
        <v>33</v>
      </c>
      <c r="Y5" s="239" t="s">
        <v>34</v>
      </c>
    </row>
    <row r="6" spans="1:25" ht="15.6" x14ac:dyDescent="0.3">
      <c r="A6" s="169"/>
      <c r="B6" s="169"/>
      <c r="C6" s="163" t="s">
        <v>121</v>
      </c>
      <c r="D6" s="163" t="str">
        <f>+P6</f>
        <v>[4]</v>
      </c>
      <c r="E6" s="321">
        <f>12.61*(1+E9)</f>
        <v>12.925249999999998</v>
      </c>
      <c r="F6" s="45"/>
      <c r="G6" s="167" t="s">
        <v>21</v>
      </c>
      <c r="H6" s="167" t="s">
        <v>22</v>
      </c>
      <c r="I6" s="167" t="s">
        <v>23</v>
      </c>
      <c r="J6" s="167" t="s">
        <v>30</v>
      </c>
      <c r="K6" s="167" t="s">
        <v>26</v>
      </c>
      <c r="L6" s="167" t="s">
        <v>27</v>
      </c>
      <c r="M6" s="167" t="s">
        <v>35</v>
      </c>
      <c r="N6" s="167" t="s">
        <v>71</v>
      </c>
      <c r="P6" s="167" t="s">
        <v>24</v>
      </c>
      <c r="Q6" s="167" t="s">
        <v>25</v>
      </c>
      <c r="R6" s="167" t="s">
        <v>30</v>
      </c>
      <c r="S6" s="167" t="s">
        <v>26</v>
      </c>
      <c r="T6" s="167" t="s">
        <v>27</v>
      </c>
      <c r="U6" s="167" t="s">
        <v>35</v>
      </c>
      <c r="V6" s="167" t="s">
        <v>71</v>
      </c>
      <c r="X6" s="240" t="s">
        <v>35</v>
      </c>
      <c r="Y6" s="241" t="s">
        <v>71</v>
      </c>
    </row>
    <row r="7" spans="1:25" ht="15.6" x14ac:dyDescent="0.3">
      <c r="A7" s="169"/>
      <c r="B7" s="50"/>
      <c r="C7" s="20" t="s">
        <v>122</v>
      </c>
      <c r="D7" s="20"/>
      <c r="E7" s="46">
        <v>0</v>
      </c>
      <c r="F7" s="47"/>
      <c r="G7" s="170">
        <f>'Capacity Delivered'!C7</f>
        <v>2021</v>
      </c>
      <c r="H7" s="165">
        <v>1</v>
      </c>
      <c r="I7" s="171">
        <f>'Capacity Delivered'!G7</f>
        <v>95.27</v>
      </c>
      <c r="J7" s="32">
        <f>SUM(I7)/((1+$E$8)^H7)</f>
        <v>88.71403296396312</v>
      </c>
      <c r="K7" s="166">
        <f>J7</f>
        <v>88.71403296396312</v>
      </c>
      <c r="L7" s="41">
        <f>(-PMT($E$8,H7,(K7)))</f>
        <v>95.27</v>
      </c>
      <c r="M7" s="166">
        <f>+L7/'Capacity Delivered'!N8*1000</f>
        <v>10.875570776255707</v>
      </c>
      <c r="N7" s="234">
        <f t="shared" ref="N7:N27" si="0">M7/1000</f>
        <v>1.0875570776255707E-2</v>
      </c>
      <c r="P7" s="176">
        <f>E6</f>
        <v>12.925249999999998</v>
      </c>
      <c r="Q7" s="176">
        <f t="shared" ref="Q7:Q27" si="1">(I7+P7)*$E$7</f>
        <v>0</v>
      </c>
      <c r="R7" s="176">
        <f t="shared" ref="R7:R27" si="2">SUM(P7:Q7)/((1+$E$8)^H7)</f>
        <v>12.035804078592045</v>
      </c>
      <c r="S7" s="176">
        <f>R7</f>
        <v>12.035804078592045</v>
      </c>
      <c r="T7" s="300">
        <f>(-PMT($E$8,H7,(S7)))</f>
        <v>12.925249999999997</v>
      </c>
      <c r="U7" s="166">
        <f>+T7/'Capacity Delivered'!L7*1000</f>
        <v>1.4754851598173513</v>
      </c>
      <c r="V7" s="234">
        <f t="shared" ref="V7:V20" si="3">U7/1000</f>
        <v>1.4754851598173513E-3</v>
      </c>
      <c r="X7" s="242">
        <f>M7+U7</f>
        <v>12.351055936073058</v>
      </c>
      <c r="Y7" s="243">
        <f t="shared" ref="Y7:Y20" si="4">X7/1000</f>
        <v>1.2351055936073057E-2</v>
      </c>
    </row>
    <row r="8" spans="1:25" ht="15.6" x14ac:dyDescent="0.3">
      <c r="A8" s="169"/>
      <c r="B8" s="50"/>
      <c r="C8" s="20" t="s">
        <v>45</v>
      </c>
      <c r="D8" s="20"/>
      <c r="E8" s="46">
        <f>Rate_of_Return</f>
        <v>7.3899999999999993E-2</v>
      </c>
      <c r="F8" s="47"/>
      <c r="G8" s="38">
        <f>G7+1</f>
        <v>2022</v>
      </c>
      <c r="H8" s="39">
        <v>2</v>
      </c>
      <c r="I8" s="171">
        <f>'Capacity Delivered'!G8</f>
        <v>95.27</v>
      </c>
      <c r="J8" s="40">
        <f t="shared" ref="J8:J27" si="5">SUM(I8)/((1+$E$8)^H8)</f>
        <v>82.609212183595403</v>
      </c>
      <c r="K8" s="41">
        <f t="shared" ref="K8:K26" si="6">K7+J8</f>
        <v>171.32324514755851</v>
      </c>
      <c r="L8" s="41">
        <f t="shared" ref="L8:L27" si="7">(-PMT($E$8,H8,(K8)))</f>
        <v>95.269999999999953</v>
      </c>
      <c r="M8" s="41">
        <f>+L8/'Capacity Delivered'!N9*1000</f>
        <v>10.875570776255703</v>
      </c>
      <c r="N8" s="235">
        <f t="shared" si="0"/>
        <v>1.0875570776255703E-2</v>
      </c>
      <c r="P8" s="171">
        <f>P7+(P7*$E$9)</f>
        <v>13.248381249999998</v>
      </c>
      <c r="Q8" s="171">
        <f t="shared" si="1"/>
        <v>0</v>
      </c>
      <c r="R8" s="171">
        <f t="shared" si="2"/>
        <v>11.487754148949479</v>
      </c>
      <c r="S8" s="171">
        <f t="shared" ref="S8:S12" si="8">S7+R8</f>
        <v>23.523558227541525</v>
      </c>
      <c r="T8" s="300">
        <f t="shared" ref="T8:T27" si="9">(-PMT($E$8,H8,(S8)))</f>
        <v>13.081058500892034</v>
      </c>
      <c r="U8" s="41">
        <f>+T8/'Capacity Delivered'!L8*1000</f>
        <v>1.4932715183666705</v>
      </c>
      <c r="V8" s="235">
        <f t="shared" si="3"/>
        <v>1.4932715183666706E-3</v>
      </c>
      <c r="X8" s="242">
        <f t="shared" ref="X8:X27" si="10">M8+U8</f>
        <v>12.368842294622374</v>
      </c>
      <c r="Y8" s="243">
        <f t="shared" si="4"/>
        <v>1.2368842294622373E-2</v>
      </c>
    </row>
    <row r="9" spans="1:25" ht="15.6" x14ac:dyDescent="0.3">
      <c r="A9" s="169"/>
      <c r="B9" s="50"/>
      <c r="C9" s="20" t="s">
        <v>46</v>
      </c>
      <c r="D9" s="20"/>
      <c r="E9" s="46">
        <f>+FlatLoadShapeEnergy_perMWh!E8</f>
        <v>2.5000000000000001E-2</v>
      </c>
      <c r="F9" s="49"/>
      <c r="G9" s="38">
        <f t="shared" ref="G9:G27" si="11">G8+1</f>
        <v>2023</v>
      </c>
      <c r="H9" s="39">
        <v>3</v>
      </c>
      <c r="I9" s="171">
        <f>'Capacity Delivered'!G9</f>
        <v>95.27</v>
      </c>
      <c r="J9" s="40">
        <f t="shared" si="5"/>
        <v>76.924492209326203</v>
      </c>
      <c r="K9" s="41">
        <f t="shared" si="6"/>
        <v>248.24773735688473</v>
      </c>
      <c r="L9" s="41">
        <f t="shared" si="7"/>
        <v>95.269999999999968</v>
      </c>
      <c r="M9" s="41">
        <f>+L9/'Capacity Delivered'!N10*1000</f>
        <v>10.845856102003639</v>
      </c>
      <c r="N9" s="235">
        <f t="shared" si="0"/>
        <v>1.0845856102003639E-2</v>
      </c>
      <c r="P9" s="171">
        <f t="shared" ref="P9:P27" si="12">P8+(P8*$E$9)</f>
        <v>13.579590781249998</v>
      </c>
      <c r="Q9" s="171">
        <f t="shared" si="1"/>
        <v>0</v>
      </c>
      <c r="R9" s="171">
        <f t="shared" si="2"/>
        <v>10.964659654225921</v>
      </c>
      <c r="S9" s="171">
        <f t="shared" si="8"/>
        <v>34.488217881767447</v>
      </c>
      <c r="T9" s="300">
        <f t="shared" si="9"/>
        <v>13.235538629995334</v>
      </c>
      <c r="U9" s="41">
        <f>+T9/'Capacity Delivered'!L9*1000</f>
        <v>1.5109062363008372</v>
      </c>
      <c r="V9" s="235">
        <f t="shared" si="3"/>
        <v>1.5109062363008372E-3</v>
      </c>
      <c r="X9" s="242">
        <f t="shared" si="10"/>
        <v>12.356762338304476</v>
      </c>
      <c r="Y9" s="243">
        <f t="shared" si="4"/>
        <v>1.2356762338304475E-2</v>
      </c>
    </row>
    <row r="10" spans="1:25" ht="15.6" x14ac:dyDescent="0.3">
      <c r="B10" s="50"/>
      <c r="C10" s="20"/>
      <c r="D10" s="20"/>
      <c r="E10" s="51"/>
      <c r="F10" s="47"/>
      <c r="G10" s="38">
        <f t="shared" si="11"/>
        <v>2024</v>
      </c>
      <c r="H10" s="39">
        <v>4</v>
      </c>
      <c r="I10" s="171">
        <f>'Capacity Delivered'!G10</f>
        <v>95.27</v>
      </c>
      <c r="J10" s="40">
        <f t="shared" si="5"/>
        <v>71.630963971809479</v>
      </c>
      <c r="K10" s="41">
        <f t="shared" si="6"/>
        <v>319.87870132869421</v>
      </c>
      <c r="L10" s="41">
        <f t="shared" si="7"/>
        <v>95.269999999999968</v>
      </c>
      <c r="M10" s="41">
        <f>+L10/'Capacity Delivered'!N11*1000</f>
        <v>10.875570776255705</v>
      </c>
      <c r="N10" s="235">
        <f t="shared" si="0"/>
        <v>1.0875570776255705E-2</v>
      </c>
      <c r="P10" s="171">
        <f t="shared" si="12"/>
        <v>13.919080550781247</v>
      </c>
      <c r="Q10" s="171">
        <f t="shared" si="1"/>
        <v>0</v>
      </c>
      <c r="R10" s="171">
        <f t="shared" si="2"/>
        <v>10.465384249540522</v>
      </c>
      <c r="S10" s="171">
        <f t="shared" si="8"/>
        <v>44.953602131307967</v>
      </c>
      <c r="T10" s="300">
        <f t="shared" si="9"/>
        <v>13.388605297134028</v>
      </c>
      <c r="U10" s="41">
        <f>+T10/'Capacity Delivered'!L10*1000</f>
        <v>1.5242036995826533</v>
      </c>
      <c r="V10" s="235">
        <f t="shared" si="3"/>
        <v>1.5242036995826533E-3</v>
      </c>
      <c r="X10" s="242">
        <f t="shared" si="10"/>
        <v>12.399774475838358</v>
      </c>
      <c r="Y10" s="243">
        <f t="shared" si="4"/>
        <v>1.2399774475838357E-2</v>
      </c>
    </row>
    <row r="11" spans="1:25" s="44" customFormat="1" ht="15.6" x14ac:dyDescent="0.3">
      <c r="B11" s="50"/>
      <c r="C11" s="20"/>
      <c r="D11" s="20"/>
      <c r="E11" s="51"/>
      <c r="F11" s="254"/>
      <c r="G11" s="37">
        <f t="shared" si="11"/>
        <v>2025</v>
      </c>
      <c r="H11" s="37">
        <v>5</v>
      </c>
      <c r="I11" s="171">
        <f>'Capacity Delivered'!G11</f>
        <v>95.27</v>
      </c>
      <c r="J11" s="255">
        <f t="shared" si="5"/>
        <v>66.701707767771182</v>
      </c>
      <c r="K11" s="256">
        <f t="shared" si="6"/>
        <v>386.58040909646536</v>
      </c>
      <c r="L11" s="256">
        <f t="shared" si="7"/>
        <v>95.269999999999968</v>
      </c>
      <c r="M11" s="256">
        <f>+L11/'Capacity Delivered'!N12*1000</f>
        <v>10.875570776255705</v>
      </c>
      <c r="N11" s="257">
        <f t="shared" si="0"/>
        <v>1.0875570776255705E-2</v>
      </c>
      <c r="O11" s="265"/>
      <c r="P11" s="171">
        <f t="shared" si="12"/>
        <v>14.267057564550779</v>
      </c>
      <c r="Q11" s="171">
        <f t="shared" si="1"/>
        <v>0</v>
      </c>
      <c r="R11" s="171">
        <f t="shared" si="2"/>
        <v>9.988843333437968</v>
      </c>
      <c r="S11" s="171">
        <f t="shared" si="8"/>
        <v>54.942445464745937</v>
      </c>
      <c r="T11" s="300">
        <f t="shared" si="9"/>
        <v>13.540176005453462</v>
      </c>
      <c r="U11" s="256">
        <f>+T11/'Capacity Delivered'!L11*1000</f>
        <v>1.5456821924033632</v>
      </c>
      <c r="V11" s="257">
        <f t="shared" si="3"/>
        <v>1.5456821924033633E-3</v>
      </c>
      <c r="W11" s="265"/>
      <c r="X11" s="258">
        <f>M11+U11</f>
        <v>12.421252968659068</v>
      </c>
      <c r="Y11" s="259">
        <f t="shared" si="4"/>
        <v>1.2421252968659069E-2</v>
      </c>
    </row>
    <row r="12" spans="1:25" s="44" customFormat="1" ht="15.6" x14ac:dyDescent="0.3">
      <c r="B12" s="50"/>
      <c r="C12" s="20"/>
      <c r="D12" s="20"/>
      <c r="E12" s="51"/>
      <c r="F12" s="254"/>
      <c r="G12" s="38">
        <f t="shared" si="11"/>
        <v>2026</v>
      </c>
      <c r="H12" s="37">
        <v>6</v>
      </c>
      <c r="I12" s="171">
        <f>'Capacity Delivered'!G12</f>
        <v>95.27</v>
      </c>
      <c r="J12" s="255">
        <f t="shared" si="5"/>
        <v>62.11165636257676</v>
      </c>
      <c r="K12" s="256">
        <f t="shared" si="6"/>
        <v>448.69206545904211</v>
      </c>
      <c r="L12" s="256">
        <f t="shared" si="7"/>
        <v>95.269999999999953</v>
      </c>
      <c r="M12" s="256">
        <f>+L12/'Capacity Delivered'!N13*1000</f>
        <v>10.875570776255703</v>
      </c>
      <c r="N12" s="257">
        <f t="shared" si="0"/>
        <v>1.0875570776255703E-2</v>
      </c>
      <c r="P12" s="171">
        <f t="shared" si="12"/>
        <v>14.623734003664548</v>
      </c>
      <c r="Q12" s="171">
        <f t="shared" si="1"/>
        <v>0</v>
      </c>
      <c r="R12" s="171">
        <f t="shared" si="2"/>
        <v>9.5340016917533461</v>
      </c>
      <c r="S12" s="171">
        <f t="shared" si="8"/>
        <v>64.47644715649929</v>
      </c>
      <c r="T12" s="300">
        <f t="shared" si="9"/>
        <v>13.690171040388959</v>
      </c>
      <c r="U12" s="256">
        <f>+T12/'Capacity Delivered'!L12*1000</f>
        <v>1.5628049132864108</v>
      </c>
      <c r="V12" s="257">
        <f t="shared" si="3"/>
        <v>1.5628049132864108E-3</v>
      </c>
      <c r="X12" s="258">
        <f t="shared" si="10"/>
        <v>12.438375689542113</v>
      </c>
      <c r="Y12" s="259">
        <f t="shared" si="4"/>
        <v>1.2438375689542112E-2</v>
      </c>
    </row>
    <row r="13" spans="1:25" s="44" customFormat="1" ht="15.6" x14ac:dyDescent="0.3">
      <c r="B13" s="50"/>
      <c r="C13" s="20"/>
      <c r="D13" s="20"/>
      <c r="E13" s="51"/>
      <c r="F13" s="254"/>
      <c r="G13" s="38">
        <f t="shared" si="11"/>
        <v>2027</v>
      </c>
      <c r="H13" s="37">
        <v>7</v>
      </c>
      <c r="I13" s="171">
        <f>'Capacity Delivered'!G13</f>
        <v>95.27</v>
      </c>
      <c r="J13" s="255">
        <f t="shared" si="5"/>
        <v>57.837467513340862</v>
      </c>
      <c r="K13" s="256">
        <f>K12+J13</f>
        <v>506.52953297238298</v>
      </c>
      <c r="L13" s="256">
        <f t="shared" si="7"/>
        <v>95.269999999999968</v>
      </c>
      <c r="M13" s="256">
        <f>+L13/'Capacity Delivered'!N14*1000</f>
        <v>10.845856102003639</v>
      </c>
      <c r="N13" s="257">
        <f t="shared" si="0"/>
        <v>1.0845856102003639E-2</v>
      </c>
      <c r="P13" s="171">
        <f>P12+(P12*$E$9)</f>
        <v>14.989327353756162</v>
      </c>
      <c r="Q13" s="171">
        <f t="shared" si="1"/>
        <v>0</v>
      </c>
      <c r="R13" s="171">
        <f t="shared" si="2"/>
        <v>9.0998712487635522</v>
      </c>
      <c r="S13" s="171">
        <f>S12+R13</f>
        <v>73.576318405262839</v>
      </c>
      <c r="T13" s="300">
        <f t="shared" si="9"/>
        <v>13.838513646649636</v>
      </c>
      <c r="U13" s="256">
        <f>+T13/'Capacity Delivered'!L13*1000</f>
        <v>1.5797390007590908</v>
      </c>
      <c r="V13" s="257">
        <f t="shared" si="3"/>
        <v>1.5797390007590909E-3</v>
      </c>
      <c r="X13" s="258">
        <f t="shared" si="10"/>
        <v>12.425595102762729</v>
      </c>
      <c r="Y13" s="259">
        <f t="shared" si="4"/>
        <v>1.242559510276273E-2</v>
      </c>
    </row>
    <row r="14" spans="1:25" s="44" customFormat="1" ht="15.6" x14ac:dyDescent="0.3">
      <c r="B14" s="50"/>
      <c r="C14" s="20"/>
      <c r="D14" s="20"/>
      <c r="E14" s="51"/>
      <c r="F14" s="254"/>
      <c r="G14" s="38">
        <f t="shared" si="11"/>
        <v>2028</v>
      </c>
      <c r="H14" s="37">
        <v>8</v>
      </c>
      <c r="I14" s="171">
        <f>'Capacity Delivered'!G14</f>
        <v>95.27</v>
      </c>
      <c r="J14" s="255">
        <f t="shared" si="5"/>
        <v>53.857405264308461</v>
      </c>
      <c r="K14" s="256">
        <f t="shared" si="6"/>
        <v>560.38693823669144</v>
      </c>
      <c r="L14" s="256">
        <f t="shared" si="7"/>
        <v>95.269999999999953</v>
      </c>
      <c r="M14" s="256">
        <f>+L14/'Capacity Delivered'!N15*1000</f>
        <v>10.875570776255703</v>
      </c>
      <c r="N14" s="257">
        <f t="shared" si="0"/>
        <v>1.0875570776255703E-2</v>
      </c>
      <c r="P14" s="171">
        <f t="shared" si="12"/>
        <v>15.364060537600066</v>
      </c>
      <c r="Q14" s="171">
        <f t="shared" si="1"/>
        <v>0</v>
      </c>
      <c r="R14" s="171">
        <f t="shared" si="2"/>
        <v>8.6855089207399576</v>
      </c>
      <c r="S14" s="171">
        <f t="shared" ref="S14:S20" si="13">S13+R14</f>
        <v>82.261827326002802</v>
      </c>
      <c r="T14" s="300">
        <f t="shared" si="9"/>
        <v>13.985130192378115</v>
      </c>
      <c r="U14" s="256">
        <f>+T14/'Capacity Delivered'!L14*1000</f>
        <v>1.5921140929392208</v>
      </c>
      <c r="V14" s="257">
        <f t="shared" si="3"/>
        <v>1.5921140929392207E-3</v>
      </c>
      <c r="X14" s="258">
        <f t="shared" si="10"/>
        <v>12.467684869194924</v>
      </c>
      <c r="Y14" s="259">
        <f t="shared" si="4"/>
        <v>1.2467684869194924E-2</v>
      </c>
    </row>
    <row r="15" spans="1:25" s="44" customFormat="1" ht="15.6" x14ac:dyDescent="0.3">
      <c r="B15" s="50"/>
      <c r="C15" s="20"/>
      <c r="D15" s="20"/>
      <c r="E15" s="51"/>
      <c r="F15" s="254"/>
      <c r="G15" s="38">
        <f t="shared" si="11"/>
        <v>2029</v>
      </c>
      <c r="H15" s="37">
        <v>9</v>
      </c>
      <c r="I15" s="171">
        <f>'Capacity Delivered'!G15</f>
        <v>95.27</v>
      </c>
      <c r="J15" s="255">
        <f t="shared" si="5"/>
        <v>50.151229410846874</v>
      </c>
      <c r="K15" s="256">
        <f t="shared" si="6"/>
        <v>610.53816764753833</v>
      </c>
      <c r="L15" s="256">
        <f t="shared" si="7"/>
        <v>95.269999999999968</v>
      </c>
      <c r="M15" s="256">
        <f>+L15/'Capacity Delivered'!N16*1000</f>
        <v>10.875570776255705</v>
      </c>
      <c r="N15" s="257">
        <f t="shared" si="0"/>
        <v>1.0875570776255705E-2</v>
      </c>
      <c r="P15" s="171">
        <f t="shared" si="12"/>
        <v>15.748162051040067</v>
      </c>
      <c r="Q15" s="171">
        <f t="shared" si="1"/>
        <v>0</v>
      </c>
      <c r="R15" s="171">
        <f t="shared" si="2"/>
        <v>8.2900145672394601</v>
      </c>
      <c r="S15" s="171">
        <f t="shared" si="13"/>
        <v>90.551841893242255</v>
      </c>
      <c r="T15" s="300">
        <f t="shared" si="9"/>
        <v>14.129950319747172</v>
      </c>
      <c r="U15" s="256">
        <f>+T15/'Capacity Delivered'!L15*1000</f>
        <v>1.6130080273683984</v>
      </c>
      <c r="V15" s="257">
        <f t="shared" si="3"/>
        <v>1.6130080273683985E-3</v>
      </c>
      <c r="X15" s="258">
        <f t="shared" si="10"/>
        <v>12.488578803624103</v>
      </c>
      <c r="Y15" s="259">
        <f t="shared" si="4"/>
        <v>1.2488578803624103E-2</v>
      </c>
    </row>
    <row r="16" spans="1:25" s="44" customFormat="1" ht="15.6" x14ac:dyDescent="0.3">
      <c r="B16" s="50"/>
      <c r="C16" s="20"/>
      <c r="D16" s="20"/>
      <c r="E16" s="51"/>
      <c r="F16" s="254"/>
      <c r="G16" s="37">
        <f t="shared" si="11"/>
        <v>2030</v>
      </c>
      <c r="H16" s="37">
        <v>10</v>
      </c>
      <c r="I16" s="171">
        <f>'Capacity Delivered'!G16</f>
        <v>95.27</v>
      </c>
      <c r="J16" s="255">
        <f t="shared" si="5"/>
        <v>46.700092569929119</v>
      </c>
      <c r="K16" s="256">
        <f t="shared" si="6"/>
        <v>657.23826021746743</v>
      </c>
      <c r="L16" s="256">
        <f t="shared" si="7"/>
        <v>95.269999999999953</v>
      </c>
      <c r="M16" s="256">
        <f>+L16/'Capacity Delivered'!N17*1000</f>
        <v>10.875570776255703</v>
      </c>
      <c r="N16" s="257">
        <f t="shared" si="0"/>
        <v>1.0875570776255703E-2</v>
      </c>
      <c r="O16" s="265"/>
      <c r="P16" s="171">
        <f t="shared" si="12"/>
        <v>16.141866102316069</v>
      </c>
      <c r="Q16" s="171">
        <f t="shared" si="1"/>
        <v>0</v>
      </c>
      <c r="R16" s="171">
        <f t="shared" si="2"/>
        <v>7.9125290356834403</v>
      </c>
      <c r="S16" s="171">
        <f t="shared" si="13"/>
        <v>98.464370928925689</v>
      </c>
      <c r="T16" s="300">
        <f t="shared" si="9"/>
        <v>14.272907081360197</v>
      </c>
      <c r="U16" s="256">
        <f>+T16/'Capacity Delivered'!L16*1000</f>
        <v>1.6293272923927165</v>
      </c>
      <c r="V16" s="257">
        <f t="shared" si="3"/>
        <v>1.6293272923927165E-3</v>
      </c>
      <c r="W16" s="265"/>
      <c r="X16" s="258">
        <f t="shared" si="10"/>
        <v>12.504898068648419</v>
      </c>
      <c r="Y16" s="259">
        <f t="shared" si="4"/>
        <v>1.2504898068648419E-2</v>
      </c>
    </row>
    <row r="17" spans="1:25" s="44" customFormat="1" ht="15.6" x14ac:dyDescent="0.3">
      <c r="B17" s="50"/>
      <c r="C17" s="20"/>
      <c r="D17" s="20"/>
      <c r="E17" s="51"/>
      <c r="F17" s="254"/>
      <c r="G17" s="38">
        <f t="shared" si="11"/>
        <v>2031</v>
      </c>
      <c r="H17" s="37">
        <v>11</v>
      </c>
      <c r="I17" s="171">
        <f>'Capacity Delivered'!G17</f>
        <v>95.27</v>
      </c>
      <c r="J17" s="255">
        <f t="shared" si="5"/>
        <v>43.486444333670839</v>
      </c>
      <c r="K17" s="256">
        <f t="shared" si="6"/>
        <v>700.7247045511383</v>
      </c>
      <c r="L17" s="256">
        <f t="shared" si="7"/>
        <v>95.269999999999968</v>
      </c>
      <c r="M17" s="256">
        <f>+L17/'Capacity Delivered'!N18*1000</f>
        <v>10.845856102003639</v>
      </c>
      <c r="N17" s="257">
        <f t="shared" si="0"/>
        <v>1.0845856102003639E-2</v>
      </c>
      <c r="P17" s="171">
        <f t="shared" si="12"/>
        <v>16.545412754873972</v>
      </c>
      <c r="Q17" s="171">
        <f t="shared" si="1"/>
        <v>0</v>
      </c>
      <c r="R17" s="171">
        <f t="shared" si="2"/>
        <v>7.5522322949767444</v>
      </c>
      <c r="S17" s="171">
        <f t="shared" si="13"/>
        <v>106.01660322390244</v>
      </c>
      <c r="T17" s="300">
        <f t="shared" si="9"/>
        <v>14.413937061932254</v>
      </c>
      <c r="U17" s="256">
        <f>+T17/'Capacity Delivered'!L17*1000</f>
        <v>1.6454266052434079</v>
      </c>
      <c r="V17" s="257">
        <f t="shared" si="3"/>
        <v>1.6454266052434079E-3</v>
      </c>
      <c r="X17" s="258">
        <f t="shared" si="10"/>
        <v>12.491282707247047</v>
      </c>
      <c r="Y17" s="259">
        <f t="shared" si="4"/>
        <v>1.2491282707247047E-2</v>
      </c>
    </row>
    <row r="18" spans="1:25" s="44" customFormat="1" x14ac:dyDescent="0.25">
      <c r="B18" s="264"/>
      <c r="C18" s="264"/>
      <c r="D18" s="264"/>
      <c r="E18" s="264"/>
      <c r="F18" s="254"/>
      <c r="G18" s="38">
        <f t="shared" si="11"/>
        <v>2032</v>
      </c>
      <c r="H18" s="37">
        <v>12</v>
      </c>
      <c r="I18" s="171">
        <f>'Capacity Delivered'!G18</f>
        <v>95.27</v>
      </c>
      <c r="J18" s="255">
        <f t="shared" si="5"/>
        <v>40.493942018503432</v>
      </c>
      <c r="K18" s="256">
        <f t="shared" si="6"/>
        <v>741.21864656964169</v>
      </c>
      <c r="L18" s="256">
        <f t="shared" si="7"/>
        <v>95.269999999999953</v>
      </c>
      <c r="M18" s="256">
        <f>+L18/'Capacity Delivered'!N19*1000</f>
        <v>10.875570776255703</v>
      </c>
      <c r="N18" s="257">
        <f t="shared" si="0"/>
        <v>1.0875570776255703E-2</v>
      </c>
      <c r="P18" s="171">
        <f t="shared" si="12"/>
        <v>16.959048073745823</v>
      </c>
      <c r="Q18" s="171">
        <f t="shared" si="1"/>
        <v>0</v>
      </c>
      <c r="R18" s="171">
        <f t="shared" si="2"/>
        <v>7.2083416541122673</v>
      </c>
      <c r="S18" s="171">
        <f t="shared" si="13"/>
        <v>113.2249448780147</v>
      </c>
      <c r="T18" s="300">
        <f t="shared" si="9"/>
        <v>14.552980484841271</v>
      </c>
      <c r="U18" s="256">
        <f>+T18/'Capacity Delivered'!L18*1000</f>
        <v>1.6567600734108914</v>
      </c>
      <c r="V18" s="257">
        <f t="shared" si="3"/>
        <v>1.6567600734108915E-3</v>
      </c>
      <c r="X18" s="258">
        <f t="shared" si="10"/>
        <v>12.532330849666595</v>
      </c>
      <c r="Y18" s="259">
        <f t="shared" si="4"/>
        <v>1.2532330849666595E-2</v>
      </c>
    </row>
    <row r="19" spans="1:25" s="44" customFormat="1" x14ac:dyDescent="0.25">
      <c r="B19" s="264"/>
      <c r="C19" s="264"/>
      <c r="D19" s="264"/>
      <c r="E19" s="264"/>
      <c r="F19" s="188"/>
      <c r="G19" s="38">
        <f t="shared" si="11"/>
        <v>2033</v>
      </c>
      <c r="H19" s="37">
        <v>13</v>
      </c>
      <c r="I19" s="171">
        <f>'Capacity Delivered'!G19</f>
        <v>95.27</v>
      </c>
      <c r="J19" s="255">
        <f t="shared" si="5"/>
        <v>37.707367556107108</v>
      </c>
      <c r="K19" s="256">
        <f t="shared" si="6"/>
        <v>778.92601412574879</v>
      </c>
      <c r="L19" s="256">
        <f t="shared" si="7"/>
        <v>95.269999999999953</v>
      </c>
      <c r="M19" s="256">
        <f>+L19/'Capacity Delivered'!N20*1000</f>
        <v>10.875570776255703</v>
      </c>
      <c r="N19" s="257">
        <f t="shared" si="0"/>
        <v>1.0875570776255703E-2</v>
      </c>
      <c r="P19" s="171">
        <f t="shared" si="12"/>
        <v>17.38302427558947</v>
      </c>
      <c r="Q19" s="171">
        <f t="shared" si="1"/>
        <v>0</v>
      </c>
      <c r="R19" s="171">
        <f t="shared" si="2"/>
        <v>6.8801100618913047</v>
      </c>
      <c r="S19" s="171">
        <f t="shared" si="13"/>
        <v>120.105054939906</v>
      </c>
      <c r="T19" s="300">
        <f t="shared" si="9"/>
        <v>14.689981303253267</v>
      </c>
      <c r="U19" s="256">
        <f>+T19/'Capacity Delivered'!L19*1000</f>
        <v>1.6769385049375876</v>
      </c>
      <c r="V19" s="257">
        <f t="shared" si="3"/>
        <v>1.6769385049375876E-3</v>
      </c>
      <c r="X19" s="258">
        <f t="shared" si="10"/>
        <v>12.552509281193291</v>
      </c>
      <c r="Y19" s="259">
        <f t="shared" si="4"/>
        <v>1.2552509281193291E-2</v>
      </c>
    </row>
    <row r="20" spans="1:25" s="44" customFormat="1" x14ac:dyDescent="0.25">
      <c r="B20" s="264"/>
      <c r="C20" s="264"/>
      <c r="D20" s="264"/>
      <c r="E20" s="264"/>
      <c r="F20" s="188"/>
      <c r="G20" s="38">
        <f t="shared" si="11"/>
        <v>2034</v>
      </c>
      <c r="H20" s="37">
        <v>14</v>
      </c>
      <c r="I20" s="171">
        <f>'Capacity Delivered'!G20</f>
        <v>95.27</v>
      </c>
      <c r="J20" s="255">
        <f t="shared" si="5"/>
        <v>35.112550103461317</v>
      </c>
      <c r="K20" s="256">
        <f t="shared" si="6"/>
        <v>814.03856422921012</v>
      </c>
      <c r="L20" s="256">
        <f t="shared" si="7"/>
        <v>95.269999999999953</v>
      </c>
      <c r="M20" s="256">
        <f>+L20/'Capacity Delivered'!N21*1000</f>
        <v>10.875570776255703</v>
      </c>
      <c r="N20" s="257">
        <f t="shared" si="0"/>
        <v>1.0875570776255703E-2</v>
      </c>
      <c r="P20" s="171">
        <f t="shared" si="12"/>
        <v>17.817599882479207</v>
      </c>
      <c r="Q20" s="171">
        <f t="shared" si="1"/>
        <v>0</v>
      </c>
      <c r="R20" s="171">
        <f t="shared" si="2"/>
        <v>6.5668244840661041</v>
      </c>
      <c r="S20" s="171">
        <f t="shared" si="13"/>
        <v>126.6718794239721</v>
      </c>
      <c r="T20" s="300">
        <f t="shared" si="9"/>
        <v>14.824887275639933</v>
      </c>
      <c r="U20" s="256">
        <f>+T20/'Capacity Delivered'!L20*1000</f>
        <v>1.6923387300958828</v>
      </c>
      <c r="V20" s="257">
        <f t="shared" si="3"/>
        <v>1.6923387300958827E-3</v>
      </c>
      <c r="X20" s="258">
        <f t="shared" si="10"/>
        <v>12.567909506351587</v>
      </c>
      <c r="Y20" s="259">
        <f t="shared" si="4"/>
        <v>1.2567909506351586E-2</v>
      </c>
    </row>
    <row r="21" spans="1:25" s="265" customFormat="1" x14ac:dyDescent="0.25">
      <c r="B21" s="264"/>
      <c r="C21" s="264"/>
      <c r="D21" s="264"/>
      <c r="E21" s="264"/>
      <c r="F21" s="188"/>
      <c r="G21" s="37">
        <f t="shared" si="11"/>
        <v>2035</v>
      </c>
      <c r="H21" s="37">
        <v>15</v>
      </c>
      <c r="I21" s="171">
        <f>'Capacity Delivered'!G21</f>
        <v>95.27</v>
      </c>
      <c r="J21" s="255">
        <f t="shared" si="5"/>
        <v>32.696293978453596</v>
      </c>
      <c r="K21" s="256">
        <f>K20+J21</f>
        <v>846.73485820766371</v>
      </c>
      <c r="L21" s="256">
        <f t="shared" si="7"/>
        <v>95.269999999999953</v>
      </c>
      <c r="M21" s="256">
        <f>+L21/'Capacity Delivered'!N22*1000</f>
        <v>10.845856102003637</v>
      </c>
      <c r="N21" s="257">
        <f>M21/1000</f>
        <v>1.0845856102003637E-2</v>
      </c>
      <c r="P21" s="171">
        <f t="shared" si="12"/>
        <v>18.263039879541189</v>
      </c>
      <c r="Q21" s="171">
        <f t="shared" si="1"/>
        <v>0</v>
      </c>
      <c r="R21" s="171">
        <f t="shared" si="2"/>
        <v>6.2678043543791384</v>
      </c>
      <c r="S21" s="171">
        <f>S20+R21</f>
        <v>132.93968377835125</v>
      </c>
      <c r="T21" s="300">
        <f t="shared" si="9"/>
        <v>14.957650025620365</v>
      </c>
      <c r="U21" s="256">
        <f>+T21/'Capacity Delivered'!L21*1000</f>
        <v>1.7074942951621424</v>
      </c>
      <c r="V21" s="257">
        <f>U21/1000</f>
        <v>1.7074942951621423E-3</v>
      </c>
      <c r="X21" s="258">
        <f t="shared" si="10"/>
        <v>12.553350397165779</v>
      </c>
      <c r="Y21" s="259">
        <f>X21/1000</f>
        <v>1.2553350397165779E-2</v>
      </c>
    </row>
    <row r="22" spans="1:25" s="44" customFormat="1" x14ac:dyDescent="0.25">
      <c r="B22" s="264"/>
      <c r="C22" s="264"/>
      <c r="D22" s="264"/>
      <c r="E22" s="264"/>
      <c r="F22" s="188"/>
      <c r="G22" s="38">
        <f t="shared" si="11"/>
        <v>2036</v>
      </c>
      <c r="H22" s="37">
        <v>16</v>
      </c>
      <c r="I22" s="171">
        <f>'Capacity Delivered'!G22</f>
        <v>95.27</v>
      </c>
      <c r="J22" s="255">
        <f t="shared" si="5"/>
        <v>30.446311554570809</v>
      </c>
      <c r="K22" s="256">
        <f t="shared" si="6"/>
        <v>877.1811697622345</v>
      </c>
      <c r="L22" s="256">
        <f t="shared" si="7"/>
        <v>95.269999999999939</v>
      </c>
      <c r="M22" s="256">
        <f>+L22/'Capacity Delivered'!N23*1000</f>
        <v>10.875570776255701</v>
      </c>
      <c r="N22" s="257">
        <f t="shared" si="0"/>
        <v>1.0875570776255701E-2</v>
      </c>
      <c r="P22" s="171">
        <f t="shared" si="12"/>
        <v>18.719615876529719</v>
      </c>
      <c r="Q22" s="171">
        <f t="shared" si="1"/>
        <v>0</v>
      </c>
      <c r="R22" s="171">
        <f t="shared" si="2"/>
        <v>5.9824000961342918</v>
      </c>
      <c r="S22" s="171">
        <f t="shared" ref="S22:S27" si="14">S21+R22</f>
        <v>138.92208387448554</v>
      </c>
      <c r="T22" s="300">
        <f t="shared" si="9"/>
        <v>15.0882250861697</v>
      </c>
      <c r="U22" s="256">
        <f>+T22/'Capacity Delivered'!L22*1000</f>
        <v>1.7176941127242373</v>
      </c>
      <c r="V22" s="257">
        <f t="shared" ref="V22:V27" si="15">U22/1000</f>
        <v>1.7176941127242374E-3</v>
      </c>
      <c r="X22" s="258">
        <f t="shared" si="10"/>
        <v>12.593264888979938</v>
      </c>
      <c r="Y22" s="259">
        <f t="shared" ref="Y22:Y27" si="16">X22/1000</f>
        <v>1.2593264888979938E-2</v>
      </c>
    </row>
    <row r="23" spans="1:25" s="44" customFormat="1" x14ac:dyDescent="0.25">
      <c r="B23" s="264"/>
      <c r="C23" s="264"/>
      <c r="D23" s="264"/>
      <c r="E23" s="264"/>
      <c r="F23" s="188"/>
      <c r="G23" s="38">
        <f t="shared" si="11"/>
        <v>2037</v>
      </c>
      <c r="H23" s="37">
        <v>17</v>
      </c>
      <c r="I23" s="171">
        <f>'Capacity Delivered'!G23</f>
        <v>95.27</v>
      </c>
      <c r="J23" s="255">
        <f t="shared" si="5"/>
        <v>28.351160773415408</v>
      </c>
      <c r="K23" s="256">
        <f t="shared" si="6"/>
        <v>905.53233053564986</v>
      </c>
      <c r="L23" s="256">
        <f t="shared" si="7"/>
        <v>95.269999999999939</v>
      </c>
      <c r="M23" s="256">
        <f>+L23/'Capacity Delivered'!N24*1000</f>
        <v>10.875570776255701</v>
      </c>
      <c r="N23" s="257">
        <f t="shared" si="0"/>
        <v>1.0875570776255701E-2</v>
      </c>
      <c r="P23" s="171">
        <f t="shared" si="12"/>
        <v>19.187606273442963</v>
      </c>
      <c r="Q23" s="171">
        <f t="shared" si="1"/>
        <v>0</v>
      </c>
      <c r="R23" s="171">
        <f t="shared" si="2"/>
        <v>5.7099917110882288</v>
      </c>
      <c r="S23" s="171">
        <f t="shared" si="14"/>
        <v>144.63207558557377</v>
      </c>
      <c r="T23" s="300">
        <f t="shared" si="9"/>
        <v>15.21657192834501</v>
      </c>
      <c r="U23" s="256">
        <f>+T23/'Capacity Delivered'!L23*1000</f>
        <v>1.7370515899937227</v>
      </c>
      <c r="V23" s="257">
        <f t="shared" si="15"/>
        <v>1.7370515899937226E-3</v>
      </c>
      <c r="X23" s="258">
        <f t="shared" si="10"/>
        <v>12.612622366249424</v>
      </c>
      <c r="Y23" s="259">
        <f t="shared" si="16"/>
        <v>1.2612622366249424E-2</v>
      </c>
    </row>
    <row r="24" spans="1:25" s="44" customFormat="1" x14ac:dyDescent="0.25">
      <c r="B24" s="264"/>
      <c r="C24" s="264"/>
      <c r="D24" s="264"/>
      <c r="E24" s="264"/>
      <c r="F24" s="188"/>
      <c r="G24" s="38">
        <f t="shared" si="11"/>
        <v>2038</v>
      </c>
      <c r="H24" s="37">
        <v>18</v>
      </c>
      <c r="I24" s="171">
        <f>'Capacity Delivered'!G24</f>
        <v>95.27</v>
      </c>
      <c r="J24" s="255">
        <f t="shared" si="5"/>
        <v>26.400186957272936</v>
      </c>
      <c r="K24" s="256">
        <f t="shared" si="6"/>
        <v>931.93251749292278</v>
      </c>
      <c r="L24" s="256">
        <f t="shared" si="7"/>
        <v>95.269999999999939</v>
      </c>
      <c r="M24" s="256">
        <f>+L24/'Capacity Delivered'!N25*1000</f>
        <v>10.875570776255701</v>
      </c>
      <c r="N24" s="257">
        <f t="shared" si="0"/>
        <v>1.0875570776255701E-2</v>
      </c>
      <c r="P24" s="171">
        <f t="shared" si="12"/>
        <v>19.667296430279038</v>
      </c>
      <c r="Q24" s="171">
        <f t="shared" si="1"/>
        <v>0</v>
      </c>
      <c r="R24" s="171">
        <f t="shared" si="2"/>
        <v>5.4499874325965489</v>
      </c>
      <c r="S24" s="171">
        <f t="shared" si="14"/>
        <v>150.08206301817032</v>
      </c>
      <c r="T24" s="300">
        <f t="shared" si="9"/>
        <v>15.342653974781667</v>
      </c>
      <c r="U24" s="256">
        <f>+T24/'Capacity Delivered'!L24*1000</f>
        <v>1.7514445176691402</v>
      </c>
      <c r="V24" s="257">
        <f t="shared" si="15"/>
        <v>1.7514445176691402E-3</v>
      </c>
      <c r="X24" s="258">
        <f t="shared" si="10"/>
        <v>12.627015293924842</v>
      </c>
      <c r="Y24" s="259">
        <f t="shared" si="16"/>
        <v>1.2627015293924841E-2</v>
      </c>
    </row>
    <row r="25" spans="1:25" s="44" customFormat="1" x14ac:dyDescent="0.25">
      <c r="B25" s="264"/>
      <c r="C25" s="264"/>
      <c r="D25" s="264"/>
      <c r="E25" s="264"/>
      <c r="F25" s="188"/>
      <c r="G25" s="38">
        <f t="shared" si="11"/>
        <v>2039</v>
      </c>
      <c r="H25" s="37">
        <v>19</v>
      </c>
      <c r="I25" s="171">
        <f>'Capacity Delivered'!G25</f>
        <v>95.27</v>
      </c>
      <c r="J25" s="255">
        <f t="shared" si="5"/>
        <v>24.583468625824509</v>
      </c>
      <c r="K25" s="256">
        <f t="shared" si="6"/>
        <v>956.51598611874726</v>
      </c>
      <c r="L25" s="256">
        <f t="shared" si="7"/>
        <v>95.269999999999925</v>
      </c>
      <c r="M25" s="256">
        <f>+L25/'Capacity Delivered'!N26*1000</f>
        <v>10.845856102003633</v>
      </c>
      <c r="N25" s="257">
        <f t="shared" si="0"/>
        <v>1.0845856102003634E-2</v>
      </c>
      <c r="P25" s="171">
        <f t="shared" si="12"/>
        <v>20.158978841036014</v>
      </c>
      <c r="Q25" s="171">
        <f t="shared" si="1"/>
        <v>0</v>
      </c>
      <c r="R25" s="171">
        <f t="shared" si="2"/>
        <v>5.2018224400888942</v>
      </c>
      <c r="S25" s="171">
        <f t="shared" si="14"/>
        <v>155.28388545825922</v>
      </c>
      <c r="T25" s="300">
        <f t="shared" si="9"/>
        <v>15.466438598310837</v>
      </c>
      <c r="U25" s="256">
        <f>+T25/'Capacity Delivered'!L25*1000</f>
        <v>1.765575182455575</v>
      </c>
      <c r="V25" s="257">
        <f t="shared" si="15"/>
        <v>1.7655751824555751E-3</v>
      </c>
      <c r="X25" s="258">
        <f t="shared" si="10"/>
        <v>12.611431284459208</v>
      </c>
      <c r="Y25" s="259">
        <f t="shared" si="16"/>
        <v>1.2611431284459207E-2</v>
      </c>
    </row>
    <row r="26" spans="1:25" x14ac:dyDescent="0.25">
      <c r="B26" s="172"/>
      <c r="C26" s="172"/>
      <c r="D26" s="172"/>
      <c r="E26" s="172"/>
      <c r="F26" s="52"/>
      <c r="G26" s="38">
        <f t="shared" si="11"/>
        <v>2040</v>
      </c>
      <c r="H26" s="39">
        <v>20</v>
      </c>
      <c r="I26" s="171">
        <f>'Capacity Delivered'!G26</f>
        <v>95.27</v>
      </c>
      <c r="J26" s="40">
        <f t="shared" si="5"/>
        <v>22.891767041460568</v>
      </c>
      <c r="K26" s="41">
        <f t="shared" si="6"/>
        <v>979.40775316020779</v>
      </c>
      <c r="L26" s="41">
        <f t="shared" si="7"/>
        <v>95.269999999999939</v>
      </c>
      <c r="M26" s="41">
        <f>+L26/'Capacity Delivered'!N27*1000</f>
        <v>10.875570776255701</v>
      </c>
      <c r="N26" s="235">
        <f t="shared" si="0"/>
        <v>1.0875570776255701E-2</v>
      </c>
      <c r="P26" s="171">
        <f t="shared" si="12"/>
        <v>20.662953312061912</v>
      </c>
      <c r="Q26" s="171">
        <f t="shared" si="1"/>
        <v>0</v>
      </c>
      <c r="R26" s="171">
        <f t="shared" si="2"/>
        <v>4.9649576320803757</v>
      </c>
      <c r="S26" s="171">
        <f t="shared" si="14"/>
        <v>160.24884309033959</v>
      </c>
      <c r="T26" s="300">
        <f t="shared" si="9"/>
        <v>15.58789710613955</v>
      </c>
      <c r="U26" s="41">
        <f>+T26/'Capacity Delivered'!L26*1000</f>
        <v>1.774578450152499</v>
      </c>
      <c r="V26" s="235">
        <f t="shared" si="15"/>
        <v>1.774578450152499E-3</v>
      </c>
      <c r="X26" s="242">
        <f t="shared" si="10"/>
        <v>12.6501492264082</v>
      </c>
      <c r="Y26" s="243">
        <f t="shared" si="16"/>
        <v>1.2650149226408199E-2</v>
      </c>
    </row>
    <row r="27" spans="1:25" s="44" customFormat="1" ht="15.6" thickBot="1" x14ac:dyDescent="0.3">
      <c r="G27" s="38">
        <f t="shared" si="11"/>
        <v>2041</v>
      </c>
      <c r="H27" s="37">
        <v>21</v>
      </c>
      <c r="I27" s="171">
        <f>'Capacity Delivered'!G27</f>
        <v>95.27</v>
      </c>
      <c r="J27" s="40">
        <f t="shared" si="5"/>
        <v>21.316479226613804</v>
      </c>
      <c r="K27" s="41">
        <f t="shared" ref="K27" si="17">K26+J27</f>
        <v>1000.7242323868215</v>
      </c>
      <c r="L27" s="41">
        <f t="shared" si="7"/>
        <v>95.269999999999925</v>
      </c>
      <c r="M27" s="41">
        <f>+L27/'Capacity Delivered'!N28*1000</f>
        <v>10.875570776255699</v>
      </c>
      <c r="N27" s="235">
        <f t="shared" si="0"/>
        <v>1.08755707762557E-2</v>
      </c>
      <c r="P27" s="171">
        <f t="shared" si="12"/>
        <v>21.17952714486346</v>
      </c>
      <c r="Q27" s="171">
        <f t="shared" si="1"/>
        <v>0</v>
      </c>
      <c r="R27" s="171">
        <f t="shared" si="2"/>
        <v>4.7388784550539009</v>
      </c>
      <c r="S27" s="171">
        <f t="shared" si="14"/>
        <v>164.9877215453935</v>
      </c>
      <c r="T27" s="300">
        <f t="shared" si="9"/>
        <v>15.7070047101186</v>
      </c>
      <c r="U27" s="41">
        <f>+T27/'Capacity Delivered'!L27*1000</f>
        <v>1.793037067365137</v>
      </c>
      <c r="V27" s="235">
        <f t="shared" si="15"/>
        <v>1.7930370673651371E-3</v>
      </c>
      <c r="X27" s="244">
        <f t="shared" si="10"/>
        <v>12.668607843620837</v>
      </c>
      <c r="Y27" s="245">
        <f t="shared" si="16"/>
        <v>1.2668607843620837E-2</v>
      </c>
    </row>
    <row r="28" spans="1:25" s="44" customFormat="1" x14ac:dyDescent="0.25">
      <c r="C28" s="21"/>
      <c r="D28" s="21"/>
      <c r="G28" s="38"/>
      <c r="H28" s="37"/>
      <c r="I28" s="174"/>
      <c r="J28" s="55"/>
      <c r="K28" s="56"/>
      <c r="L28" s="48"/>
      <c r="M28" s="48"/>
      <c r="N28" s="48"/>
      <c r="P28" s="175"/>
      <c r="Q28" s="54"/>
      <c r="R28" s="55"/>
      <c r="S28" s="56"/>
      <c r="T28" s="48"/>
      <c r="U28" s="48"/>
      <c r="V28" s="48"/>
      <c r="X28" s="48"/>
      <c r="Y28" s="48"/>
    </row>
    <row r="29" spans="1:25" x14ac:dyDescent="0.25">
      <c r="B29" s="31"/>
      <c r="C29" s="21"/>
      <c r="D29" s="21"/>
      <c r="E29" s="44"/>
      <c r="F29" s="44"/>
      <c r="G29" s="31"/>
      <c r="H29" s="37"/>
      <c r="I29" s="174"/>
      <c r="J29" s="31"/>
      <c r="K29" s="31"/>
      <c r="L29" s="31"/>
      <c r="M29" s="31"/>
      <c r="N29" s="31"/>
      <c r="P29" s="175"/>
      <c r="Q29" s="54"/>
      <c r="R29" s="31"/>
      <c r="S29" s="31"/>
      <c r="T29" s="31"/>
      <c r="U29" s="31"/>
      <c r="V29" s="31"/>
      <c r="X29" s="31"/>
      <c r="Y29" s="31"/>
    </row>
    <row r="30" spans="1:25" ht="114" customHeight="1" x14ac:dyDescent="0.25">
      <c r="A30" s="308" t="str">
        <f>+D6</f>
        <v>[4]</v>
      </c>
      <c r="B30" s="359" t="s">
        <v>132</v>
      </c>
      <c r="C30" s="359"/>
      <c r="D30" s="359"/>
      <c r="E30" s="359"/>
      <c r="F30" s="359"/>
      <c r="G30" s="359"/>
      <c r="H30" s="359"/>
      <c r="I30" s="359"/>
      <c r="J30" s="359"/>
      <c r="K30" s="359"/>
      <c r="L30" s="359"/>
      <c r="M30" s="359"/>
      <c r="N30" s="359"/>
    </row>
  </sheetData>
  <customSheetViews>
    <customSheetView guid="{78103E26-15C6-4D37-9879-762EF0B43905}" fitToPage="1" topLeftCell="B1">
      <selection activeCell="E35" sqref="E35"/>
      <pageMargins left="0.75" right="0.5" top="0.76" bottom="0.79" header="0.5" footer="0.26"/>
      <pageSetup scale="64" orientation="landscape" r:id="rId1"/>
      <headerFooter alignWithMargins="0">
        <oddFooter>&amp;L&amp;F&amp;C&amp;A&amp;RPSE Advice No. 2018-48 &amp;D
Page &amp;P of &amp;N</oddFooter>
      </headerFooter>
    </customSheetView>
  </customSheetViews>
  <mergeCells count="1">
    <mergeCell ref="B30:N30"/>
  </mergeCells>
  <phoneticPr fontId="14" type="noConversion"/>
  <pageMargins left="0.75" right="0.5" top="0.76" bottom="0.79" header="0.5" footer="0.26"/>
  <pageSetup scale="64" orientation="landscape" r:id="rId2"/>
  <headerFooter alignWithMargins="0">
    <oddFooter>&amp;L&amp;F&amp;C&amp;A&amp;RPSE Advice No. 2018-48 &amp;D
Page &amp;P of &amp;N</oddFooter>
  </headerFooter>
  <customProperties>
    <customPr name="_pios_id" r:id="rId3"/>
  </customProperties>
  <drawing r:id="rId4"/>
  <legacyDrawing r:id="rId5"/>
  <controls>
    <mc:AlternateContent xmlns:mc="http://schemas.openxmlformats.org/markup-compatibility/2006">
      <mc:Choice Requires="x14">
        <control shapeId="5124" r:id="rId6" name="Control 4">
          <controlPr defaultSize="0" r:id="rId7">
            <anchor moveWithCells="1">
              <from>
                <xdr:col>7</xdr:col>
                <xdr:colOff>556260</xdr:colOff>
                <xdr:row>2</xdr:row>
                <xdr:rowOff>7620</xdr:rowOff>
              </from>
              <to>
                <xdr:col>8</xdr:col>
                <xdr:colOff>175260</xdr:colOff>
                <xdr:row>3</xdr:row>
                <xdr:rowOff>114300</xdr:rowOff>
              </to>
            </anchor>
          </controlPr>
        </control>
      </mc:Choice>
      <mc:Fallback>
        <control shapeId="5124" r:id="rId6" name="Control 4"/>
      </mc:Fallback>
    </mc:AlternateContent>
    <mc:AlternateContent xmlns:mc="http://schemas.openxmlformats.org/markup-compatibility/2006">
      <mc:Choice Requires="x14">
        <control shapeId="5123" r:id="rId8" name="Control 3">
          <controlPr defaultSize="0" r:id="rId9">
            <anchor moveWithCells="1">
              <from>
                <xdr:col>7</xdr:col>
                <xdr:colOff>556260</xdr:colOff>
                <xdr:row>2</xdr:row>
                <xdr:rowOff>7620</xdr:rowOff>
              </from>
              <to>
                <xdr:col>8</xdr:col>
                <xdr:colOff>152400</xdr:colOff>
                <xdr:row>3</xdr:row>
                <xdr:rowOff>30480</xdr:rowOff>
              </to>
            </anchor>
          </controlPr>
        </control>
      </mc:Choice>
      <mc:Fallback>
        <control shapeId="5123" r:id="rId8" name="Control 3"/>
      </mc:Fallback>
    </mc:AlternateContent>
    <mc:AlternateContent xmlns:mc="http://schemas.openxmlformats.org/markup-compatibility/2006">
      <mc:Choice Requires="x14">
        <control shapeId="5122" r:id="rId10" name="Control 2">
          <controlPr defaultSize="0" r:id="rId11">
            <anchor moveWithCells="1">
              <from>
                <xdr:col>7</xdr:col>
                <xdr:colOff>556260</xdr:colOff>
                <xdr:row>2</xdr:row>
                <xdr:rowOff>7620</xdr:rowOff>
              </from>
              <to>
                <xdr:col>8</xdr:col>
                <xdr:colOff>152400</xdr:colOff>
                <xdr:row>3</xdr:row>
                <xdr:rowOff>30480</xdr:rowOff>
              </to>
            </anchor>
          </controlPr>
        </control>
      </mc:Choice>
      <mc:Fallback>
        <control shapeId="5122" r:id="rId10" name="Control 2"/>
      </mc:Fallback>
    </mc:AlternateContent>
    <mc:AlternateContent xmlns:mc="http://schemas.openxmlformats.org/markup-compatibility/2006">
      <mc:Choice Requires="x14">
        <control shapeId="5121" r:id="rId12" name="Control 1">
          <controlPr defaultSize="0" r:id="rId13">
            <anchor moveWithCells="1">
              <from>
                <xdr:col>7</xdr:col>
                <xdr:colOff>556260</xdr:colOff>
                <xdr:row>2</xdr:row>
                <xdr:rowOff>7620</xdr:rowOff>
              </from>
              <to>
                <xdr:col>7</xdr:col>
                <xdr:colOff>777240</xdr:colOff>
                <xdr:row>3</xdr:row>
                <xdr:rowOff>30480</xdr:rowOff>
              </to>
            </anchor>
          </controlPr>
        </control>
      </mc:Choice>
      <mc:Fallback>
        <control shapeId="5121" r:id="rId12" name="Control 1"/>
      </mc:Fallback>
    </mc:AlternateContent>
  </control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9" tint="0.39997558519241921"/>
    <pageSetUpPr fitToPage="1"/>
  </sheetPr>
  <dimension ref="A1:Y30"/>
  <sheetViews>
    <sheetView workbookViewId="0">
      <selection activeCell="E9" sqref="E9"/>
    </sheetView>
  </sheetViews>
  <sheetFormatPr defaultColWidth="9.109375" defaultRowHeight="15" x14ac:dyDescent="0.25"/>
  <cols>
    <col min="1" max="1" width="3.6640625" style="33" customWidth="1"/>
    <col min="2" max="2" width="25.6640625" style="33" customWidth="1"/>
    <col min="3" max="3" width="17.44140625" style="33" customWidth="1"/>
    <col min="4" max="4" width="3.6640625" style="33" customWidth="1"/>
    <col min="5" max="5" width="15.5546875" style="33" customWidth="1"/>
    <col min="6" max="6" width="2.6640625" style="33" customWidth="1"/>
    <col min="7" max="7" width="9.6640625" style="33" customWidth="1"/>
    <col min="8" max="8" width="16.6640625" style="33" customWidth="1"/>
    <col min="9" max="9" width="16.44140625" style="44" customWidth="1"/>
    <col min="10" max="10" width="18.5546875" style="33" customWidth="1"/>
    <col min="11" max="11" width="19" style="33" customWidth="1"/>
    <col min="12" max="14" width="22.33203125" style="33" customWidth="1"/>
    <col min="15" max="15" width="2.6640625" style="33" customWidth="1"/>
    <col min="16" max="16" width="16.44140625" style="44" customWidth="1"/>
    <col min="17" max="17" width="16.6640625" style="168" customWidth="1"/>
    <col min="18" max="18" width="18.5546875" style="33" customWidth="1"/>
    <col min="19" max="19" width="19" style="33" customWidth="1"/>
    <col min="20" max="22" width="22.33203125" style="33" customWidth="1"/>
    <col min="23" max="23" width="2.6640625" style="33" customWidth="1"/>
    <col min="24" max="25" width="22.33203125" style="33" customWidth="1"/>
    <col min="26" max="16384" width="9.109375" style="33"/>
  </cols>
  <sheetData>
    <row r="1" spans="1:25" x14ac:dyDescent="0.25">
      <c r="B1" s="14"/>
    </row>
    <row r="3" spans="1:25" ht="16.2" thickBot="1" x14ac:dyDescent="0.35">
      <c r="I3" s="164"/>
    </row>
    <row r="4" spans="1:25" ht="62.4" x14ac:dyDescent="0.3">
      <c r="G4" s="15" t="s">
        <v>15</v>
      </c>
      <c r="H4" s="16" t="s">
        <v>1</v>
      </c>
      <c r="I4" s="17" t="s">
        <v>16</v>
      </c>
      <c r="J4" s="16" t="s">
        <v>17</v>
      </c>
      <c r="K4" s="16" t="s">
        <v>18</v>
      </c>
      <c r="L4" s="3" t="s">
        <v>19</v>
      </c>
      <c r="M4" s="3" t="s">
        <v>19</v>
      </c>
      <c r="N4" s="3" t="s">
        <v>19</v>
      </c>
      <c r="P4" s="17" t="s">
        <v>72</v>
      </c>
      <c r="Q4" s="17" t="s">
        <v>49</v>
      </c>
      <c r="R4" s="16" t="s">
        <v>17</v>
      </c>
      <c r="S4" s="16" t="s">
        <v>18</v>
      </c>
      <c r="T4" s="3" t="s">
        <v>19</v>
      </c>
      <c r="U4" s="3" t="s">
        <v>19</v>
      </c>
      <c r="V4" s="3" t="s">
        <v>19</v>
      </c>
      <c r="X4" s="236" t="s">
        <v>19</v>
      </c>
      <c r="Y4" s="237" t="s">
        <v>19</v>
      </c>
    </row>
    <row r="5" spans="1:25" ht="15.6" x14ac:dyDescent="0.3">
      <c r="B5" s="50"/>
      <c r="C5" s="50"/>
      <c r="D5" s="50"/>
      <c r="G5" s="18"/>
      <c r="H5" s="18" t="s">
        <v>20</v>
      </c>
      <c r="I5" s="19" t="s">
        <v>123</v>
      </c>
      <c r="J5" s="18" t="s">
        <v>123</v>
      </c>
      <c r="K5" s="18" t="s">
        <v>123</v>
      </c>
      <c r="L5" s="4" t="s">
        <v>123</v>
      </c>
      <c r="M5" s="4" t="s">
        <v>33</v>
      </c>
      <c r="N5" s="4" t="s">
        <v>34</v>
      </c>
      <c r="P5" s="19" t="s">
        <v>123</v>
      </c>
      <c r="Q5" s="19" t="s">
        <v>123</v>
      </c>
      <c r="R5" s="18" t="s">
        <v>123</v>
      </c>
      <c r="S5" s="18" t="s">
        <v>123</v>
      </c>
      <c r="T5" s="4" t="s">
        <v>123</v>
      </c>
      <c r="U5" s="4" t="s">
        <v>33</v>
      </c>
      <c r="V5" s="4" t="s">
        <v>34</v>
      </c>
      <c r="X5" s="238" t="s">
        <v>33</v>
      </c>
      <c r="Y5" s="239" t="s">
        <v>34</v>
      </c>
    </row>
    <row r="6" spans="1:25" s="44" customFormat="1" ht="15.6" x14ac:dyDescent="0.3">
      <c r="A6" s="169"/>
      <c r="B6" s="169"/>
      <c r="C6" s="163" t="s">
        <v>121</v>
      </c>
      <c r="D6" s="163" t="str">
        <f>+P6</f>
        <v>[4]</v>
      </c>
      <c r="E6" s="321">
        <f>12.61*(1+E9)</f>
        <v>12.925249999999998</v>
      </c>
      <c r="F6" s="45"/>
      <c r="G6" s="167" t="s">
        <v>21</v>
      </c>
      <c r="H6" s="167" t="s">
        <v>22</v>
      </c>
      <c r="I6" s="167" t="s">
        <v>23</v>
      </c>
      <c r="J6" s="167" t="s">
        <v>30</v>
      </c>
      <c r="K6" s="167" t="s">
        <v>26</v>
      </c>
      <c r="L6" s="167" t="s">
        <v>27</v>
      </c>
      <c r="M6" s="167" t="s">
        <v>35</v>
      </c>
      <c r="N6" s="167" t="s">
        <v>71</v>
      </c>
      <c r="P6" s="167" t="s">
        <v>24</v>
      </c>
      <c r="Q6" s="167" t="s">
        <v>25</v>
      </c>
      <c r="R6" s="167" t="s">
        <v>30</v>
      </c>
      <c r="S6" s="167" t="s">
        <v>26</v>
      </c>
      <c r="T6" s="167" t="s">
        <v>27</v>
      </c>
      <c r="U6" s="167" t="s">
        <v>35</v>
      </c>
      <c r="V6" s="167" t="s">
        <v>71</v>
      </c>
      <c r="X6" s="240" t="s">
        <v>35</v>
      </c>
      <c r="Y6" s="241" t="s">
        <v>71</v>
      </c>
    </row>
    <row r="7" spans="1:25" s="44" customFormat="1" ht="15.6" x14ac:dyDescent="0.3">
      <c r="A7" s="169"/>
      <c r="B7" s="169"/>
      <c r="C7" s="163" t="s">
        <v>122</v>
      </c>
      <c r="D7" s="163" t="str">
        <f>+Q6</f>
        <v>[5]</v>
      </c>
      <c r="E7" s="46">
        <v>0</v>
      </c>
      <c r="F7" s="254"/>
      <c r="G7" s="170">
        <f>'Baseload Avoided Capacity Calcs'!G7</f>
        <v>2021</v>
      </c>
      <c r="H7" s="266">
        <v>1</v>
      </c>
      <c r="I7" s="171">
        <f>'Capacity Delivered'!H7</f>
        <v>16.95806</v>
      </c>
      <c r="J7" s="262">
        <f>SUM(I7)/((1+$E$8)^H7)</f>
        <v>15.791097867585435</v>
      </c>
      <c r="K7" s="267">
        <f>J7</f>
        <v>15.791097867585435</v>
      </c>
      <c r="L7" s="267">
        <f>(-PMT($E$8,H7,(K7)))</f>
        <v>16.95806</v>
      </c>
      <c r="M7" s="267">
        <f>+L7/'Capacity Delivered'!P8*1000</f>
        <v>5.2747999950232041</v>
      </c>
      <c r="N7" s="268">
        <f t="shared" ref="N7:N27" si="0">M7/1000</f>
        <v>5.2747999950232037E-3</v>
      </c>
      <c r="P7" s="176">
        <f>E6</f>
        <v>12.925249999999998</v>
      </c>
      <c r="Q7" s="176">
        <f t="shared" ref="Q7:Q27" si="1">(I7+P7)*$E$7</f>
        <v>0</v>
      </c>
      <c r="R7" s="176">
        <f t="shared" ref="R7:R27" si="2">SUM(P7:Q7)/((1+$E$8)^H7)</f>
        <v>12.035804078592045</v>
      </c>
      <c r="S7" s="176">
        <f>R7</f>
        <v>12.035804078592045</v>
      </c>
      <c r="T7" s="300">
        <f>(-PMT($E$8,H7,(S7)))</f>
        <v>12.925249999999997</v>
      </c>
      <c r="U7" s="267">
        <f>+T7/'Capacity Delivered'!L7*1000</f>
        <v>1.4754851598173513</v>
      </c>
      <c r="V7" s="268">
        <f t="shared" ref="V7:V20" si="3">U7/1000</f>
        <v>1.4754851598173513E-3</v>
      </c>
      <c r="X7" s="258">
        <f>M7+U7</f>
        <v>6.7502851548405554</v>
      </c>
      <c r="Y7" s="259">
        <f>X7/1000</f>
        <v>6.7502851548405553E-3</v>
      </c>
    </row>
    <row r="8" spans="1:25" s="44" customFormat="1" ht="15.6" x14ac:dyDescent="0.3">
      <c r="A8" s="169"/>
      <c r="B8" s="169"/>
      <c r="C8" s="163" t="s">
        <v>45</v>
      </c>
      <c r="D8" s="163"/>
      <c r="E8" s="46">
        <f>Rate_of_Return</f>
        <v>7.3899999999999993E-2</v>
      </c>
      <c r="F8" s="254"/>
      <c r="G8" s="170">
        <f>'Baseload Avoided Capacity Calcs'!G8</f>
        <v>2022</v>
      </c>
      <c r="H8" s="37">
        <v>2</v>
      </c>
      <c r="I8" s="171">
        <f>'Capacity Delivered'!H8</f>
        <v>16.95806</v>
      </c>
      <c r="J8" s="255">
        <f t="shared" ref="J8:J27" si="4">SUM(I8)/((1+$E$8)^H8)</f>
        <v>14.704439768679983</v>
      </c>
      <c r="K8" s="256">
        <f t="shared" ref="K8:K27" si="5">K7+J8</f>
        <v>30.495537636265418</v>
      </c>
      <c r="L8" s="256">
        <f>(-PMT($E$8,H8,(K8)))</f>
        <v>16.958059999999996</v>
      </c>
      <c r="M8" s="256">
        <f>+L8/'Capacity Delivered'!P9*1000</f>
        <v>5.2747999950232032</v>
      </c>
      <c r="N8" s="257">
        <f t="shared" si="0"/>
        <v>5.2747999950232029E-3</v>
      </c>
      <c r="P8" s="171">
        <f t="shared" ref="P8:P27" si="6">P7+(P7*$E$9)</f>
        <v>13.248381249999998</v>
      </c>
      <c r="Q8" s="171">
        <f t="shared" si="1"/>
        <v>0</v>
      </c>
      <c r="R8" s="171">
        <f t="shared" si="2"/>
        <v>11.487754148949479</v>
      </c>
      <c r="S8" s="171">
        <f t="shared" ref="S8:S12" si="7">S7+R8</f>
        <v>23.523558227541525</v>
      </c>
      <c r="T8" s="300">
        <f t="shared" ref="T8:T27" si="8">(-PMT($E$8,H8,(S8)))</f>
        <v>13.081058500892034</v>
      </c>
      <c r="U8" s="256">
        <f>+T8/'Capacity Delivered'!L8*1000</f>
        <v>1.4932715183666705</v>
      </c>
      <c r="V8" s="257">
        <f t="shared" si="3"/>
        <v>1.4932715183666706E-3</v>
      </c>
      <c r="X8" s="258">
        <f t="shared" ref="X8:X27" si="9">M8+U8</f>
        <v>6.7680715133898737</v>
      </c>
      <c r="Y8" s="259">
        <f t="shared" ref="Y8:Y20" si="10">X8/1000</f>
        <v>6.7680715133898737E-3</v>
      </c>
    </row>
    <row r="9" spans="1:25" s="44" customFormat="1" ht="15.6" x14ac:dyDescent="0.3">
      <c r="A9" s="169"/>
      <c r="B9" s="169"/>
      <c r="C9" s="163" t="s">
        <v>46</v>
      </c>
      <c r="D9" s="163"/>
      <c r="E9" s="46">
        <f>+FlatLoadShapeEnergy_perMWh!E8</f>
        <v>2.5000000000000001E-2</v>
      </c>
      <c r="F9" s="260"/>
      <c r="G9" s="170">
        <f>'Baseload Avoided Capacity Calcs'!G9</f>
        <v>2023</v>
      </c>
      <c r="H9" s="37">
        <v>3</v>
      </c>
      <c r="I9" s="171">
        <f>'Capacity Delivered'!H9</f>
        <v>16.95806</v>
      </c>
      <c r="J9" s="255">
        <f t="shared" si="4"/>
        <v>13.692559613260064</v>
      </c>
      <c r="K9" s="256">
        <f t="shared" si="5"/>
        <v>44.188097249525484</v>
      </c>
      <c r="L9" s="256">
        <f>(-PMT($E$8,H9,(K9)))</f>
        <v>16.958059999999996</v>
      </c>
      <c r="M9" s="256">
        <f>+L9/'Capacity Delivered'!P10*1000</f>
        <v>5.2603879731788767</v>
      </c>
      <c r="N9" s="257">
        <f t="shared" si="0"/>
        <v>5.2603879731788769E-3</v>
      </c>
      <c r="P9" s="171">
        <f t="shared" si="6"/>
        <v>13.579590781249998</v>
      </c>
      <c r="Q9" s="171">
        <f t="shared" si="1"/>
        <v>0</v>
      </c>
      <c r="R9" s="171">
        <f t="shared" si="2"/>
        <v>10.964659654225921</v>
      </c>
      <c r="S9" s="171">
        <f t="shared" si="7"/>
        <v>34.488217881767447</v>
      </c>
      <c r="T9" s="300">
        <f t="shared" si="8"/>
        <v>13.235538629995334</v>
      </c>
      <c r="U9" s="256">
        <f>+T9/'Capacity Delivered'!L9*1000</f>
        <v>1.5109062363008372</v>
      </c>
      <c r="V9" s="257">
        <f t="shared" si="3"/>
        <v>1.5109062363008372E-3</v>
      </c>
      <c r="X9" s="258">
        <f t="shared" si="9"/>
        <v>6.7712942094797137</v>
      </c>
      <c r="Y9" s="259">
        <f t="shared" si="10"/>
        <v>6.7712942094797137E-3</v>
      </c>
    </row>
    <row r="10" spans="1:25" s="44" customFormat="1" ht="15.6" x14ac:dyDescent="0.3">
      <c r="B10" s="169"/>
      <c r="C10" s="163"/>
      <c r="D10" s="163"/>
      <c r="E10" s="51"/>
      <c r="F10" s="254"/>
      <c r="G10" s="170">
        <f>'Baseload Avoided Capacity Calcs'!G10</f>
        <v>2024</v>
      </c>
      <c r="H10" s="37">
        <v>4</v>
      </c>
      <c r="I10" s="171">
        <f>'Capacity Delivered'!H10</f>
        <v>16.95806</v>
      </c>
      <c r="J10" s="255">
        <f t="shared" si="4"/>
        <v>12.750311586982086</v>
      </c>
      <c r="K10" s="256">
        <f t="shared" si="5"/>
        <v>56.93840883650757</v>
      </c>
      <c r="L10" s="256">
        <f t="shared" ref="L10:L26" si="11">(-PMT($E$8,H10,(K10)))</f>
        <v>16.958059999999996</v>
      </c>
      <c r="M10" s="256">
        <f>+L10/'Capacity Delivered'!P11*1000</f>
        <v>5.2747999950232032</v>
      </c>
      <c r="N10" s="257">
        <f t="shared" si="0"/>
        <v>5.2747999950232029E-3</v>
      </c>
      <c r="P10" s="171">
        <f t="shared" si="6"/>
        <v>13.919080550781247</v>
      </c>
      <c r="Q10" s="171">
        <f t="shared" si="1"/>
        <v>0</v>
      </c>
      <c r="R10" s="171">
        <f t="shared" si="2"/>
        <v>10.465384249540522</v>
      </c>
      <c r="S10" s="171">
        <f t="shared" si="7"/>
        <v>44.953602131307967</v>
      </c>
      <c r="T10" s="300">
        <f t="shared" si="8"/>
        <v>13.388605297134028</v>
      </c>
      <c r="U10" s="256">
        <f>+T10/'Capacity Delivered'!L10*1000</f>
        <v>1.5242036995826533</v>
      </c>
      <c r="V10" s="257">
        <f t="shared" si="3"/>
        <v>1.5242036995826533E-3</v>
      </c>
      <c r="X10" s="258">
        <f t="shared" si="9"/>
        <v>6.7990036946058563</v>
      </c>
      <c r="Y10" s="259">
        <f t="shared" si="10"/>
        <v>6.799003694605856E-3</v>
      </c>
    </row>
    <row r="11" spans="1:25" s="44" customFormat="1" ht="15.6" x14ac:dyDescent="0.3">
      <c r="B11" s="169"/>
      <c r="C11" s="163"/>
      <c r="D11" s="163"/>
      <c r="E11" s="51"/>
      <c r="F11" s="254"/>
      <c r="G11" s="170">
        <f>'Baseload Avoided Capacity Calcs'!G11</f>
        <v>2025</v>
      </c>
      <c r="H11" s="37">
        <v>5</v>
      </c>
      <c r="I11" s="171">
        <f>'Capacity Delivered'!H11</f>
        <v>16.95806</v>
      </c>
      <c r="J11" s="255">
        <f t="shared" si="4"/>
        <v>11.872903982663269</v>
      </c>
      <c r="K11" s="256">
        <f t="shared" si="5"/>
        <v>68.811312819170837</v>
      </c>
      <c r="L11" s="256">
        <f t="shared" si="11"/>
        <v>16.958059999999993</v>
      </c>
      <c r="M11" s="256">
        <f>+L11/'Capacity Delivered'!P12*1000</f>
        <v>5.2747999950232023</v>
      </c>
      <c r="N11" s="257">
        <f t="shared" si="0"/>
        <v>5.274799995023202E-3</v>
      </c>
      <c r="P11" s="171">
        <f t="shared" si="6"/>
        <v>14.267057564550779</v>
      </c>
      <c r="Q11" s="171">
        <f t="shared" si="1"/>
        <v>0</v>
      </c>
      <c r="R11" s="171">
        <f t="shared" si="2"/>
        <v>9.988843333437968</v>
      </c>
      <c r="S11" s="171">
        <f t="shared" si="7"/>
        <v>54.942445464745937</v>
      </c>
      <c r="T11" s="300">
        <f t="shared" si="8"/>
        <v>13.540176005453462</v>
      </c>
      <c r="U11" s="256">
        <f>+T11/'Capacity Delivered'!L11*1000</f>
        <v>1.5456821924033632</v>
      </c>
      <c r="V11" s="257">
        <f t="shared" si="3"/>
        <v>1.5456821924033633E-3</v>
      </c>
      <c r="X11" s="258">
        <f t="shared" si="9"/>
        <v>6.8204821874265651</v>
      </c>
      <c r="Y11" s="259">
        <f t="shared" si="10"/>
        <v>6.8204821874265648E-3</v>
      </c>
    </row>
    <row r="12" spans="1:25" s="44" customFormat="1" ht="15.6" x14ac:dyDescent="0.3">
      <c r="B12" s="169"/>
      <c r="C12" s="163"/>
      <c r="D12" s="163"/>
      <c r="E12" s="51"/>
      <c r="F12" s="254"/>
      <c r="G12" s="170">
        <f>'Baseload Avoided Capacity Calcs'!G12</f>
        <v>2026</v>
      </c>
      <c r="H12" s="37">
        <v>6</v>
      </c>
      <c r="I12" s="171">
        <f>'Capacity Delivered'!H12</f>
        <v>16.95806</v>
      </c>
      <c r="J12" s="255">
        <f t="shared" si="4"/>
        <v>11.055874832538663</v>
      </c>
      <c r="K12" s="256">
        <f t="shared" si="5"/>
        <v>79.8671876517095</v>
      </c>
      <c r="L12" s="256">
        <f t="shared" si="11"/>
        <v>16.958059999999993</v>
      </c>
      <c r="M12" s="256">
        <f>+L12/'Capacity Delivered'!P13*1000</f>
        <v>5.2747999950232023</v>
      </c>
      <c r="N12" s="257">
        <f t="shared" si="0"/>
        <v>5.274799995023202E-3</v>
      </c>
      <c r="P12" s="171">
        <f t="shared" si="6"/>
        <v>14.623734003664548</v>
      </c>
      <c r="Q12" s="171">
        <f t="shared" si="1"/>
        <v>0</v>
      </c>
      <c r="R12" s="171">
        <f t="shared" si="2"/>
        <v>9.5340016917533461</v>
      </c>
      <c r="S12" s="171">
        <f t="shared" si="7"/>
        <v>64.47644715649929</v>
      </c>
      <c r="T12" s="300">
        <f t="shared" si="8"/>
        <v>13.690171040388959</v>
      </c>
      <c r="U12" s="256">
        <f>+T12/'Capacity Delivered'!L12*1000</f>
        <v>1.5628049132864108</v>
      </c>
      <c r="V12" s="257">
        <f t="shared" si="3"/>
        <v>1.5628049132864108E-3</v>
      </c>
      <c r="X12" s="258">
        <f t="shared" si="9"/>
        <v>6.8376049083096131</v>
      </c>
      <c r="Y12" s="259">
        <f t="shared" si="10"/>
        <v>6.837604908309613E-3</v>
      </c>
    </row>
    <row r="13" spans="1:25" s="44" customFormat="1" ht="15.6" x14ac:dyDescent="0.3">
      <c r="B13" s="169"/>
      <c r="C13" s="163"/>
      <c r="D13" s="163"/>
      <c r="E13" s="51"/>
      <c r="F13" s="254"/>
      <c r="G13" s="170">
        <f>'Baseload Avoided Capacity Calcs'!G13</f>
        <v>2027</v>
      </c>
      <c r="H13" s="37">
        <v>7</v>
      </c>
      <c r="I13" s="171">
        <f>'Capacity Delivered'!H13</f>
        <v>16.95806</v>
      </c>
      <c r="J13" s="255">
        <f t="shared" si="4"/>
        <v>10.295069217374675</v>
      </c>
      <c r="K13" s="256">
        <f>K12+J13</f>
        <v>90.162256869084175</v>
      </c>
      <c r="L13" s="256">
        <f t="shared" si="11"/>
        <v>16.958059999999993</v>
      </c>
      <c r="M13" s="256">
        <f>+L13/'Capacity Delivered'!P14*1000</f>
        <v>5.2603879731788759</v>
      </c>
      <c r="N13" s="257">
        <f t="shared" si="0"/>
        <v>5.2603879731788761E-3</v>
      </c>
      <c r="P13" s="171">
        <f>P12+(P12*$E$9)</f>
        <v>14.989327353756162</v>
      </c>
      <c r="Q13" s="171">
        <f t="shared" si="1"/>
        <v>0</v>
      </c>
      <c r="R13" s="171">
        <f t="shared" si="2"/>
        <v>9.0998712487635522</v>
      </c>
      <c r="S13" s="171">
        <f>S12+R13</f>
        <v>73.576318405262839</v>
      </c>
      <c r="T13" s="300">
        <f t="shared" si="8"/>
        <v>13.838513646649636</v>
      </c>
      <c r="U13" s="256">
        <f>+T13/'Capacity Delivered'!L13*1000</f>
        <v>1.5797390007590908</v>
      </c>
      <c r="V13" s="257">
        <f t="shared" si="3"/>
        <v>1.5797390007590909E-3</v>
      </c>
      <c r="X13" s="258">
        <f t="shared" si="9"/>
        <v>6.8401269739379664</v>
      </c>
      <c r="Y13" s="259">
        <f t="shared" si="10"/>
        <v>6.8401269739379661E-3</v>
      </c>
    </row>
    <row r="14" spans="1:25" s="44" customFormat="1" ht="15.6" x14ac:dyDescent="0.3">
      <c r="B14" s="169"/>
      <c r="C14" s="163"/>
      <c r="D14" s="163"/>
      <c r="E14" s="51"/>
      <c r="F14" s="254"/>
      <c r="G14" s="170">
        <f>'Baseload Avoided Capacity Calcs'!G14</f>
        <v>2028</v>
      </c>
      <c r="H14" s="37">
        <v>8</v>
      </c>
      <c r="I14" s="171">
        <f>'Capacity Delivered'!H14</f>
        <v>16.95806</v>
      </c>
      <c r="J14" s="255">
        <f t="shared" si="4"/>
        <v>9.5866181370469068</v>
      </c>
      <c r="K14" s="256">
        <f t="shared" si="5"/>
        <v>99.748875006131087</v>
      </c>
      <c r="L14" s="256">
        <f t="shared" si="11"/>
        <v>16.958059999999993</v>
      </c>
      <c r="M14" s="256">
        <f>+L14/'Capacity Delivered'!P15*1000</f>
        <v>5.2747999950232023</v>
      </c>
      <c r="N14" s="257">
        <f t="shared" si="0"/>
        <v>5.274799995023202E-3</v>
      </c>
      <c r="P14" s="171">
        <f t="shared" si="6"/>
        <v>15.364060537600066</v>
      </c>
      <c r="Q14" s="171">
        <f t="shared" si="1"/>
        <v>0</v>
      </c>
      <c r="R14" s="171">
        <f t="shared" si="2"/>
        <v>8.6855089207399576</v>
      </c>
      <c r="S14" s="171">
        <f t="shared" ref="S14:S20" si="12">S13+R14</f>
        <v>82.261827326002802</v>
      </c>
      <c r="T14" s="300">
        <f t="shared" si="8"/>
        <v>13.985130192378115</v>
      </c>
      <c r="U14" s="256">
        <f>+T14/'Capacity Delivered'!L14*1000</f>
        <v>1.5921140929392208</v>
      </c>
      <c r="V14" s="257">
        <f t="shared" si="3"/>
        <v>1.5921140929392207E-3</v>
      </c>
      <c r="X14" s="258">
        <f t="shared" si="9"/>
        <v>6.8669140879624226</v>
      </c>
      <c r="Y14" s="259">
        <f t="shared" si="10"/>
        <v>6.8669140879624229E-3</v>
      </c>
    </row>
    <row r="15" spans="1:25" s="44" customFormat="1" ht="15.6" x14ac:dyDescent="0.3">
      <c r="B15" s="169"/>
      <c r="C15" s="163"/>
      <c r="D15" s="163"/>
      <c r="E15" s="51"/>
      <c r="F15" s="254"/>
      <c r="G15" s="170">
        <f>'Baseload Avoided Capacity Calcs'!G15</f>
        <v>2029</v>
      </c>
      <c r="H15" s="37">
        <v>9</v>
      </c>
      <c r="I15" s="171">
        <f>'Capacity Delivered'!H15</f>
        <v>16.95806</v>
      </c>
      <c r="J15" s="255">
        <f t="shared" si="4"/>
        <v>8.9269188351307438</v>
      </c>
      <c r="K15" s="256">
        <f t="shared" si="5"/>
        <v>108.67579384126184</v>
      </c>
      <c r="L15" s="256">
        <f t="shared" si="11"/>
        <v>16.958059999999996</v>
      </c>
      <c r="M15" s="256">
        <f>+L15/'Capacity Delivered'!P16*1000</f>
        <v>5.2747999950232032</v>
      </c>
      <c r="N15" s="257">
        <f t="shared" si="0"/>
        <v>5.2747999950232029E-3</v>
      </c>
      <c r="P15" s="171">
        <f t="shared" si="6"/>
        <v>15.748162051040067</v>
      </c>
      <c r="Q15" s="171">
        <f t="shared" si="1"/>
        <v>0</v>
      </c>
      <c r="R15" s="171">
        <f t="shared" si="2"/>
        <v>8.2900145672394601</v>
      </c>
      <c r="S15" s="171">
        <f t="shared" si="12"/>
        <v>90.551841893242255</v>
      </c>
      <c r="T15" s="300">
        <f t="shared" si="8"/>
        <v>14.129950319747172</v>
      </c>
      <c r="U15" s="256">
        <f>+T15/'Capacity Delivered'!L15*1000</f>
        <v>1.6130080273683984</v>
      </c>
      <c r="V15" s="257">
        <f t="shared" si="3"/>
        <v>1.6130080273683985E-3</v>
      </c>
      <c r="X15" s="258">
        <f t="shared" si="9"/>
        <v>6.8878080223916012</v>
      </c>
      <c r="Y15" s="259">
        <f t="shared" si="10"/>
        <v>6.8878080223916012E-3</v>
      </c>
    </row>
    <row r="16" spans="1:25" s="44" customFormat="1" ht="15.6" x14ac:dyDescent="0.3">
      <c r="B16" s="169"/>
      <c r="C16" s="163"/>
      <c r="D16" s="163"/>
      <c r="E16" s="51"/>
      <c r="F16" s="254"/>
      <c r="G16" s="170">
        <f>'Baseload Avoided Capacity Calcs'!G16</f>
        <v>2030</v>
      </c>
      <c r="H16" s="37">
        <v>10</v>
      </c>
      <c r="I16" s="171">
        <f>'Capacity Delivered'!H16</f>
        <v>16.95806</v>
      </c>
      <c r="J16" s="255">
        <f t="shared" si="4"/>
        <v>8.3126164774473832</v>
      </c>
      <c r="K16" s="256">
        <f t="shared" si="5"/>
        <v>116.98841031870921</v>
      </c>
      <c r="L16" s="256">
        <f t="shared" si="11"/>
        <v>16.958059999999996</v>
      </c>
      <c r="M16" s="256">
        <f>+L16/'Capacity Delivered'!P17*1000</f>
        <v>5.2747999950232032</v>
      </c>
      <c r="N16" s="257">
        <f t="shared" si="0"/>
        <v>5.2747999950232029E-3</v>
      </c>
      <c r="O16" s="265"/>
      <c r="P16" s="171">
        <f t="shared" si="6"/>
        <v>16.141866102316069</v>
      </c>
      <c r="Q16" s="171">
        <f t="shared" si="1"/>
        <v>0</v>
      </c>
      <c r="R16" s="171">
        <f t="shared" si="2"/>
        <v>7.9125290356834403</v>
      </c>
      <c r="S16" s="171">
        <f t="shared" si="12"/>
        <v>98.464370928925689</v>
      </c>
      <c r="T16" s="300">
        <f t="shared" si="8"/>
        <v>14.272907081360197</v>
      </c>
      <c r="U16" s="256">
        <f>+T16/'Capacity Delivered'!L16*1000</f>
        <v>1.6293272923927165</v>
      </c>
      <c r="V16" s="257">
        <f t="shared" si="3"/>
        <v>1.6293272923927165E-3</v>
      </c>
      <c r="W16" s="265"/>
      <c r="X16" s="258">
        <f t="shared" si="9"/>
        <v>6.9041272874159194</v>
      </c>
      <c r="Y16" s="259">
        <f t="shared" si="10"/>
        <v>6.9041272874159195E-3</v>
      </c>
    </row>
    <row r="17" spans="1:25" s="44" customFormat="1" ht="15.6" x14ac:dyDescent="0.3">
      <c r="B17" s="169"/>
      <c r="C17" s="163"/>
      <c r="D17" s="163"/>
      <c r="E17" s="51"/>
      <c r="F17" s="254"/>
      <c r="G17" s="170">
        <f>'Baseload Avoided Capacity Calcs'!G17</f>
        <v>2031</v>
      </c>
      <c r="H17" s="37">
        <v>11</v>
      </c>
      <c r="I17" s="171">
        <f>'Capacity Delivered'!H17</f>
        <v>16.95806</v>
      </c>
      <c r="J17" s="255">
        <f t="shared" si="4"/>
        <v>7.7405870913934089</v>
      </c>
      <c r="K17" s="256">
        <f t="shared" si="5"/>
        <v>124.72899741010262</v>
      </c>
      <c r="L17" s="256">
        <f t="shared" si="11"/>
        <v>16.958059999999993</v>
      </c>
      <c r="M17" s="256">
        <f>+L17/'Capacity Delivered'!P18*1000</f>
        <v>5.2603879731788759</v>
      </c>
      <c r="N17" s="257">
        <f t="shared" si="0"/>
        <v>5.2603879731788761E-3</v>
      </c>
      <c r="P17" s="171">
        <f t="shared" si="6"/>
        <v>16.545412754873972</v>
      </c>
      <c r="Q17" s="171">
        <f t="shared" si="1"/>
        <v>0</v>
      </c>
      <c r="R17" s="171">
        <f t="shared" si="2"/>
        <v>7.5522322949767444</v>
      </c>
      <c r="S17" s="171">
        <f t="shared" si="12"/>
        <v>106.01660322390244</v>
      </c>
      <c r="T17" s="300">
        <f t="shared" si="8"/>
        <v>14.413937061932254</v>
      </c>
      <c r="U17" s="256">
        <f>+T17/'Capacity Delivered'!L17*1000</f>
        <v>1.6454266052434079</v>
      </c>
      <c r="V17" s="257">
        <f t="shared" si="3"/>
        <v>1.6454266052434079E-3</v>
      </c>
      <c r="X17" s="258">
        <f t="shared" si="9"/>
        <v>6.9058145784222837</v>
      </c>
      <c r="Y17" s="259">
        <f t="shared" si="10"/>
        <v>6.9058145784222837E-3</v>
      </c>
    </row>
    <row r="18" spans="1:25" s="44" customFormat="1" x14ac:dyDescent="0.25">
      <c r="B18" s="264"/>
      <c r="C18" s="264"/>
      <c r="D18" s="264"/>
      <c r="E18" s="264"/>
      <c r="F18" s="254"/>
      <c r="G18" s="170">
        <f>'Baseload Avoided Capacity Calcs'!G18</f>
        <v>2032</v>
      </c>
      <c r="H18" s="37">
        <v>12</v>
      </c>
      <c r="I18" s="171">
        <f>'Capacity Delivered'!H18</f>
        <v>16.95806</v>
      </c>
      <c r="J18" s="255">
        <f t="shared" si="4"/>
        <v>7.2079216792936105</v>
      </c>
      <c r="K18" s="256">
        <f t="shared" si="5"/>
        <v>131.93691908939624</v>
      </c>
      <c r="L18" s="256">
        <f t="shared" si="11"/>
        <v>16.958059999999993</v>
      </c>
      <c r="M18" s="256">
        <f>+L18/'Capacity Delivered'!P19*1000</f>
        <v>5.2747999950232023</v>
      </c>
      <c r="N18" s="257">
        <f t="shared" si="0"/>
        <v>5.274799995023202E-3</v>
      </c>
      <c r="P18" s="171">
        <f t="shared" si="6"/>
        <v>16.959048073745823</v>
      </c>
      <c r="Q18" s="171">
        <f t="shared" si="1"/>
        <v>0</v>
      </c>
      <c r="R18" s="171">
        <f t="shared" si="2"/>
        <v>7.2083416541122673</v>
      </c>
      <c r="S18" s="171">
        <f t="shared" si="12"/>
        <v>113.2249448780147</v>
      </c>
      <c r="T18" s="300">
        <f t="shared" si="8"/>
        <v>14.552980484841271</v>
      </c>
      <c r="U18" s="256">
        <f>+T18/'Capacity Delivered'!L18*1000</f>
        <v>1.6567600734108914</v>
      </c>
      <c r="V18" s="257">
        <f t="shared" si="3"/>
        <v>1.6567600734108915E-3</v>
      </c>
      <c r="X18" s="258">
        <f t="shared" si="9"/>
        <v>6.9315600684340932</v>
      </c>
      <c r="Y18" s="259">
        <f t="shared" si="10"/>
        <v>6.9315600684340933E-3</v>
      </c>
    </row>
    <row r="19" spans="1:25" s="44" customFormat="1" x14ac:dyDescent="0.25">
      <c r="B19" s="264"/>
      <c r="C19" s="264"/>
      <c r="D19" s="264"/>
      <c r="E19" s="264"/>
      <c r="F19" s="188"/>
      <c r="G19" s="170">
        <f>'Baseload Avoided Capacity Calcs'!G19</f>
        <v>2033</v>
      </c>
      <c r="H19" s="37">
        <v>13</v>
      </c>
      <c r="I19" s="171">
        <f>'Capacity Delivered'!H19</f>
        <v>16.95806</v>
      </c>
      <c r="J19" s="255">
        <f t="shared" si="4"/>
        <v>6.7119114249870648</v>
      </c>
      <c r="K19" s="256">
        <f t="shared" si="5"/>
        <v>138.64883051438329</v>
      </c>
      <c r="L19" s="256">
        <f t="shared" si="11"/>
        <v>16.958059999999993</v>
      </c>
      <c r="M19" s="256">
        <f>+L19/'Capacity Delivered'!P20*1000</f>
        <v>5.2747999950232023</v>
      </c>
      <c r="N19" s="257">
        <f t="shared" si="0"/>
        <v>5.274799995023202E-3</v>
      </c>
      <c r="P19" s="171">
        <f t="shared" si="6"/>
        <v>17.38302427558947</v>
      </c>
      <c r="Q19" s="171">
        <f t="shared" si="1"/>
        <v>0</v>
      </c>
      <c r="R19" s="171">
        <f t="shared" si="2"/>
        <v>6.8801100618913047</v>
      </c>
      <c r="S19" s="171">
        <f t="shared" si="12"/>
        <v>120.105054939906</v>
      </c>
      <c r="T19" s="300">
        <f t="shared" si="8"/>
        <v>14.689981303253267</v>
      </c>
      <c r="U19" s="256">
        <f>+T19/'Capacity Delivered'!L19*1000</f>
        <v>1.6769385049375876</v>
      </c>
      <c r="V19" s="257">
        <f t="shared" si="3"/>
        <v>1.6769385049375876E-3</v>
      </c>
      <c r="X19" s="258">
        <f t="shared" si="9"/>
        <v>6.9517384999607899</v>
      </c>
      <c r="Y19" s="259">
        <f t="shared" si="10"/>
        <v>6.9517384999607896E-3</v>
      </c>
    </row>
    <row r="20" spans="1:25" s="44" customFormat="1" x14ac:dyDescent="0.25">
      <c r="B20" s="264"/>
      <c r="C20" s="264"/>
      <c r="D20" s="264"/>
      <c r="E20" s="264"/>
      <c r="F20" s="188"/>
      <c r="G20" s="170">
        <f>'Baseload Avoided Capacity Calcs'!G20</f>
        <v>2034</v>
      </c>
      <c r="H20" s="37">
        <v>14</v>
      </c>
      <c r="I20" s="171">
        <f>'Capacity Delivered'!H20</f>
        <v>16.95806</v>
      </c>
      <c r="J20" s="255">
        <f t="shared" si="4"/>
        <v>6.2500339184161149</v>
      </c>
      <c r="K20" s="256">
        <f t="shared" si="5"/>
        <v>144.8988644327994</v>
      </c>
      <c r="L20" s="256">
        <f t="shared" si="11"/>
        <v>16.958059999999993</v>
      </c>
      <c r="M20" s="256">
        <f>+L20/'Capacity Delivered'!P21*1000</f>
        <v>5.2747999950232023</v>
      </c>
      <c r="N20" s="257">
        <f t="shared" si="0"/>
        <v>5.274799995023202E-3</v>
      </c>
      <c r="P20" s="171">
        <f t="shared" si="6"/>
        <v>17.817599882479207</v>
      </c>
      <c r="Q20" s="171">
        <f t="shared" si="1"/>
        <v>0</v>
      </c>
      <c r="R20" s="171">
        <f t="shared" si="2"/>
        <v>6.5668244840661041</v>
      </c>
      <c r="S20" s="171">
        <f t="shared" si="12"/>
        <v>126.6718794239721</v>
      </c>
      <c r="T20" s="300">
        <f t="shared" si="8"/>
        <v>14.824887275639933</v>
      </c>
      <c r="U20" s="256">
        <f>+T20/'Capacity Delivered'!L20*1000</f>
        <v>1.6923387300958828</v>
      </c>
      <c r="V20" s="257">
        <f t="shared" si="3"/>
        <v>1.6923387300958827E-3</v>
      </c>
      <c r="X20" s="258">
        <f t="shared" si="9"/>
        <v>6.9671387251190851</v>
      </c>
      <c r="Y20" s="259">
        <f t="shared" si="10"/>
        <v>6.9671387251190849E-3</v>
      </c>
    </row>
    <row r="21" spans="1:25" s="265" customFormat="1" x14ac:dyDescent="0.25">
      <c r="B21" s="264"/>
      <c r="C21" s="264"/>
      <c r="D21" s="264"/>
      <c r="E21" s="264"/>
      <c r="F21" s="188"/>
      <c r="G21" s="170">
        <f>'Baseload Avoided Capacity Calcs'!G21</f>
        <v>2035</v>
      </c>
      <c r="H21" s="37">
        <v>15</v>
      </c>
      <c r="I21" s="171">
        <f>'Capacity Delivered'!H21</f>
        <v>16.95806</v>
      </c>
      <c r="J21" s="255">
        <f t="shared" si="4"/>
        <v>5.8199403281647397</v>
      </c>
      <c r="K21" s="256">
        <f>K20+J21</f>
        <v>150.71880476096413</v>
      </c>
      <c r="L21" s="256">
        <f t="shared" si="11"/>
        <v>16.958059999999989</v>
      </c>
      <c r="M21" s="256">
        <f>+L21/'Capacity Delivered'!P22*1000</f>
        <v>5.260387973178875</v>
      </c>
      <c r="N21" s="257">
        <f>M21/1000</f>
        <v>5.2603879731788752E-3</v>
      </c>
      <c r="P21" s="171">
        <f t="shared" si="6"/>
        <v>18.263039879541189</v>
      </c>
      <c r="Q21" s="171">
        <f t="shared" si="1"/>
        <v>0</v>
      </c>
      <c r="R21" s="171">
        <f t="shared" si="2"/>
        <v>6.2678043543791384</v>
      </c>
      <c r="S21" s="171">
        <f>S20+R21</f>
        <v>132.93968377835125</v>
      </c>
      <c r="T21" s="300">
        <f t="shared" si="8"/>
        <v>14.957650025620365</v>
      </c>
      <c r="U21" s="256">
        <f>+T21/'Capacity Delivered'!L21*1000</f>
        <v>1.7074942951621424</v>
      </c>
      <c r="V21" s="257">
        <f>U21/1000</f>
        <v>1.7074942951621423E-3</v>
      </c>
      <c r="X21" s="258">
        <f>M21+U21</f>
        <v>6.9678822683410173</v>
      </c>
      <c r="Y21" s="259">
        <f>X21/1000</f>
        <v>6.9678822683410177E-3</v>
      </c>
    </row>
    <row r="22" spans="1:25" s="44" customFormat="1" x14ac:dyDescent="0.25">
      <c r="B22" s="264"/>
      <c r="C22" s="264"/>
      <c r="D22" s="264"/>
      <c r="E22" s="264"/>
      <c r="F22" s="188"/>
      <c r="G22" s="170">
        <f>'Baseload Avoided Capacity Calcs'!G22</f>
        <v>2036</v>
      </c>
      <c r="H22" s="37">
        <v>16</v>
      </c>
      <c r="I22" s="171">
        <f>'Capacity Delivered'!H22</f>
        <v>16.95806</v>
      </c>
      <c r="J22" s="255">
        <f t="shared" si="4"/>
        <v>5.4194434567136041</v>
      </c>
      <c r="K22" s="256">
        <f t="shared" si="5"/>
        <v>156.13824821767773</v>
      </c>
      <c r="L22" s="256">
        <f t="shared" si="11"/>
        <v>16.958059999999989</v>
      </c>
      <c r="M22" s="256">
        <f>+L22/'Capacity Delivered'!P23*1000</f>
        <v>5.2747999950232014</v>
      </c>
      <c r="N22" s="257">
        <f t="shared" si="0"/>
        <v>5.2747999950232011E-3</v>
      </c>
      <c r="P22" s="171">
        <f t="shared" si="6"/>
        <v>18.719615876529719</v>
      </c>
      <c r="Q22" s="171">
        <f t="shared" si="1"/>
        <v>0</v>
      </c>
      <c r="R22" s="171">
        <f t="shared" si="2"/>
        <v>5.9824000961342918</v>
      </c>
      <c r="S22" s="171">
        <f t="shared" ref="S22:S27" si="13">S21+R22</f>
        <v>138.92208387448554</v>
      </c>
      <c r="T22" s="300">
        <f t="shared" si="8"/>
        <v>15.0882250861697</v>
      </c>
      <c r="U22" s="256">
        <f>+T22/'Capacity Delivered'!L22*1000</f>
        <v>1.7176941127242373</v>
      </c>
      <c r="V22" s="257">
        <f t="shared" ref="V22:V27" si="14">U22/1000</f>
        <v>1.7176941127242374E-3</v>
      </c>
      <c r="X22" s="258">
        <f t="shared" si="9"/>
        <v>6.9924941077474383</v>
      </c>
      <c r="Y22" s="259">
        <f t="shared" ref="Y22:Y27" si="15">X22/1000</f>
        <v>6.9924941077474387E-3</v>
      </c>
    </row>
    <row r="23" spans="1:25" s="44" customFormat="1" x14ac:dyDescent="0.25">
      <c r="B23" s="264"/>
      <c r="C23" s="264"/>
      <c r="D23" s="264"/>
      <c r="E23" s="264"/>
      <c r="F23" s="188"/>
      <c r="G23" s="170">
        <f>'Baseload Avoided Capacity Calcs'!G23</f>
        <v>2037</v>
      </c>
      <c r="H23" s="37">
        <v>17</v>
      </c>
      <c r="I23" s="171">
        <f>'Capacity Delivered'!H23</f>
        <v>16.95806</v>
      </c>
      <c r="J23" s="255">
        <f t="shared" si="4"/>
        <v>5.0465066176679425</v>
      </c>
      <c r="K23" s="256">
        <f t="shared" si="5"/>
        <v>161.18475483534567</v>
      </c>
      <c r="L23" s="256">
        <f t="shared" si="11"/>
        <v>16.958059999999989</v>
      </c>
      <c r="M23" s="256">
        <f>+L23/'Capacity Delivered'!P24*1000</f>
        <v>5.2747999950232014</v>
      </c>
      <c r="N23" s="257">
        <f t="shared" si="0"/>
        <v>5.2747999950232011E-3</v>
      </c>
      <c r="P23" s="171">
        <f t="shared" si="6"/>
        <v>19.187606273442963</v>
      </c>
      <c r="Q23" s="171">
        <f t="shared" si="1"/>
        <v>0</v>
      </c>
      <c r="R23" s="171">
        <f t="shared" si="2"/>
        <v>5.7099917110882288</v>
      </c>
      <c r="S23" s="171">
        <f t="shared" si="13"/>
        <v>144.63207558557377</v>
      </c>
      <c r="T23" s="300">
        <f t="shared" si="8"/>
        <v>15.21657192834501</v>
      </c>
      <c r="U23" s="256">
        <f>+T23/'Capacity Delivered'!L23*1000</f>
        <v>1.7370515899937227</v>
      </c>
      <c r="V23" s="257">
        <f t="shared" si="14"/>
        <v>1.7370515899937226E-3</v>
      </c>
      <c r="X23" s="258">
        <f t="shared" si="9"/>
        <v>7.0118515850169238</v>
      </c>
      <c r="Y23" s="259">
        <f t="shared" si="15"/>
        <v>7.0118515850169242E-3</v>
      </c>
    </row>
    <row r="24" spans="1:25" x14ac:dyDescent="0.25">
      <c r="B24" s="172"/>
      <c r="C24" s="172"/>
      <c r="D24" s="172"/>
      <c r="E24" s="172"/>
      <c r="F24" s="52"/>
      <c r="G24" s="170">
        <f>'Baseload Avoided Capacity Calcs'!G24</f>
        <v>2038</v>
      </c>
      <c r="H24" s="39">
        <v>18</v>
      </c>
      <c r="I24" s="171">
        <f>'Capacity Delivered'!H24</f>
        <v>16.95806</v>
      </c>
      <c r="J24" s="40">
        <f t="shared" si="4"/>
        <v>4.6992332783945825</v>
      </c>
      <c r="K24" s="41">
        <f t="shared" si="5"/>
        <v>165.88398811374026</v>
      </c>
      <c r="L24" s="256">
        <f t="shared" si="11"/>
        <v>16.958059999999989</v>
      </c>
      <c r="M24" s="41">
        <f>+L24/'Capacity Delivered'!P25*1000</f>
        <v>5.2747999950232014</v>
      </c>
      <c r="N24" s="235">
        <f t="shared" si="0"/>
        <v>5.2747999950232011E-3</v>
      </c>
      <c r="P24" s="171">
        <f t="shared" si="6"/>
        <v>19.667296430279038</v>
      </c>
      <c r="Q24" s="171">
        <f t="shared" si="1"/>
        <v>0</v>
      </c>
      <c r="R24" s="171">
        <f t="shared" si="2"/>
        <v>5.4499874325965489</v>
      </c>
      <c r="S24" s="171">
        <f t="shared" si="13"/>
        <v>150.08206301817032</v>
      </c>
      <c r="T24" s="300">
        <f t="shared" si="8"/>
        <v>15.342653974781667</v>
      </c>
      <c r="U24" s="41">
        <f>+T24/'Capacity Delivered'!L24*1000</f>
        <v>1.7514445176691402</v>
      </c>
      <c r="V24" s="235">
        <f t="shared" si="14"/>
        <v>1.7514445176691402E-3</v>
      </c>
      <c r="X24" s="242">
        <f t="shared" si="9"/>
        <v>7.0262445126923421</v>
      </c>
      <c r="Y24" s="243">
        <f t="shared" si="15"/>
        <v>7.0262445126923418E-3</v>
      </c>
    </row>
    <row r="25" spans="1:25" x14ac:dyDescent="0.25">
      <c r="B25" s="172"/>
      <c r="C25" s="172"/>
      <c r="D25" s="172"/>
      <c r="E25" s="172"/>
      <c r="F25" s="52"/>
      <c r="G25" s="170">
        <f>'Baseload Avoided Capacity Calcs'!G25</f>
        <v>2039</v>
      </c>
      <c r="H25" s="39">
        <v>19</v>
      </c>
      <c r="I25" s="171">
        <f>'Capacity Delivered'!H25</f>
        <v>16.95806</v>
      </c>
      <c r="J25" s="40">
        <f t="shared" si="4"/>
        <v>4.3758574153967622</v>
      </c>
      <c r="K25" s="41">
        <f t="shared" si="5"/>
        <v>170.25984552913701</v>
      </c>
      <c r="L25" s="256">
        <f t="shared" si="11"/>
        <v>16.958059999999989</v>
      </c>
      <c r="M25" s="41">
        <f>+L25/'Capacity Delivered'!P26*1000</f>
        <v>5.260387973178875</v>
      </c>
      <c r="N25" s="235">
        <f t="shared" si="0"/>
        <v>5.2603879731788752E-3</v>
      </c>
      <c r="P25" s="171">
        <f t="shared" si="6"/>
        <v>20.158978841036014</v>
      </c>
      <c r="Q25" s="171">
        <f t="shared" si="1"/>
        <v>0</v>
      </c>
      <c r="R25" s="171">
        <f t="shared" si="2"/>
        <v>5.2018224400888942</v>
      </c>
      <c r="S25" s="171">
        <f t="shared" si="13"/>
        <v>155.28388545825922</v>
      </c>
      <c r="T25" s="300">
        <f t="shared" si="8"/>
        <v>15.466438598310837</v>
      </c>
      <c r="U25" s="41">
        <f>+T25/'Capacity Delivered'!L25*1000</f>
        <v>1.765575182455575</v>
      </c>
      <c r="V25" s="235">
        <f t="shared" si="14"/>
        <v>1.7655751824555751E-3</v>
      </c>
      <c r="X25" s="242">
        <f t="shared" si="9"/>
        <v>7.0259631556344502</v>
      </c>
      <c r="Y25" s="243">
        <f t="shared" si="15"/>
        <v>7.0259631556344503E-3</v>
      </c>
    </row>
    <row r="26" spans="1:25" x14ac:dyDescent="0.25">
      <c r="B26" s="172"/>
      <c r="C26" s="172"/>
      <c r="D26" s="172"/>
      <c r="E26" s="172"/>
      <c r="F26" s="52"/>
      <c r="G26" s="170">
        <f>'Baseload Avoided Capacity Calcs'!G26</f>
        <v>2040</v>
      </c>
      <c r="H26" s="39">
        <v>20</v>
      </c>
      <c r="I26" s="171">
        <f>'Capacity Delivered'!H26</f>
        <v>16.95806</v>
      </c>
      <c r="J26" s="40">
        <f t="shared" si="4"/>
        <v>4.0747345333799814</v>
      </c>
      <c r="K26" s="41">
        <f t="shared" si="5"/>
        <v>174.33458006251698</v>
      </c>
      <c r="L26" s="256">
        <f t="shared" si="11"/>
        <v>16.958059999999989</v>
      </c>
      <c r="M26" s="41">
        <f>+L26/'Capacity Delivered'!P27*1000</f>
        <v>5.2747999950232014</v>
      </c>
      <c r="N26" s="235">
        <f t="shared" si="0"/>
        <v>5.2747999950232011E-3</v>
      </c>
      <c r="P26" s="171">
        <f t="shared" si="6"/>
        <v>20.662953312061912</v>
      </c>
      <c r="Q26" s="171">
        <f t="shared" si="1"/>
        <v>0</v>
      </c>
      <c r="R26" s="171">
        <f t="shared" si="2"/>
        <v>4.9649576320803757</v>
      </c>
      <c r="S26" s="171">
        <f t="shared" si="13"/>
        <v>160.24884309033959</v>
      </c>
      <c r="T26" s="300">
        <f t="shared" si="8"/>
        <v>15.58789710613955</v>
      </c>
      <c r="U26" s="41">
        <f>+T26/'Capacity Delivered'!L26*1000</f>
        <v>1.774578450152499</v>
      </c>
      <c r="V26" s="235">
        <f t="shared" si="14"/>
        <v>1.774578450152499E-3</v>
      </c>
      <c r="X26" s="242">
        <f t="shared" si="9"/>
        <v>7.0493784451757007</v>
      </c>
      <c r="Y26" s="243">
        <f t="shared" si="15"/>
        <v>7.0493784451757004E-3</v>
      </c>
    </row>
    <row r="27" spans="1:25" s="44" customFormat="1" ht="15.6" thickBot="1" x14ac:dyDescent="0.3">
      <c r="G27" s="170">
        <f>'Baseload Avoided Capacity Calcs'!G27</f>
        <v>2041</v>
      </c>
      <c r="H27" s="37">
        <v>21</v>
      </c>
      <c r="I27" s="171">
        <f>'Capacity Delivered'!H27</f>
        <v>16.95806</v>
      </c>
      <c r="J27" s="40">
        <f t="shared" si="4"/>
        <v>3.794333302337257</v>
      </c>
      <c r="K27" s="41">
        <f t="shared" si="5"/>
        <v>178.12891336485424</v>
      </c>
      <c r="L27" s="256">
        <f>(-PMT($E$8,H27,(K27)))</f>
        <v>16.958059999999985</v>
      </c>
      <c r="M27" s="41">
        <f>+L27/'Capacity Delivered'!P28*1000</f>
        <v>5.2747999950231996</v>
      </c>
      <c r="N27" s="235">
        <f t="shared" si="0"/>
        <v>5.2747999950231994E-3</v>
      </c>
      <c r="P27" s="171">
        <f t="shared" si="6"/>
        <v>21.17952714486346</v>
      </c>
      <c r="Q27" s="171">
        <f t="shared" si="1"/>
        <v>0</v>
      </c>
      <c r="R27" s="171">
        <f t="shared" si="2"/>
        <v>4.7388784550539009</v>
      </c>
      <c r="S27" s="171">
        <f t="shared" si="13"/>
        <v>164.9877215453935</v>
      </c>
      <c r="T27" s="300">
        <f t="shared" si="8"/>
        <v>15.7070047101186</v>
      </c>
      <c r="U27" s="41">
        <f>+T27/'Capacity Delivered'!L27*1000</f>
        <v>1.793037067365137</v>
      </c>
      <c r="V27" s="235">
        <f t="shared" si="14"/>
        <v>1.7930370673651371E-3</v>
      </c>
      <c r="X27" s="244">
        <f t="shared" si="9"/>
        <v>7.0678370623883371</v>
      </c>
      <c r="Y27" s="245">
        <f t="shared" si="15"/>
        <v>7.0678370623883371E-3</v>
      </c>
    </row>
    <row r="28" spans="1:25" s="44" customFormat="1" x14ac:dyDescent="0.25">
      <c r="C28" s="21"/>
      <c r="D28" s="21"/>
      <c r="G28" s="38"/>
      <c r="H28" s="37"/>
      <c r="I28" s="174"/>
      <c r="J28" s="55"/>
      <c r="K28" s="56"/>
      <c r="L28" s="48"/>
      <c r="M28" s="48"/>
      <c r="N28" s="48"/>
      <c r="P28" s="175"/>
      <c r="Q28" s="54"/>
      <c r="R28" s="55"/>
      <c r="S28" s="56"/>
      <c r="T28" s="48"/>
      <c r="U28" s="48"/>
      <c r="V28" s="48"/>
      <c r="X28" s="48"/>
      <c r="Y28" s="48"/>
    </row>
    <row r="29" spans="1:25" x14ac:dyDescent="0.25">
      <c r="B29" s="31"/>
      <c r="C29" s="21"/>
      <c r="D29" s="21"/>
      <c r="E29" s="44"/>
      <c r="F29" s="44"/>
      <c r="G29" s="31"/>
      <c r="H29" s="37"/>
      <c r="I29" s="174"/>
      <c r="J29" s="31"/>
      <c r="K29" s="31"/>
      <c r="L29" s="31"/>
      <c r="M29" s="31"/>
      <c r="N29" s="31"/>
      <c r="P29" s="175"/>
      <c r="Q29" s="54"/>
      <c r="R29" s="31"/>
      <c r="S29" s="31"/>
      <c r="T29" s="31"/>
      <c r="U29" s="31"/>
      <c r="V29" s="31"/>
      <c r="X29" s="31"/>
      <c r="Y29" s="31"/>
    </row>
    <row r="30" spans="1:25" s="44" customFormat="1" ht="113.4" customHeight="1" x14ac:dyDescent="0.25">
      <c r="A30" s="307" t="str">
        <f>+D6</f>
        <v>[4]</v>
      </c>
      <c r="B30" s="359" t="s">
        <v>132</v>
      </c>
      <c r="C30" s="359"/>
      <c r="D30" s="359"/>
      <c r="E30" s="359"/>
      <c r="F30" s="359"/>
      <c r="G30" s="359"/>
      <c r="H30" s="359"/>
      <c r="I30" s="359"/>
      <c r="J30" s="359"/>
      <c r="K30" s="359"/>
      <c r="L30" s="359"/>
      <c r="M30" s="359"/>
      <c r="N30" s="359"/>
      <c r="R30" s="233"/>
      <c r="S30" s="233"/>
    </row>
  </sheetData>
  <customSheetViews>
    <customSheetView guid="{78103E26-15C6-4D37-9879-762EF0B43905}" fitToPage="1">
      <selection activeCell="E9" sqref="E9"/>
      <pageMargins left="0.75" right="0.5" top="0.76" bottom="0.79" header="0.5" footer="0.26"/>
      <pageSetup scale="64" orientation="landscape" r:id="rId1"/>
      <headerFooter alignWithMargins="0">
        <oddFooter>&amp;L&amp;F&amp;C&amp;A&amp;RPSE Advice No. 2018-48 &amp;D
Page &amp;P of &amp;N</oddFooter>
      </headerFooter>
    </customSheetView>
  </customSheetViews>
  <mergeCells count="1">
    <mergeCell ref="B30:N30"/>
  </mergeCells>
  <pageMargins left="0.75" right="0.5" top="0.76" bottom="0.79" header="0.5" footer="0.26"/>
  <pageSetup scale="64" orientation="landscape" r:id="rId2"/>
  <headerFooter alignWithMargins="0">
    <oddFooter>&amp;L&amp;F&amp;C&amp;A&amp;RPSE Advice No. 2018-48 &amp;D
Page &amp;P of &amp;N</oddFooter>
  </headerFooter>
  <drawing r:id="rId3"/>
  <legacyDrawing r:id="rId4"/>
  <controls>
    <mc:AlternateContent xmlns:mc="http://schemas.openxmlformats.org/markup-compatibility/2006">
      <mc:Choice Requires="x14">
        <control shapeId="27649" r:id="rId5" name="Control 1">
          <controlPr defaultSize="0" r:id="rId6">
            <anchor moveWithCells="1">
              <from>
                <xdr:col>7</xdr:col>
                <xdr:colOff>556260</xdr:colOff>
                <xdr:row>2</xdr:row>
                <xdr:rowOff>30480</xdr:rowOff>
              </from>
              <to>
                <xdr:col>7</xdr:col>
                <xdr:colOff>777240</xdr:colOff>
                <xdr:row>3</xdr:row>
                <xdr:rowOff>53340</xdr:rowOff>
              </to>
            </anchor>
          </controlPr>
        </control>
      </mc:Choice>
      <mc:Fallback>
        <control shapeId="27649" r:id="rId5" name="Control 1"/>
      </mc:Fallback>
    </mc:AlternateContent>
    <mc:AlternateContent xmlns:mc="http://schemas.openxmlformats.org/markup-compatibility/2006">
      <mc:Choice Requires="x14">
        <control shapeId="27650" r:id="rId7" name="Control 2">
          <controlPr defaultSize="0" r:id="rId8">
            <anchor moveWithCells="1">
              <from>
                <xdr:col>7</xdr:col>
                <xdr:colOff>556260</xdr:colOff>
                <xdr:row>2</xdr:row>
                <xdr:rowOff>30480</xdr:rowOff>
              </from>
              <to>
                <xdr:col>8</xdr:col>
                <xdr:colOff>152400</xdr:colOff>
                <xdr:row>3</xdr:row>
                <xdr:rowOff>53340</xdr:rowOff>
              </to>
            </anchor>
          </controlPr>
        </control>
      </mc:Choice>
      <mc:Fallback>
        <control shapeId="27650" r:id="rId7" name="Control 2"/>
      </mc:Fallback>
    </mc:AlternateContent>
    <mc:AlternateContent xmlns:mc="http://schemas.openxmlformats.org/markup-compatibility/2006">
      <mc:Choice Requires="x14">
        <control shapeId="27651" r:id="rId9" name="Control 3">
          <controlPr defaultSize="0" r:id="rId10">
            <anchor moveWithCells="1">
              <from>
                <xdr:col>7</xdr:col>
                <xdr:colOff>556260</xdr:colOff>
                <xdr:row>2</xdr:row>
                <xdr:rowOff>30480</xdr:rowOff>
              </from>
              <to>
                <xdr:col>8</xdr:col>
                <xdr:colOff>152400</xdr:colOff>
                <xdr:row>3</xdr:row>
                <xdr:rowOff>53340</xdr:rowOff>
              </to>
            </anchor>
          </controlPr>
        </control>
      </mc:Choice>
      <mc:Fallback>
        <control shapeId="27651" r:id="rId9" name="Control 3"/>
      </mc:Fallback>
    </mc:AlternateContent>
    <mc:AlternateContent xmlns:mc="http://schemas.openxmlformats.org/markup-compatibility/2006">
      <mc:Choice Requires="x14">
        <control shapeId="27652" r:id="rId11" name="Control 4">
          <controlPr defaultSize="0" r:id="rId12">
            <anchor moveWithCells="1">
              <from>
                <xdr:col>7</xdr:col>
                <xdr:colOff>556260</xdr:colOff>
                <xdr:row>2</xdr:row>
                <xdr:rowOff>30480</xdr:rowOff>
              </from>
              <to>
                <xdr:col>8</xdr:col>
                <xdr:colOff>175260</xdr:colOff>
                <xdr:row>3</xdr:row>
                <xdr:rowOff>137160</xdr:rowOff>
              </to>
            </anchor>
          </controlPr>
        </control>
      </mc:Choice>
      <mc:Fallback>
        <control shapeId="27652" r:id="rId11" name="Control 4"/>
      </mc:Fallback>
    </mc:AlternateContent>
  </control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9" tint="0.39997558519241921"/>
    <pageSetUpPr fitToPage="1"/>
  </sheetPr>
  <dimension ref="A1:Y32"/>
  <sheetViews>
    <sheetView workbookViewId="0">
      <selection activeCell="E10" sqref="E10"/>
    </sheetView>
  </sheetViews>
  <sheetFormatPr defaultColWidth="9.109375" defaultRowHeight="15" x14ac:dyDescent="0.25"/>
  <cols>
    <col min="1" max="1" width="3.6640625" style="33" customWidth="1"/>
    <col min="2" max="2" width="25.6640625" style="33" customWidth="1"/>
    <col min="3" max="3" width="17.44140625" style="33" customWidth="1"/>
    <col min="4" max="4" width="3.6640625" style="33" customWidth="1"/>
    <col min="5" max="5" width="15.5546875" style="33" customWidth="1"/>
    <col min="6" max="6" width="2.6640625" style="33" customWidth="1"/>
    <col min="7" max="7" width="9.6640625" style="33" customWidth="1"/>
    <col min="8" max="8" width="16.6640625" style="33" customWidth="1"/>
    <col min="9" max="9" width="16.44140625" style="44" customWidth="1"/>
    <col min="10" max="10" width="18.5546875" style="33" customWidth="1"/>
    <col min="11" max="11" width="19" style="33" customWidth="1"/>
    <col min="12" max="14" width="22.33203125" style="33" customWidth="1"/>
    <col min="15" max="15" width="2.6640625" style="33" customWidth="1"/>
    <col min="16" max="16" width="16.44140625" style="44" customWidth="1"/>
    <col min="17" max="17" width="16.6640625" style="168" customWidth="1"/>
    <col min="18" max="18" width="18.5546875" style="33" customWidth="1"/>
    <col min="19" max="19" width="19" style="33" customWidth="1"/>
    <col min="20" max="22" width="22.33203125" style="33" customWidth="1"/>
    <col min="23" max="23" width="2.6640625" style="33" customWidth="1"/>
    <col min="24" max="25" width="22.33203125" style="33" customWidth="1"/>
    <col min="26" max="16384" width="9.109375" style="33"/>
  </cols>
  <sheetData>
    <row r="1" spans="1:25" x14ac:dyDescent="0.25">
      <c r="B1" s="14"/>
    </row>
    <row r="3" spans="1:25" ht="16.2" thickBot="1" x14ac:dyDescent="0.35">
      <c r="I3" s="164"/>
    </row>
    <row r="4" spans="1:25" ht="62.4" x14ac:dyDescent="0.3">
      <c r="G4" s="15" t="s">
        <v>15</v>
      </c>
      <c r="H4" s="16" t="s">
        <v>1</v>
      </c>
      <c r="I4" s="17" t="s">
        <v>16</v>
      </c>
      <c r="J4" s="16" t="s">
        <v>17</v>
      </c>
      <c r="K4" s="16" t="s">
        <v>18</v>
      </c>
      <c r="L4" s="3" t="s">
        <v>19</v>
      </c>
      <c r="M4" s="3" t="s">
        <v>19</v>
      </c>
      <c r="N4" s="3" t="s">
        <v>19</v>
      </c>
      <c r="P4" s="17" t="s">
        <v>72</v>
      </c>
      <c r="Q4" s="17" t="s">
        <v>49</v>
      </c>
      <c r="R4" s="16" t="s">
        <v>17</v>
      </c>
      <c r="S4" s="16" t="s">
        <v>18</v>
      </c>
      <c r="T4" s="3" t="s">
        <v>19</v>
      </c>
      <c r="U4" s="3" t="s">
        <v>19</v>
      </c>
      <c r="V4" s="3" t="s">
        <v>19</v>
      </c>
      <c r="X4" s="236" t="s">
        <v>19</v>
      </c>
      <c r="Y4" s="237" t="s">
        <v>19</v>
      </c>
    </row>
    <row r="5" spans="1:25" ht="15.6" x14ac:dyDescent="0.3">
      <c r="B5" s="50"/>
      <c r="C5" s="50"/>
      <c r="D5" s="50"/>
      <c r="G5" s="18"/>
      <c r="H5" s="18" t="s">
        <v>20</v>
      </c>
      <c r="I5" s="19" t="s">
        <v>123</v>
      </c>
      <c r="J5" s="18" t="s">
        <v>123</v>
      </c>
      <c r="K5" s="18" t="s">
        <v>123</v>
      </c>
      <c r="L5" s="4" t="s">
        <v>123</v>
      </c>
      <c r="M5" s="4" t="s">
        <v>33</v>
      </c>
      <c r="N5" s="4" t="s">
        <v>34</v>
      </c>
      <c r="P5" s="19" t="s">
        <v>123</v>
      </c>
      <c r="Q5" s="19" t="s">
        <v>123</v>
      </c>
      <c r="R5" s="18" t="s">
        <v>123</v>
      </c>
      <c r="S5" s="18" t="s">
        <v>123</v>
      </c>
      <c r="T5" s="4" t="s">
        <v>123</v>
      </c>
      <c r="U5" s="4" t="s">
        <v>33</v>
      </c>
      <c r="V5" s="4" t="s">
        <v>34</v>
      </c>
      <c r="X5" s="238" t="s">
        <v>33</v>
      </c>
      <c r="Y5" s="239" t="s">
        <v>34</v>
      </c>
    </row>
    <row r="6" spans="1:25" ht="15.6" x14ac:dyDescent="0.3">
      <c r="A6" s="169"/>
      <c r="B6" s="169"/>
      <c r="C6" s="163" t="s">
        <v>121</v>
      </c>
      <c r="D6" s="163" t="str">
        <f>+P6</f>
        <v>[4]</v>
      </c>
      <c r="E6" s="321">
        <f>12.61*(1+E9)</f>
        <v>12.925249999999998</v>
      </c>
      <c r="F6" s="45"/>
      <c r="G6" s="167" t="s">
        <v>21</v>
      </c>
      <c r="H6" s="167" t="s">
        <v>22</v>
      </c>
      <c r="I6" s="167" t="s">
        <v>23</v>
      </c>
      <c r="J6" s="167" t="s">
        <v>30</v>
      </c>
      <c r="K6" s="167" t="s">
        <v>26</v>
      </c>
      <c r="L6" s="167" t="s">
        <v>27</v>
      </c>
      <c r="M6" s="167" t="s">
        <v>35</v>
      </c>
      <c r="N6" s="167" t="s">
        <v>71</v>
      </c>
      <c r="P6" s="167" t="s">
        <v>24</v>
      </c>
      <c r="Q6" s="167" t="s">
        <v>25</v>
      </c>
      <c r="R6" s="167" t="s">
        <v>30</v>
      </c>
      <c r="S6" s="167" t="s">
        <v>26</v>
      </c>
      <c r="T6" s="167" t="s">
        <v>27</v>
      </c>
      <c r="U6" s="167" t="s">
        <v>35</v>
      </c>
      <c r="V6" s="167" t="s">
        <v>71</v>
      </c>
      <c r="X6" s="240" t="s">
        <v>35</v>
      </c>
      <c r="Y6" s="241" t="s">
        <v>71</v>
      </c>
    </row>
    <row r="7" spans="1:25" ht="15.6" x14ac:dyDescent="0.3">
      <c r="A7" s="169"/>
      <c r="B7" s="50"/>
      <c r="C7" s="20" t="s">
        <v>122</v>
      </c>
      <c r="D7" s="163" t="str">
        <f>+Q6</f>
        <v>[5]</v>
      </c>
      <c r="E7" s="46">
        <v>0</v>
      </c>
      <c r="F7" s="47"/>
      <c r="G7" s="170">
        <f>'Baseload Avoided Capacity Calcs'!G7</f>
        <v>2021</v>
      </c>
      <c r="H7" s="165">
        <v>1</v>
      </c>
      <c r="I7" s="171">
        <f>'Capacity Delivered'!I7</f>
        <v>3.8108</v>
      </c>
      <c r="J7" s="32">
        <f t="shared" ref="J7:J27" si="0">SUM(I7)/((1+$E$8)^H7)</f>
        <v>3.5485613185585247</v>
      </c>
      <c r="K7" s="166">
        <f>J7</f>
        <v>3.5485613185585247</v>
      </c>
      <c r="L7" s="256">
        <f>(-PMT($E$8,H7,(K7)))</f>
        <v>3.8107999999999995</v>
      </c>
      <c r="M7" s="256">
        <f>+L7/'Capacity Delivered'!R8*1000</f>
        <v>1.797615004339786</v>
      </c>
      <c r="N7" s="234">
        <f t="shared" ref="N7:N27" si="1">M7/1000</f>
        <v>1.7976150043397861E-3</v>
      </c>
      <c r="P7" s="176">
        <f>E6</f>
        <v>12.925249999999998</v>
      </c>
      <c r="Q7" s="176">
        <f t="shared" ref="Q7:Q27" si="2">(I7+P7)*$E$7</f>
        <v>0</v>
      </c>
      <c r="R7" s="176">
        <f t="shared" ref="R7:R27" si="3">SUM(P7:Q7)/((1+$E$8)^H7)</f>
        <v>12.035804078592045</v>
      </c>
      <c r="S7" s="176">
        <f>R7</f>
        <v>12.035804078592045</v>
      </c>
      <c r="T7" s="300">
        <f>(-PMT($E$8,H7,(S7)))</f>
        <v>12.925249999999997</v>
      </c>
      <c r="U7" s="166">
        <f>+T7/'Capacity Delivered'!L7*1000</f>
        <v>1.4754851598173513</v>
      </c>
      <c r="V7" s="234">
        <f t="shared" ref="V7:V20" si="4">U7/1000</f>
        <v>1.4754851598173513E-3</v>
      </c>
      <c r="X7" s="242">
        <f>M7+U7</f>
        <v>3.2731001641571371</v>
      </c>
      <c r="Y7" s="243">
        <f t="shared" ref="Y7:Y20" si="5">X7/1000</f>
        <v>3.2731001641571372E-3</v>
      </c>
    </row>
    <row r="8" spans="1:25" s="44" customFormat="1" ht="15.6" x14ac:dyDescent="0.3">
      <c r="A8" s="169"/>
      <c r="B8" s="169"/>
      <c r="C8" s="163" t="s">
        <v>45</v>
      </c>
      <c r="D8" s="163"/>
      <c r="E8" s="46">
        <f>Rate_of_Return</f>
        <v>7.3899999999999993E-2</v>
      </c>
      <c r="F8" s="254"/>
      <c r="G8" s="38">
        <f>G7+1</f>
        <v>2022</v>
      </c>
      <c r="H8" s="37">
        <v>2</v>
      </c>
      <c r="I8" s="171">
        <f>'Capacity Delivered'!I8</f>
        <v>3.8108</v>
      </c>
      <c r="J8" s="255">
        <f t="shared" si="0"/>
        <v>3.3043684873438166</v>
      </c>
      <c r="K8" s="256">
        <f t="shared" ref="K8:K27" si="6">K7+J8</f>
        <v>6.8529298059023418</v>
      </c>
      <c r="L8" s="256">
        <f t="shared" ref="L8:L27" si="7">(-PMT($E$8,H8,(K8)))</f>
        <v>3.8107999999999995</v>
      </c>
      <c r="M8" s="256">
        <f>+L8/'Capacity Delivered'!R9*1000</f>
        <v>1.797615004339786</v>
      </c>
      <c r="N8" s="257">
        <f t="shared" si="1"/>
        <v>1.7976150043397861E-3</v>
      </c>
      <c r="P8" s="171">
        <f t="shared" ref="P8:P27" si="8">P7+(P7*$E$9)</f>
        <v>13.248381249999998</v>
      </c>
      <c r="Q8" s="171">
        <f t="shared" si="2"/>
        <v>0</v>
      </c>
      <c r="R8" s="171">
        <f t="shared" si="3"/>
        <v>11.487754148949479</v>
      </c>
      <c r="S8" s="171">
        <f t="shared" ref="S8:S12" si="9">S7+R8</f>
        <v>23.523558227541525</v>
      </c>
      <c r="T8" s="300">
        <f t="shared" ref="T8:T27" si="10">(-PMT($E$8,H8,(S8)))</f>
        <v>13.081058500892034</v>
      </c>
      <c r="U8" s="256">
        <f>+T8/'Capacity Delivered'!L8*1000</f>
        <v>1.4932715183666705</v>
      </c>
      <c r="V8" s="257">
        <f t="shared" si="4"/>
        <v>1.4932715183666706E-3</v>
      </c>
      <c r="X8" s="258">
        <f t="shared" ref="X8:X27" si="11">M8+U8</f>
        <v>3.2908865227064563</v>
      </c>
      <c r="Y8" s="259">
        <f t="shared" si="5"/>
        <v>3.2908865227064565E-3</v>
      </c>
    </row>
    <row r="9" spans="1:25" s="44" customFormat="1" ht="15.6" x14ac:dyDescent="0.3">
      <c r="A9" s="169"/>
      <c r="B9" s="169"/>
      <c r="C9" s="163" t="s">
        <v>46</v>
      </c>
      <c r="D9" s="163"/>
      <c r="E9" s="46">
        <f>+FlatLoadShapeEnergy_perMWh!E8</f>
        <v>2.5000000000000001E-2</v>
      </c>
      <c r="F9" s="260"/>
      <c r="G9" s="38">
        <f t="shared" ref="G9:G27" si="12">G8+1</f>
        <v>2023</v>
      </c>
      <c r="H9" s="37">
        <v>3</v>
      </c>
      <c r="I9" s="171">
        <f>'Capacity Delivered'!I9</f>
        <v>3.8108</v>
      </c>
      <c r="J9" s="255">
        <f t="shared" si="0"/>
        <v>3.0769796883730485</v>
      </c>
      <c r="K9" s="256">
        <f t="shared" si="6"/>
        <v>9.9299094942753907</v>
      </c>
      <c r="L9" s="256">
        <f t="shared" si="7"/>
        <v>3.8107999999999995</v>
      </c>
      <c r="M9" s="256">
        <f>+L9/'Capacity Delivered'!R10*1000</f>
        <v>1.7927034879344861</v>
      </c>
      <c r="N9" s="257">
        <f t="shared" si="1"/>
        <v>1.7927034879344861E-3</v>
      </c>
      <c r="P9" s="171">
        <f t="shared" si="8"/>
        <v>13.579590781249998</v>
      </c>
      <c r="Q9" s="171">
        <f t="shared" si="2"/>
        <v>0</v>
      </c>
      <c r="R9" s="171">
        <f t="shared" si="3"/>
        <v>10.964659654225921</v>
      </c>
      <c r="S9" s="171">
        <f t="shared" si="9"/>
        <v>34.488217881767447</v>
      </c>
      <c r="T9" s="300">
        <f t="shared" si="10"/>
        <v>13.235538629995334</v>
      </c>
      <c r="U9" s="256">
        <f>+T9/'Capacity Delivered'!L9*1000</f>
        <v>1.5109062363008372</v>
      </c>
      <c r="V9" s="257">
        <f t="shared" si="4"/>
        <v>1.5109062363008372E-3</v>
      </c>
      <c r="X9" s="258">
        <f t="shared" si="11"/>
        <v>3.3036097242353231</v>
      </c>
      <c r="Y9" s="259">
        <f t="shared" si="5"/>
        <v>3.3036097242353231E-3</v>
      </c>
    </row>
    <row r="10" spans="1:25" s="44" customFormat="1" ht="15.6" x14ac:dyDescent="0.3">
      <c r="B10" s="169"/>
      <c r="C10" s="163"/>
      <c r="D10" s="163"/>
      <c r="E10" s="51"/>
      <c r="F10" s="254"/>
      <c r="G10" s="38">
        <f t="shared" si="12"/>
        <v>2024</v>
      </c>
      <c r="H10" s="37">
        <v>4</v>
      </c>
      <c r="I10" s="171">
        <f>'Capacity Delivered'!I10</f>
        <v>3.8108</v>
      </c>
      <c r="J10" s="255">
        <f t="shared" si="0"/>
        <v>2.8652385588723792</v>
      </c>
      <c r="K10" s="256">
        <f t="shared" si="6"/>
        <v>12.79514805314777</v>
      </c>
      <c r="L10" s="256">
        <f t="shared" si="7"/>
        <v>3.8107999999999995</v>
      </c>
      <c r="M10" s="256">
        <f>+L10/'Capacity Delivered'!R11*1000</f>
        <v>1.797615004339786</v>
      </c>
      <c r="N10" s="257">
        <f t="shared" si="1"/>
        <v>1.7976150043397861E-3</v>
      </c>
      <c r="P10" s="171">
        <f t="shared" si="8"/>
        <v>13.919080550781247</v>
      </c>
      <c r="Q10" s="171">
        <f t="shared" si="2"/>
        <v>0</v>
      </c>
      <c r="R10" s="171">
        <f t="shared" si="3"/>
        <v>10.465384249540522</v>
      </c>
      <c r="S10" s="171">
        <f t="shared" si="9"/>
        <v>44.953602131307967</v>
      </c>
      <c r="T10" s="300">
        <f t="shared" si="10"/>
        <v>13.388605297134028</v>
      </c>
      <c r="U10" s="256">
        <f>+T10/'Capacity Delivered'!L10*1000</f>
        <v>1.5242036995826533</v>
      </c>
      <c r="V10" s="257">
        <f t="shared" si="4"/>
        <v>1.5242036995826533E-3</v>
      </c>
      <c r="X10" s="258">
        <f t="shared" si="11"/>
        <v>3.3218187039224394</v>
      </c>
      <c r="Y10" s="259">
        <f t="shared" si="5"/>
        <v>3.3218187039224393E-3</v>
      </c>
    </row>
    <row r="11" spans="1:25" s="44" customFormat="1" ht="15.6" x14ac:dyDescent="0.3">
      <c r="B11" s="169"/>
      <c r="C11" s="163"/>
      <c r="D11" s="163"/>
      <c r="E11" s="51"/>
      <c r="F11" s="254"/>
      <c r="G11" s="38">
        <f t="shared" si="12"/>
        <v>2025</v>
      </c>
      <c r="H11" s="37">
        <v>5</v>
      </c>
      <c r="I11" s="171">
        <f>'Capacity Delivered'!I11</f>
        <v>3.8108</v>
      </c>
      <c r="J11" s="255">
        <f t="shared" si="0"/>
        <v>2.6680683107108472</v>
      </c>
      <c r="K11" s="256">
        <f t="shared" si="6"/>
        <v>15.463216363858617</v>
      </c>
      <c r="L11" s="256">
        <f t="shared" si="7"/>
        <v>3.8107999999999995</v>
      </c>
      <c r="M11" s="256">
        <f>+L11/'Capacity Delivered'!R12*1000</f>
        <v>1.797615004339786</v>
      </c>
      <c r="N11" s="257">
        <f t="shared" si="1"/>
        <v>1.7976150043397861E-3</v>
      </c>
      <c r="P11" s="171">
        <f t="shared" si="8"/>
        <v>14.267057564550779</v>
      </c>
      <c r="Q11" s="171">
        <f t="shared" si="2"/>
        <v>0</v>
      </c>
      <c r="R11" s="171">
        <f t="shared" si="3"/>
        <v>9.988843333437968</v>
      </c>
      <c r="S11" s="171">
        <f t="shared" si="9"/>
        <v>54.942445464745937</v>
      </c>
      <c r="T11" s="300">
        <f t="shared" si="10"/>
        <v>13.540176005453462</v>
      </c>
      <c r="U11" s="256">
        <f>+T11/'Capacity Delivered'!L11*1000</f>
        <v>1.5456821924033632</v>
      </c>
      <c r="V11" s="257">
        <f t="shared" si="4"/>
        <v>1.5456821924033633E-3</v>
      </c>
      <c r="X11" s="258">
        <f t="shared" si="11"/>
        <v>3.3432971967431495</v>
      </c>
      <c r="Y11" s="259">
        <f t="shared" si="5"/>
        <v>3.3432971967431494E-3</v>
      </c>
    </row>
    <row r="12" spans="1:25" s="44" customFormat="1" ht="15.6" x14ac:dyDescent="0.3">
      <c r="B12" s="261"/>
      <c r="C12" s="163"/>
      <c r="D12" s="163"/>
      <c r="E12" s="51"/>
      <c r="F12" s="254"/>
      <c r="G12" s="38">
        <f t="shared" si="12"/>
        <v>2026</v>
      </c>
      <c r="H12" s="37">
        <v>6</v>
      </c>
      <c r="I12" s="171">
        <f>'Capacity Delivered'!I12</f>
        <v>3.8108</v>
      </c>
      <c r="J12" s="255">
        <f t="shared" si="0"/>
        <v>2.4844662545030705</v>
      </c>
      <c r="K12" s="256">
        <f t="shared" si="6"/>
        <v>17.947682618361689</v>
      </c>
      <c r="L12" s="256">
        <f t="shared" si="7"/>
        <v>3.8107999999999995</v>
      </c>
      <c r="M12" s="256">
        <f>+L12/'Capacity Delivered'!R13*1000</f>
        <v>1.797615004339786</v>
      </c>
      <c r="N12" s="257">
        <f t="shared" si="1"/>
        <v>1.7976150043397861E-3</v>
      </c>
      <c r="P12" s="171">
        <f t="shared" si="8"/>
        <v>14.623734003664548</v>
      </c>
      <c r="Q12" s="171">
        <f t="shared" si="2"/>
        <v>0</v>
      </c>
      <c r="R12" s="171">
        <f t="shared" si="3"/>
        <v>9.5340016917533461</v>
      </c>
      <c r="S12" s="171">
        <f t="shared" si="9"/>
        <v>64.47644715649929</v>
      </c>
      <c r="T12" s="300">
        <f t="shared" si="10"/>
        <v>13.690171040388959</v>
      </c>
      <c r="U12" s="256">
        <f>+T12/'Capacity Delivered'!L12*1000</f>
        <v>1.5628049132864108</v>
      </c>
      <c r="V12" s="257">
        <f t="shared" si="4"/>
        <v>1.5628049132864108E-3</v>
      </c>
      <c r="X12" s="258">
        <f t="shared" si="11"/>
        <v>3.3604199176261966</v>
      </c>
      <c r="Y12" s="259">
        <f t="shared" si="5"/>
        <v>3.3604199176261967E-3</v>
      </c>
    </row>
    <row r="13" spans="1:25" s="44" customFormat="1" ht="15.6" x14ac:dyDescent="0.3">
      <c r="B13" s="261"/>
      <c r="C13" s="163"/>
      <c r="D13" s="163"/>
      <c r="E13" s="51"/>
      <c r="F13" s="254"/>
      <c r="G13" s="38">
        <f t="shared" si="12"/>
        <v>2027</v>
      </c>
      <c r="H13" s="37">
        <v>7</v>
      </c>
      <c r="I13" s="171">
        <f>'Capacity Delivered'!I13</f>
        <v>3.8108</v>
      </c>
      <c r="J13" s="255">
        <f t="shared" si="0"/>
        <v>2.3134987005336347</v>
      </c>
      <c r="K13" s="256">
        <f>K12+J13</f>
        <v>20.261181318895325</v>
      </c>
      <c r="L13" s="256">
        <f t="shared" si="7"/>
        <v>3.8107999999999995</v>
      </c>
      <c r="M13" s="256">
        <f>+L13/'Capacity Delivered'!R14*1000</f>
        <v>1.7927034879344861</v>
      </c>
      <c r="N13" s="257">
        <f t="shared" si="1"/>
        <v>1.7927034879344861E-3</v>
      </c>
      <c r="P13" s="171">
        <f>P12+(P12*$E$9)</f>
        <v>14.989327353756162</v>
      </c>
      <c r="Q13" s="171">
        <f t="shared" si="2"/>
        <v>0</v>
      </c>
      <c r="R13" s="171">
        <f t="shared" si="3"/>
        <v>9.0998712487635522</v>
      </c>
      <c r="S13" s="171">
        <f>S12+R13</f>
        <v>73.576318405262839</v>
      </c>
      <c r="T13" s="300">
        <f t="shared" si="10"/>
        <v>13.838513646649636</v>
      </c>
      <c r="U13" s="256">
        <f>+T13/'Capacity Delivered'!L13*1000</f>
        <v>1.5797390007590908</v>
      </c>
      <c r="V13" s="257">
        <f t="shared" si="4"/>
        <v>1.5797390007590909E-3</v>
      </c>
      <c r="X13" s="258">
        <f t="shared" si="11"/>
        <v>3.3724424886935767</v>
      </c>
      <c r="Y13" s="259">
        <f t="shared" si="5"/>
        <v>3.3724424886935767E-3</v>
      </c>
    </row>
    <row r="14" spans="1:25" s="44" customFormat="1" ht="15.6" x14ac:dyDescent="0.3">
      <c r="B14" s="261"/>
      <c r="C14" s="163"/>
      <c r="D14" s="163"/>
      <c r="E14" s="51"/>
      <c r="F14" s="254"/>
      <c r="G14" s="38">
        <f t="shared" si="12"/>
        <v>2028</v>
      </c>
      <c r="H14" s="37">
        <v>8</v>
      </c>
      <c r="I14" s="171">
        <f>'Capacity Delivered'!I14</f>
        <v>3.8108</v>
      </c>
      <c r="J14" s="255">
        <f t="shared" si="0"/>
        <v>2.1542962105723387</v>
      </c>
      <c r="K14" s="256">
        <f t="shared" si="6"/>
        <v>22.415477529467665</v>
      </c>
      <c r="L14" s="256">
        <f t="shared" si="7"/>
        <v>3.8107999999999995</v>
      </c>
      <c r="M14" s="256">
        <f>+L14/'Capacity Delivered'!R15*1000</f>
        <v>1.797615004339786</v>
      </c>
      <c r="N14" s="257">
        <f t="shared" si="1"/>
        <v>1.7976150043397861E-3</v>
      </c>
      <c r="P14" s="171">
        <f t="shared" si="8"/>
        <v>15.364060537600066</v>
      </c>
      <c r="Q14" s="171">
        <f t="shared" si="2"/>
        <v>0</v>
      </c>
      <c r="R14" s="171">
        <f t="shared" si="3"/>
        <v>8.6855089207399576</v>
      </c>
      <c r="S14" s="171">
        <f t="shared" ref="S14:S20" si="13">S13+R14</f>
        <v>82.261827326002802</v>
      </c>
      <c r="T14" s="300">
        <f t="shared" si="10"/>
        <v>13.985130192378115</v>
      </c>
      <c r="U14" s="256">
        <f>+T14/'Capacity Delivered'!L14*1000</f>
        <v>1.5921140929392208</v>
      </c>
      <c r="V14" s="257">
        <f t="shared" si="4"/>
        <v>1.5921140929392207E-3</v>
      </c>
      <c r="X14" s="258">
        <f t="shared" si="11"/>
        <v>3.3897290972790071</v>
      </c>
      <c r="Y14" s="259">
        <f t="shared" si="5"/>
        <v>3.3897290972790071E-3</v>
      </c>
    </row>
    <row r="15" spans="1:25" s="44" customFormat="1" ht="15.6" x14ac:dyDescent="0.3">
      <c r="B15" s="263"/>
      <c r="C15" s="163"/>
      <c r="D15" s="163"/>
      <c r="E15" s="51"/>
      <c r="F15" s="254"/>
      <c r="G15" s="38">
        <f t="shared" si="12"/>
        <v>2029</v>
      </c>
      <c r="H15" s="37">
        <v>9</v>
      </c>
      <c r="I15" s="171">
        <f>'Capacity Delivered'!I15</f>
        <v>3.8108</v>
      </c>
      <c r="J15" s="255">
        <f t="shared" si="0"/>
        <v>2.006049176433875</v>
      </c>
      <c r="K15" s="256">
        <f t="shared" si="6"/>
        <v>24.421526705901542</v>
      </c>
      <c r="L15" s="256">
        <f t="shared" si="7"/>
        <v>3.8108</v>
      </c>
      <c r="M15" s="256">
        <f>+L15/'Capacity Delivered'!R16*1000</f>
        <v>1.7976150043397863</v>
      </c>
      <c r="N15" s="257">
        <f t="shared" si="1"/>
        <v>1.7976150043397864E-3</v>
      </c>
      <c r="P15" s="171">
        <f t="shared" si="8"/>
        <v>15.748162051040067</v>
      </c>
      <c r="Q15" s="171">
        <f t="shared" si="2"/>
        <v>0</v>
      </c>
      <c r="R15" s="171">
        <f t="shared" si="3"/>
        <v>8.2900145672394601</v>
      </c>
      <c r="S15" s="171">
        <f t="shared" si="13"/>
        <v>90.551841893242255</v>
      </c>
      <c r="T15" s="300">
        <f t="shared" si="10"/>
        <v>14.129950319747172</v>
      </c>
      <c r="U15" s="256">
        <f>+T15/'Capacity Delivered'!L15*1000</f>
        <v>1.6130080273683984</v>
      </c>
      <c r="V15" s="257">
        <f t="shared" si="4"/>
        <v>1.6130080273683985E-3</v>
      </c>
      <c r="X15" s="258">
        <f t="shared" si="11"/>
        <v>3.4106230317081847</v>
      </c>
      <c r="Y15" s="259">
        <f t="shared" si="5"/>
        <v>3.4106230317081849E-3</v>
      </c>
    </row>
    <row r="16" spans="1:25" s="44" customFormat="1" x14ac:dyDescent="0.25">
      <c r="B16" s="263"/>
      <c r="C16" s="264"/>
      <c r="D16" s="264"/>
      <c r="E16" s="264"/>
      <c r="F16" s="254"/>
      <c r="G16" s="37">
        <f t="shared" si="12"/>
        <v>2030</v>
      </c>
      <c r="H16" s="37">
        <v>10</v>
      </c>
      <c r="I16" s="171">
        <f>'Capacity Delivered'!I16</f>
        <v>3.8108</v>
      </c>
      <c r="J16" s="255">
        <f t="shared" si="0"/>
        <v>1.8680037027971648</v>
      </c>
      <c r="K16" s="256">
        <f t="shared" si="6"/>
        <v>26.289530408698706</v>
      </c>
      <c r="L16" s="256">
        <f t="shared" si="7"/>
        <v>3.8107999999999995</v>
      </c>
      <c r="M16" s="256">
        <f>+L16/'Capacity Delivered'!R17*1000</f>
        <v>1.797615004339786</v>
      </c>
      <c r="N16" s="257">
        <f t="shared" si="1"/>
        <v>1.7976150043397861E-3</v>
      </c>
      <c r="O16" s="265"/>
      <c r="P16" s="171">
        <f t="shared" si="8"/>
        <v>16.141866102316069</v>
      </c>
      <c r="Q16" s="171">
        <f t="shared" si="2"/>
        <v>0</v>
      </c>
      <c r="R16" s="171">
        <f>SUM(P16:Q16)/((1+$E$8)^H16)</f>
        <v>7.9125290356834403</v>
      </c>
      <c r="S16" s="171">
        <f>S15+R16</f>
        <v>98.464370928925689</v>
      </c>
      <c r="T16" s="300">
        <f t="shared" si="10"/>
        <v>14.272907081360197</v>
      </c>
      <c r="U16" s="256">
        <f>+T16/'Capacity Delivered'!L16*1000</f>
        <v>1.6293272923927165</v>
      </c>
      <c r="V16" s="257">
        <f t="shared" si="4"/>
        <v>1.6293272923927165E-3</v>
      </c>
      <c r="W16" s="265"/>
      <c r="X16" s="258">
        <f>M16+U16</f>
        <v>3.4269422967325025</v>
      </c>
      <c r="Y16" s="259">
        <f t="shared" si="5"/>
        <v>3.4269422967325024E-3</v>
      </c>
    </row>
    <row r="17" spans="1:25" s="44" customFormat="1" x14ac:dyDescent="0.25">
      <c r="B17" s="263"/>
      <c r="C17" s="264"/>
      <c r="D17" s="264"/>
      <c r="E17" s="264"/>
      <c r="F17" s="254"/>
      <c r="G17" s="38">
        <f t="shared" si="12"/>
        <v>2031</v>
      </c>
      <c r="H17" s="37">
        <v>11</v>
      </c>
      <c r="I17" s="171">
        <f>'Capacity Delivered'!I17</f>
        <v>3.8108</v>
      </c>
      <c r="J17" s="255">
        <f t="shared" si="0"/>
        <v>1.7394577733468335</v>
      </c>
      <c r="K17" s="256">
        <f t="shared" si="6"/>
        <v>28.028988182045538</v>
      </c>
      <c r="L17" s="256">
        <f t="shared" si="7"/>
        <v>3.8107999999999995</v>
      </c>
      <c r="M17" s="256">
        <f>+L17/'Capacity Delivered'!R18*1000</f>
        <v>1.7927034879344861</v>
      </c>
      <c r="N17" s="257">
        <f t="shared" si="1"/>
        <v>1.7927034879344861E-3</v>
      </c>
      <c r="P17" s="171">
        <f t="shared" si="8"/>
        <v>16.545412754873972</v>
      </c>
      <c r="Q17" s="171">
        <f t="shared" si="2"/>
        <v>0</v>
      </c>
      <c r="R17" s="171">
        <f t="shared" si="3"/>
        <v>7.5522322949767444</v>
      </c>
      <c r="S17" s="171">
        <f t="shared" si="13"/>
        <v>106.01660322390244</v>
      </c>
      <c r="T17" s="300">
        <f t="shared" si="10"/>
        <v>14.413937061932254</v>
      </c>
      <c r="U17" s="256">
        <f>+T17/'Capacity Delivered'!L17*1000</f>
        <v>1.6454266052434079</v>
      </c>
      <c r="V17" s="257">
        <f t="shared" si="4"/>
        <v>1.6454266052434079E-3</v>
      </c>
      <c r="X17" s="258">
        <f t="shared" si="11"/>
        <v>3.438130093177894</v>
      </c>
      <c r="Y17" s="259">
        <f t="shared" si="5"/>
        <v>3.438130093177894E-3</v>
      </c>
    </row>
    <row r="18" spans="1:25" s="44" customFormat="1" x14ac:dyDescent="0.25">
      <c r="B18" s="264"/>
      <c r="C18" s="264"/>
      <c r="D18" s="264"/>
      <c r="E18" s="264"/>
      <c r="F18" s="254"/>
      <c r="G18" s="38">
        <f t="shared" si="12"/>
        <v>2032</v>
      </c>
      <c r="H18" s="37">
        <v>12</v>
      </c>
      <c r="I18" s="171">
        <f>'Capacity Delivered'!I18</f>
        <v>3.8108</v>
      </c>
      <c r="J18" s="255">
        <f t="shared" si="0"/>
        <v>1.6197576807401373</v>
      </c>
      <c r="K18" s="256">
        <f t="shared" si="6"/>
        <v>29.648745862785674</v>
      </c>
      <c r="L18" s="256">
        <f t="shared" si="7"/>
        <v>3.8107999999999991</v>
      </c>
      <c r="M18" s="256">
        <f>+L18/'Capacity Delivered'!R19*1000</f>
        <v>1.7976150043397858</v>
      </c>
      <c r="N18" s="257">
        <f t="shared" si="1"/>
        <v>1.7976150043397859E-3</v>
      </c>
      <c r="P18" s="171">
        <f t="shared" si="8"/>
        <v>16.959048073745823</v>
      </c>
      <c r="Q18" s="171">
        <f t="shared" si="2"/>
        <v>0</v>
      </c>
      <c r="R18" s="171">
        <f t="shared" si="3"/>
        <v>7.2083416541122673</v>
      </c>
      <c r="S18" s="171">
        <f t="shared" si="13"/>
        <v>113.2249448780147</v>
      </c>
      <c r="T18" s="300">
        <f t="shared" si="10"/>
        <v>14.552980484841271</v>
      </c>
      <c r="U18" s="256">
        <f>+T18/'Capacity Delivered'!L18*1000</f>
        <v>1.6567600734108914</v>
      </c>
      <c r="V18" s="257">
        <f t="shared" si="4"/>
        <v>1.6567600734108915E-3</v>
      </c>
      <c r="X18" s="258">
        <f t="shared" si="11"/>
        <v>3.4543750777506772</v>
      </c>
      <c r="Y18" s="259">
        <f t="shared" si="5"/>
        <v>3.4543750777506774E-3</v>
      </c>
    </row>
    <row r="19" spans="1:25" s="44" customFormat="1" x14ac:dyDescent="0.25">
      <c r="B19" s="264"/>
      <c r="C19" s="264"/>
      <c r="D19" s="264"/>
      <c r="E19" s="264"/>
      <c r="F19" s="188"/>
      <c r="G19" s="38">
        <f t="shared" si="12"/>
        <v>2033</v>
      </c>
      <c r="H19" s="37">
        <v>13</v>
      </c>
      <c r="I19" s="171">
        <f>'Capacity Delivered'!I19</f>
        <v>3.8108</v>
      </c>
      <c r="J19" s="255">
        <f t="shared" si="0"/>
        <v>1.5082947022442843</v>
      </c>
      <c r="K19" s="256">
        <f t="shared" si="6"/>
        <v>31.157040565029959</v>
      </c>
      <c r="L19" s="256">
        <f t="shared" si="7"/>
        <v>3.8107999999999991</v>
      </c>
      <c r="M19" s="256">
        <f>+L19/'Capacity Delivered'!R20*1000</f>
        <v>1.7976150043397858</v>
      </c>
      <c r="N19" s="257">
        <f t="shared" si="1"/>
        <v>1.7976150043397859E-3</v>
      </c>
      <c r="P19" s="171">
        <f t="shared" si="8"/>
        <v>17.38302427558947</v>
      </c>
      <c r="Q19" s="171">
        <f t="shared" si="2"/>
        <v>0</v>
      </c>
      <c r="R19" s="171">
        <f t="shared" si="3"/>
        <v>6.8801100618913047</v>
      </c>
      <c r="S19" s="171">
        <f t="shared" si="13"/>
        <v>120.105054939906</v>
      </c>
      <c r="T19" s="300">
        <f t="shared" si="10"/>
        <v>14.689981303253267</v>
      </c>
      <c r="U19" s="256">
        <f>+T19/'Capacity Delivered'!L19*1000</f>
        <v>1.6769385049375876</v>
      </c>
      <c r="V19" s="257">
        <f t="shared" si="4"/>
        <v>1.6769385049375876E-3</v>
      </c>
      <c r="X19" s="258">
        <f t="shared" si="11"/>
        <v>3.4745535092773734</v>
      </c>
      <c r="Y19" s="259">
        <f t="shared" si="5"/>
        <v>3.4745535092773733E-3</v>
      </c>
    </row>
    <row r="20" spans="1:25" s="44" customFormat="1" x14ac:dyDescent="0.25">
      <c r="B20" s="264"/>
      <c r="C20" s="264"/>
      <c r="D20" s="264"/>
      <c r="E20" s="264"/>
      <c r="F20" s="188"/>
      <c r="G20" s="38">
        <f t="shared" si="12"/>
        <v>2034</v>
      </c>
      <c r="H20" s="37">
        <v>14</v>
      </c>
      <c r="I20" s="171">
        <f>'Capacity Delivered'!I20</f>
        <v>3.8108</v>
      </c>
      <c r="J20" s="255">
        <f t="shared" si="0"/>
        <v>1.4045020041384528</v>
      </c>
      <c r="K20" s="256">
        <f t="shared" si="6"/>
        <v>32.561542569168409</v>
      </c>
      <c r="L20" s="256">
        <f t="shared" si="7"/>
        <v>3.8107999999999991</v>
      </c>
      <c r="M20" s="256">
        <f>+L20/'Capacity Delivered'!R21*1000</f>
        <v>1.7976150043397858</v>
      </c>
      <c r="N20" s="257">
        <f t="shared" si="1"/>
        <v>1.7976150043397859E-3</v>
      </c>
      <c r="P20" s="171">
        <f t="shared" si="8"/>
        <v>17.817599882479207</v>
      </c>
      <c r="Q20" s="171">
        <f t="shared" si="2"/>
        <v>0</v>
      </c>
      <c r="R20" s="171">
        <f t="shared" si="3"/>
        <v>6.5668244840661041</v>
      </c>
      <c r="S20" s="171">
        <f t="shared" si="13"/>
        <v>126.6718794239721</v>
      </c>
      <c r="T20" s="300">
        <f t="shared" si="10"/>
        <v>14.824887275639933</v>
      </c>
      <c r="U20" s="256">
        <f>+T20/'Capacity Delivered'!L20*1000</f>
        <v>1.6923387300958828</v>
      </c>
      <c r="V20" s="257">
        <f t="shared" si="4"/>
        <v>1.6923387300958827E-3</v>
      </c>
      <c r="X20" s="258">
        <f t="shared" si="11"/>
        <v>3.4899537344356686</v>
      </c>
      <c r="Y20" s="259">
        <f t="shared" si="5"/>
        <v>3.4899537344356686E-3</v>
      </c>
    </row>
    <row r="21" spans="1:25" s="265" customFormat="1" x14ac:dyDescent="0.25">
      <c r="B21" s="264"/>
      <c r="C21" s="264"/>
      <c r="D21" s="264"/>
      <c r="E21" s="264"/>
      <c r="F21" s="188"/>
      <c r="G21" s="37">
        <f t="shared" si="12"/>
        <v>2035</v>
      </c>
      <c r="H21" s="37">
        <v>15</v>
      </c>
      <c r="I21" s="171">
        <f>'Capacity Delivered'!I21</f>
        <v>3.8108</v>
      </c>
      <c r="J21" s="255">
        <f t="shared" si="0"/>
        <v>1.3078517591381438</v>
      </c>
      <c r="K21" s="256">
        <f>K20+J21</f>
        <v>33.869394328306555</v>
      </c>
      <c r="L21" s="256">
        <f t="shared" si="7"/>
        <v>3.8107999999999991</v>
      </c>
      <c r="M21" s="256">
        <f>+L21/'Capacity Delivered'!R22*1000</f>
        <v>1.7927034879344859</v>
      </c>
      <c r="N21" s="257">
        <f>M21/1000</f>
        <v>1.7927034879344859E-3</v>
      </c>
      <c r="P21" s="171">
        <f t="shared" si="8"/>
        <v>18.263039879541189</v>
      </c>
      <c r="Q21" s="171">
        <f t="shared" si="2"/>
        <v>0</v>
      </c>
      <c r="R21" s="171">
        <f t="shared" si="3"/>
        <v>6.2678043543791384</v>
      </c>
      <c r="S21" s="171">
        <f>S20+R21</f>
        <v>132.93968377835125</v>
      </c>
      <c r="T21" s="300">
        <f t="shared" si="10"/>
        <v>14.957650025620365</v>
      </c>
      <c r="U21" s="256">
        <f>+T21/'Capacity Delivered'!L21*1000</f>
        <v>1.7074942951621424</v>
      </c>
      <c r="V21" s="257">
        <f>U21/1000</f>
        <v>1.7074942951621423E-3</v>
      </c>
      <c r="X21" s="258">
        <f t="shared" si="11"/>
        <v>3.5001977830966284</v>
      </c>
      <c r="Y21" s="259">
        <f>X21/1000</f>
        <v>3.5001977830966284E-3</v>
      </c>
    </row>
    <row r="22" spans="1:25" s="44" customFormat="1" x14ac:dyDescent="0.25">
      <c r="B22" s="264"/>
      <c r="C22" s="264"/>
      <c r="D22" s="264"/>
      <c r="E22" s="264"/>
      <c r="F22" s="188"/>
      <c r="G22" s="38">
        <f t="shared" si="12"/>
        <v>2036</v>
      </c>
      <c r="H22" s="37">
        <v>16</v>
      </c>
      <c r="I22" s="171">
        <f>'Capacity Delivered'!I22</f>
        <v>3.8108</v>
      </c>
      <c r="J22" s="255">
        <f t="shared" si="0"/>
        <v>1.2178524621828324</v>
      </c>
      <c r="K22" s="256">
        <f t="shared" si="6"/>
        <v>35.087246790489388</v>
      </c>
      <c r="L22" s="256">
        <f t="shared" si="7"/>
        <v>3.8107999999999986</v>
      </c>
      <c r="M22" s="256">
        <f>+L22/'Capacity Delivered'!R23*1000</f>
        <v>1.7976150043397856</v>
      </c>
      <c r="N22" s="257">
        <f t="shared" si="1"/>
        <v>1.7976150043397857E-3</v>
      </c>
      <c r="P22" s="171">
        <f t="shared" si="8"/>
        <v>18.719615876529719</v>
      </c>
      <c r="Q22" s="171">
        <f t="shared" si="2"/>
        <v>0</v>
      </c>
      <c r="R22" s="171">
        <f t="shared" si="3"/>
        <v>5.9824000961342918</v>
      </c>
      <c r="S22" s="171">
        <f t="shared" ref="S22:S27" si="14">S21+R22</f>
        <v>138.92208387448554</v>
      </c>
      <c r="T22" s="300">
        <f t="shared" si="10"/>
        <v>15.0882250861697</v>
      </c>
      <c r="U22" s="256">
        <f>+T22/'Capacity Delivered'!L22*1000</f>
        <v>1.7176941127242373</v>
      </c>
      <c r="V22" s="257">
        <f t="shared" ref="V22:V27" si="15">U22/1000</f>
        <v>1.7176941127242374E-3</v>
      </c>
      <c r="X22" s="258">
        <f t="shared" si="11"/>
        <v>3.5153091170640227</v>
      </c>
      <c r="Y22" s="259">
        <f t="shared" ref="Y22:Y27" si="16">X22/1000</f>
        <v>3.5153091170640229E-3</v>
      </c>
    </row>
    <row r="23" spans="1:25" s="44" customFormat="1" x14ac:dyDescent="0.25">
      <c r="B23" s="264"/>
      <c r="C23" s="264"/>
      <c r="D23" s="264"/>
      <c r="E23" s="264"/>
      <c r="F23" s="188"/>
      <c r="G23" s="38">
        <f t="shared" si="12"/>
        <v>2037</v>
      </c>
      <c r="H23" s="37">
        <v>17</v>
      </c>
      <c r="I23" s="171">
        <f>'Capacity Delivered'!I23</f>
        <v>3.8108</v>
      </c>
      <c r="J23" s="255">
        <f t="shared" si="0"/>
        <v>1.1340464309366163</v>
      </c>
      <c r="K23" s="256">
        <f t="shared" si="6"/>
        <v>36.221293221426002</v>
      </c>
      <c r="L23" s="256">
        <f t="shared" si="7"/>
        <v>3.8107999999999982</v>
      </c>
      <c r="M23" s="256">
        <f>+L23/'Capacity Delivered'!R24*1000</f>
        <v>1.7976150043397856</v>
      </c>
      <c r="N23" s="257">
        <f t="shared" si="1"/>
        <v>1.7976150043397857E-3</v>
      </c>
      <c r="P23" s="171">
        <f t="shared" si="8"/>
        <v>19.187606273442963</v>
      </c>
      <c r="Q23" s="171">
        <f t="shared" si="2"/>
        <v>0</v>
      </c>
      <c r="R23" s="171">
        <f t="shared" si="3"/>
        <v>5.7099917110882288</v>
      </c>
      <c r="S23" s="171">
        <f t="shared" si="14"/>
        <v>144.63207558557377</v>
      </c>
      <c r="T23" s="300">
        <f t="shared" si="10"/>
        <v>15.21657192834501</v>
      </c>
      <c r="U23" s="256">
        <f>+T23/'Capacity Delivered'!L23*1000</f>
        <v>1.7370515899937227</v>
      </c>
      <c r="V23" s="257">
        <f t="shared" si="15"/>
        <v>1.7370515899937226E-3</v>
      </c>
      <c r="X23" s="258">
        <f t="shared" si="11"/>
        <v>3.5346665943335083</v>
      </c>
      <c r="Y23" s="259">
        <f t="shared" si="16"/>
        <v>3.5346665943335083E-3</v>
      </c>
    </row>
    <row r="24" spans="1:25" s="44" customFormat="1" x14ac:dyDescent="0.25">
      <c r="B24" s="264"/>
      <c r="C24" s="264"/>
      <c r="D24" s="264"/>
      <c r="E24" s="264"/>
      <c r="F24" s="188"/>
      <c r="G24" s="38">
        <f t="shared" si="12"/>
        <v>2038</v>
      </c>
      <c r="H24" s="37">
        <v>18</v>
      </c>
      <c r="I24" s="171">
        <f>'Capacity Delivered'!I24</f>
        <v>3.8108</v>
      </c>
      <c r="J24" s="255">
        <f t="shared" si="0"/>
        <v>1.0560074782909175</v>
      </c>
      <c r="K24" s="256">
        <f t="shared" si="6"/>
        <v>37.277300699716918</v>
      </c>
      <c r="L24" s="256">
        <f t="shared" si="7"/>
        <v>3.8107999999999982</v>
      </c>
      <c r="M24" s="256">
        <f>+L24/'Capacity Delivered'!R25*1000</f>
        <v>1.7976150043397856</v>
      </c>
      <c r="N24" s="257">
        <f t="shared" si="1"/>
        <v>1.7976150043397857E-3</v>
      </c>
      <c r="P24" s="171">
        <f t="shared" si="8"/>
        <v>19.667296430279038</v>
      </c>
      <c r="Q24" s="171">
        <f t="shared" si="2"/>
        <v>0</v>
      </c>
      <c r="R24" s="171">
        <f t="shared" si="3"/>
        <v>5.4499874325965489</v>
      </c>
      <c r="S24" s="171">
        <f t="shared" si="14"/>
        <v>150.08206301817032</v>
      </c>
      <c r="T24" s="300">
        <f t="shared" si="10"/>
        <v>15.342653974781667</v>
      </c>
      <c r="U24" s="256">
        <f>+T24/'Capacity Delivered'!L24*1000</f>
        <v>1.7514445176691402</v>
      </c>
      <c r="V24" s="257">
        <f t="shared" si="15"/>
        <v>1.7514445176691402E-3</v>
      </c>
      <c r="X24" s="258">
        <f t="shared" si="11"/>
        <v>3.5490595220089256</v>
      </c>
      <c r="Y24" s="259">
        <f t="shared" si="16"/>
        <v>3.5490595220089255E-3</v>
      </c>
    </row>
    <row r="25" spans="1:25" x14ac:dyDescent="0.25">
      <c r="B25" s="172"/>
      <c r="C25" s="172"/>
      <c r="D25" s="172"/>
      <c r="E25" s="172"/>
      <c r="F25" s="52"/>
      <c r="G25" s="38">
        <f t="shared" si="12"/>
        <v>2039</v>
      </c>
      <c r="H25" s="39">
        <v>19</v>
      </c>
      <c r="I25" s="171">
        <f>'Capacity Delivered'!I25</f>
        <v>3.8108</v>
      </c>
      <c r="J25" s="40">
        <f t="shared" si="0"/>
        <v>0.98333874503298035</v>
      </c>
      <c r="K25" s="41">
        <f t="shared" si="6"/>
        <v>38.260639444749899</v>
      </c>
      <c r="L25" s="41">
        <f t="shared" si="7"/>
        <v>3.8107999999999982</v>
      </c>
      <c r="M25" s="41">
        <f>+L25/'Capacity Delivered'!R26*1000</f>
        <v>1.7927034879344854</v>
      </c>
      <c r="N25" s="235">
        <f t="shared" si="1"/>
        <v>1.7927034879344854E-3</v>
      </c>
      <c r="P25" s="171">
        <f t="shared" si="8"/>
        <v>20.158978841036014</v>
      </c>
      <c r="Q25" s="171">
        <f t="shared" si="2"/>
        <v>0</v>
      </c>
      <c r="R25" s="171">
        <f t="shared" si="3"/>
        <v>5.2018224400888942</v>
      </c>
      <c r="S25" s="171">
        <f t="shared" si="14"/>
        <v>155.28388545825922</v>
      </c>
      <c r="T25" s="300">
        <f t="shared" si="10"/>
        <v>15.466438598310837</v>
      </c>
      <c r="U25" s="41">
        <f>+T25/'Capacity Delivered'!L25*1000</f>
        <v>1.765575182455575</v>
      </c>
      <c r="V25" s="235">
        <f t="shared" si="15"/>
        <v>1.7655751824555751E-3</v>
      </c>
      <c r="X25" s="242">
        <f t="shared" si="11"/>
        <v>3.5582786703900604</v>
      </c>
      <c r="Y25" s="243">
        <f t="shared" si="16"/>
        <v>3.5582786703900605E-3</v>
      </c>
    </row>
    <row r="26" spans="1:25" x14ac:dyDescent="0.25">
      <c r="B26" s="172"/>
      <c r="C26" s="172"/>
      <c r="D26" s="172"/>
      <c r="E26" s="172"/>
      <c r="F26" s="52"/>
      <c r="G26" s="38">
        <f t="shared" si="12"/>
        <v>2040</v>
      </c>
      <c r="H26" s="39">
        <v>20</v>
      </c>
      <c r="I26" s="171">
        <f>'Capacity Delivered'!I26</f>
        <v>3.8108</v>
      </c>
      <c r="J26" s="40">
        <f t="shared" si="0"/>
        <v>0.9156706816584228</v>
      </c>
      <c r="K26" s="41">
        <f t="shared" si="6"/>
        <v>39.176310126408325</v>
      </c>
      <c r="L26" s="41">
        <f t="shared" si="7"/>
        <v>3.8107999999999986</v>
      </c>
      <c r="M26" s="41">
        <f>+L26/'Capacity Delivered'!R27*1000</f>
        <v>1.7976150043397856</v>
      </c>
      <c r="N26" s="235">
        <f t="shared" si="1"/>
        <v>1.7976150043397857E-3</v>
      </c>
      <c r="P26" s="171">
        <f t="shared" si="8"/>
        <v>20.662953312061912</v>
      </c>
      <c r="Q26" s="171">
        <f t="shared" si="2"/>
        <v>0</v>
      </c>
      <c r="R26" s="171">
        <f t="shared" si="3"/>
        <v>4.9649576320803757</v>
      </c>
      <c r="S26" s="171">
        <f t="shared" si="14"/>
        <v>160.24884309033959</v>
      </c>
      <c r="T26" s="300">
        <f t="shared" si="10"/>
        <v>15.58789710613955</v>
      </c>
      <c r="U26" s="41">
        <f>+T26/'Capacity Delivered'!L26*1000</f>
        <v>1.774578450152499</v>
      </c>
      <c r="V26" s="235">
        <f t="shared" si="15"/>
        <v>1.774578450152499E-3</v>
      </c>
      <c r="X26" s="242">
        <f t="shared" si="11"/>
        <v>3.5721934544922846</v>
      </c>
      <c r="Y26" s="243">
        <f t="shared" si="16"/>
        <v>3.5721934544922845E-3</v>
      </c>
    </row>
    <row r="27" spans="1:25" s="44" customFormat="1" ht="15.6" thickBot="1" x14ac:dyDescent="0.3">
      <c r="G27" s="38">
        <f t="shared" si="12"/>
        <v>2041</v>
      </c>
      <c r="H27" s="37">
        <v>21</v>
      </c>
      <c r="I27" s="171">
        <f>'Capacity Delivered'!I27</f>
        <v>3.8108</v>
      </c>
      <c r="J27" s="40">
        <f t="shared" si="0"/>
        <v>0.85265916906455219</v>
      </c>
      <c r="K27" s="41">
        <f t="shared" si="6"/>
        <v>40.028969295472876</v>
      </c>
      <c r="L27" s="41">
        <f t="shared" si="7"/>
        <v>3.8107999999999982</v>
      </c>
      <c r="M27" s="41">
        <f>+L27/'Capacity Delivered'!R28*1000</f>
        <v>1.7976150043397856</v>
      </c>
      <c r="N27" s="235">
        <f t="shared" si="1"/>
        <v>1.7976150043397857E-3</v>
      </c>
      <c r="P27" s="171">
        <f t="shared" si="8"/>
        <v>21.17952714486346</v>
      </c>
      <c r="Q27" s="171">
        <f t="shared" si="2"/>
        <v>0</v>
      </c>
      <c r="R27" s="171">
        <f t="shared" si="3"/>
        <v>4.7388784550539009</v>
      </c>
      <c r="S27" s="171">
        <f t="shared" si="14"/>
        <v>164.9877215453935</v>
      </c>
      <c r="T27" s="300">
        <f t="shared" si="10"/>
        <v>15.7070047101186</v>
      </c>
      <c r="U27" s="41">
        <f>+T27/'Capacity Delivered'!L27*1000</f>
        <v>1.793037067365137</v>
      </c>
      <c r="V27" s="235">
        <f t="shared" si="15"/>
        <v>1.7930370673651371E-3</v>
      </c>
      <c r="X27" s="244">
        <f t="shared" si="11"/>
        <v>3.5906520717049224</v>
      </c>
      <c r="Y27" s="245">
        <f t="shared" si="16"/>
        <v>3.5906520717049225E-3</v>
      </c>
    </row>
    <row r="28" spans="1:25" s="44" customFormat="1" x14ac:dyDescent="0.25">
      <c r="C28" s="21"/>
      <c r="D28" s="21"/>
      <c r="G28" s="38"/>
      <c r="H28" s="37"/>
      <c r="I28" s="174"/>
      <c r="J28" s="55"/>
      <c r="K28" s="56"/>
      <c r="L28" s="48"/>
      <c r="M28" s="48"/>
      <c r="N28" s="48"/>
      <c r="P28" s="175"/>
      <c r="Q28" s="54"/>
      <c r="R28" s="55"/>
      <c r="S28" s="56"/>
      <c r="T28" s="48"/>
      <c r="U28" s="48"/>
      <c r="V28" s="48"/>
      <c r="X28" s="48"/>
      <c r="Y28" s="48"/>
    </row>
    <row r="29" spans="1:25" x14ac:dyDescent="0.25">
      <c r="B29" s="31"/>
      <c r="C29" s="21"/>
      <c r="D29" s="21"/>
      <c r="E29" s="44"/>
      <c r="F29" s="44"/>
      <c r="G29" s="31"/>
      <c r="H29" s="37"/>
      <c r="I29" s="174"/>
      <c r="J29" s="31"/>
      <c r="K29" s="31"/>
      <c r="L29" s="31"/>
      <c r="M29" s="31"/>
      <c r="N29" s="31"/>
      <c r="P29" s="175"/>
      <c r="Q29" s="54"/>
      <c r="R29" s="31"/>
      <c r="S29" s="31"/>
      <c r="T29" s="31"/>
      <c r="U29" s="31"/>
      <c r="V29" s="31"/>
      <c r="X29" s="31"/>
      <c r="Y29" s="31"/>
    </row>
    <row r="30" spans="1:25" s="44" customFormat="1" ht="111.6" customHeight="1" x14ac:dyDescent="0.25">
      <c r="A30" s="307" t="str">
        <f>+D6</f>
        <v>[4]</v>
      </c>
      <c r="B30" s="359" t="s">
        <v>132</v>
      </c>
      <c r="C30" s="359"/>
      <c r="D30" s="359"/>
      <c r="E30" s="359"/>
      <c r="F30" s="359"/>
      <c r="G30" s="359"/>
      <c r="H30" s="359"/>
      <c r="I30" s="359"/>
      <c r="J30" s="359"/>
      <c r="K30" s="359"/>
      <c r="L30" s="359"/>
      <c r="M30" s="359"/>
      <c r="N30" s="359"/>
      <c r="R30" s="233"/>
      <c r="S30" s="233"/>
    </row>
    <row r="32" spans="1:25" x14ac:dyDescent="0.25">
      <c r="K32" s="246"/>
      <c r="S32" s="246"/>
    </row>
  </sheetData>
  <customSheetViews>
    <customSheetView guid="{78103E26-15C6-4D37-9879-762EF0B43905}" fitToPage="1">
      <selection activeCell="E10" sqref="E10"/>
      <pageMargins left="0.75" right="0.5" top="0.76" bottom="0.79" header="0.5" footer="0.26"/>
      <pageSetup scale="64" orientation="landscape" r:id="rId1"/>
      <headerFooter alignWithMargins="0">
        <oddFooter>&amp;L&amp;F&amp;C&amp;A&amp;RPSE Advice No. 2018-48 &amp;D
Page &amp;P of &amp;N</oddFooter>
      </headerFooter>
    </customSheetView>
  </customSheetViews>
  <mergeCells count="1">
    <mergeCell ref="B30:N30"/>
  </mergeCells>
  <pageMargins left="0.75" right="0.5" top="0.76" bottom="0.79" header="0.5" footer="0.26"/>
  <pageSetup scale="64" orientation="landscape" r:id="rId2"/>
  <headerFooter alignWithMargins="0">
    <oddFooter>&amp;L&amp;F&amp;C&amp;A&amp;RPSE Advice No. 2018-48 &amp;D
Page &amp;P of &amp;N</oddFooter>
  </headerFooter>
  <drawing r:id="rId3"/>
  <legacyDrawing r:id="rId4"/>
  <controls>
    <mc:AlternateContent xmlns:mc="http://schemas.openxmlformats.org/markup-compatibility/2006">
      <mc:Choice Requires="x14">
        <control shapeId="28673" r:id="rId5" name="Control 1">
          <controlPr defaultSize="0" r:id="rId6">
            <anchor moveWithCells="1">
              <from>
                <xdr:col>7</xdr:col>
                <xdr:colOff>556260</xdr:colOff>
                <xdr:row>2</xdr:row>
                <xdr:rowOff>30480</xdr:rowOff>
              </from>
              <to>
                <xdr:col>7</xdr:col>
                <xdr:colOff>777240</xdr:colOff>
                <xdr:row>3</xdr:row>
                <xdr:rowOff>53340</xdr:rowOff>
              </to>
            </anchor>
          </controlPr>
        </control>
      </mc:Choice>
      <mc:Fallback>
        <control shapeId="28673" r:id="rId5" name="Control 1"/>
      </mc:Fallback>
    </mc:AlternateContent>
    <mc:AlternateContent xmlns:mc="http://schemas.openxmlformats.org/markup-compatibility/2006">
      <mc:Choice Requires="x14">
        <control shapeId="28674" r:id="rId7" name="Control 2">
          <controlPr defaultSize="0" r:id="rId8">
            <anchor moveWithCells="1">
              <from>
                <xdr:col>7</xdr:col>
                <xdr:colOff>556260</xdr:colOff>
                <xdr:row>2</xdr:row>
                <xdr:rowOff>30480</xdr:rowOff>
              </from>
              <to>
                <xdr:col>8</xdr:col>
                <xdr:colOff>152400</xdr:colOff>
                <xdr:row>3</xdr:row>
                <xdr:rowOff>53340</xdr:rowOff>
              </to>
            </anchor>
          </controlPr>
        </control>
      </mc:Choice>
      <mc:Fallback>
        <control shapeId="28674" r:id="rId7" name="Control 2"/>
      </mc:Fallback>
    </mc:AlternateContent>
    <mc:AlternateContent xmlns:mc="http://schemas.openxmlformats.org/markup-compatibility/2006">
      <mc:Choice Requires="x14">
        <control shapeId="28675" r:id="rId9" name="Control 3">
          <controlPr defaultSize="0" r:id="rId10">
            <anchor moveWithCells="1">
              <from>
                <xdr:col>7</xdr:col>
                <xdr:colOff>556260</xdr:colOff>
                <xdr:row>2</xdr:row>
                <xdr:rowOff>30480</xdr:rowOff>
              </from>
              <to>
                <xdr:col>8</xdr:col>
                <xdr:colOff>152400</xdr:colOff>
                <xdr:row>3</xdr:row>
                <xdr:rowOff>53340</xdr:rowOff>
              </to>
            </anchor>
          </controlPr>
        </control>
      </mc:Choice>
      <mc:Fallback>
        <control shapeId="28675" r:id="rId9" name="Control 3"/>
      </mc:Fallback>
    </mc:AlternateContent>
    <mc:AlternateContent xmlns:mc="http://schemas.openxmlformats.org/markup-compatibility/2006">
      <mc:Choice Requires="x14">
        <control shapeId="28676" r:id="rId11" name="Control 4">
          <controlPr defaultSize="0" r:id="rId12">
            <anchor moveWithCells="1">
              <from>
                <xdr:col>7</xdr:col>
                <xdr:colOff>556260</xdr:colOff>
                <xdr:row>2</xdr:row>
                <xdr:rowOff>30480</xdr:rowOff>
              </from>
              <to>
                <xdr:col>8</xdr:col>
                <xdr:colOff>175260</xdr:colOff>
                <xdr:row>3</xdr:row>
                <xdr:rowOff>137160</xdr:rowOff>
              </to>
            </anchor>
          </controlPr>
        </control>
      </mc:Choice>
      <mc:Fallback>
        <control shapeId="28676" r:id="rId11" name="Control 4"/>
      </mc:Fallback>
    </mc:AlternateContent>
  </control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
  <sheetViews>
    <sheetView tabSelected="1" workbookViewId="0">
      <selection activeCell="I18" sqref="I18"/>
    </sheetView>
  </sheetViews>
  <sheetFormatPr defaultColWidth="9.109375" defaultRowHeight="14.4" x14ac:dyDescent="0.3"/>
  <cols>
    <col min="1" max="16384" width="9.109375" style="75"/>
  </cols>
  <sheetData/>
  <customSheetViews>
    <customSheetView guid="{78103E26-15C6-4D37-9879-762EF0B43905}" fitToPage="1">
      <selection activeCell="I18" sqref="I18"/>
      <pageMargins left="0.75" right="0.5" top="0.76" bottom="0.79" header="0.5" footer="0.26"/>
      <pageSetup orientation="landscape" r:id="rId1"/>
      <headerFooter alignWithMargins="0">
        <oddFooter>&amp;L&amp;F&amp;C&amp;A&amp;RPSE Advice No. 2018-48 &amp;D
Page &amp;P of &amp;N</oddFooter>
      </headerFooter>
    </customSheetView>
  </customSheetViews>
  <pageMargins left="0.75" right="0.5" top="0.76" bottom="0.79" header="0.5" footer="0.26"/>
  <pageSetup orientation="landscape" r:id="rId2"/>
  <headerFooter alignWithMargins="0">
    <oddFooter>&amp;L&amp;F&amp;C&amp;A&amp;RPSE Advice No. 2018-48 &amp;D
Page &amp;P of &amp;N</oddFooter>
  </headerFooter>
  <customProperties>
    <customPr name="_pios_id" r:id="rId3"/>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2:Q96"/>
  <sheetViews>
    <sheetView workbookViewId="0"/>
  </sheetViews>
  <sheetFormatPr defaultColWidth="8.88671875" defaultRowHeight="15" x14ac:dyDescent="0.25"/>
  <cols>
    <col min="1" max="1" width="2.6640625" style="58" customWidth="1"/>
    <col min="2" max="2" width="4" style="58" bestFit="1" customWidth="1"/>
    <col min="3" max="3" width="9.6640625" style="58" customWidth="1"/>
    <col min="4" max="16" width="10" style="58" customWidth="1"/>
    <col min="17" max="17" width="14.109375" style="65" customWidth="1"/>
    <col min="18" max="16384" width="8.88671875" style="58"/>
  </cols>
  <sheetData>
    <row r="2" spans="2:17" ht="63" customHeight="1" x14ac:dyDescent="0.25">
      <c r="C2" s="360" t="s">
        <v>130</v>
      </c>
      <c r="D2" s="360"/>
      <c r="E2" s="360"/>
      <c r="F2" s="360"/>
      <c r="G2" s="360"/>
      <c r="H2" s="360"/>
      <c r="I2" s="360"/>
      <c r="J2" s="360"/>
      <c r="K2" s="360"/>
      <c r="L2" s="360"/>
      <c r="M2" s="360"/>
      <c r="N2" s="360"/>
      <c r="O2" s="360"/>
      <c r="P2" s="360"/>
      <c r="Q2" s="360"/>
    </row>
    <row r="3" spans="2:17" ht="16.2" thickBot="1" x14ac:dyDescent="0.35">
      <c r="C3" s="57"/>
      <c r="Q3" s="72"/>
    </row>
    <row r="4" spans="2:17" ht="15.6" x14ac:dyDescent="0.25">
      <c r="C4" s="59"/>
      <c r="D4" s="67" t="s">
        <v>56</v>
      </c>
      <c r="E4" s="67">
        <v>2</v>
      </c>
      <c r="F4" s="67">
        <v>3</v>
      </c>
      <c r="G4" s="67">
        <v>4</v>
      </c>
      <c r="H4" s="67">
        <v>5</v>
      </c>
      <c r="I4" s="67">
        <v>6</v>
      </c>
      <c r="J4" s="67">
        <v>7</v>
      </c>
      <c r="K4" s="67">
        <v>8</v>
      </c>
      <c r="L4" s="67">
        <v>9</v>
      </c>
      <c r="M4" s="67">
        <v>10</v>
      </c>
      <c r="N4" s="67">
        <v>11</v>
      </c>
      <c r="O4" s="67">
        <v>12</v>
      </c>
      <c r="P4" s="68" t="s">
        <v>37</v>
      </c>
      <c r="Q4" s="72"/>
    </row>
    <row r="5" spans="2:17" ht="16.2" thickBot="1" x14ac:dyDescent="0.3">
      <c r="C5" s="69" t="s">
        <v>38</v>
      </c>
      <c r="D5" s="70"/>
      <c r="E5" s="70"/>
      <c r="F5" s="70"/>
      <c r="G5" s="70"/>
      <c r="H5" s="70"/>
      <c r="I5" s="70"/>
      <c r="J5" s="70"/>
      <c r="K5" s="70"/>
      <c r="L5" s="70"/>
      <c r="M5" s="70"/>
      <c r="N5" s="70"/>
      <c r="O5" s="70"/>
      <c r="P5" s="71"/>
      <c r="Q5" s="72"/>
    </row>
    <row r="6" spans="2:17" ht="15.6" thickBot="1" x14ac:dyDescent="0.3">
      <c r="B6" s="205">
        <v>1</v>
      </c>
      <c r="C6" s="60">
        <v>2021</v>
      </c>
      <c r="D6" s="61">
        <v>27.69</v>
      </c>
      <c r="E6" s="61">
        <v>28.82</v>
      </c>
      <c r="F6" s="61">
        <v>21.13</v>
      </c>
      <c r="G6" s="61">
        <v>17.18</v>
      </c>
      <c r="H6" s="61">
        <v>10.79</v>
      </c>
      <c r="I6" s="61">
        <v>13.67</v>
      </c>
      <c r="J6" s="61">
        <v>22.61</v>
      </c>
      <c r="K6" s="61">
        <v>25.02</v>
      </c>
      <c r="L6" s="61">
        <v>25.99</v>
      </c>
      <c r="M6" s="61">
        <v>25.91</v>
      </c>
      <c r="N6" s="61">
        <v>26.7</v>
      </c>
      <c r="O6" s="61">
        <v>28.98</v>
      </c>
      <c r="P6" s="61">
        <v>22.85</v>
      </c>
      <c r="Q6" s="72"/>
    </row>
    <row r="7" spans="2:17" ht="15.6" thickBot="1" x14ac:dyDescent="0.3">
      <c r="B7" s="58">
        <v>2</v>
      </c>
      <c r="C7" s="60">
        <f>C6+1</f>
        <v>2022</v>
      </c>
      <c r="D7" s="61">
        <v>26.56</v>
      </c>
      <c r="E7" s="61">
        <v>27.65</v>
      </c>
      <c r="F7" s="61">
        <v>20.55</v>
      </c>
      <c r="G7" s="61">
        <v>15.1</v>
      </c>
      <c r="H7" s="61">
        <v>9.49</v>
      </c>
      <c r="I7" s="61">
        <v>11.31</v>
      </c>
      <c r="J7" s="61">
        <v>21.01</v>
      </c>
      <c r="K7" s="61">
        <v>22.88</v>
      </c>
      <c r="L7" s="61">
        <v>24.31</v>
      </c>
      <c r="M7" s="61">
        <v>23.59</v>
      </c>
      <c r="N7" s="61">
        <v>24.69</v>
      </c>
      <c r="O7" s="61">
        <v>27.53</v>
      </c>
      <c r="P7" s="61">
        <v>21.19</v>
      </c>
      <c r="Q7" s="74"/>
    </row>
    <row r="8" spans="2:17" ht="15.6" thickBot="1" x14ac:dyDescent="0.3">
      <c r="B8" s="58">
        <v>3</v>
      </c>
      <c r="C8" s="60">
        <f t="shared" ref="C8:C26" si="0">C7+1</f>
        <v>2023</v>
      </c>
      <c r="D8" s="61">
        <v>25.24</v>
      </c>
      <c r="E8" s="61">
        <v>26.5</v>
      </c>
      <c r="F8" s="61">
        <v>19.77</v>
      </c>
      <c r="G8" s="61">
        <v>14.79</v>
      </c>
      <c r="H8" s="61">
        <v>9.6999999999999993</v>
      </c>
      <c r="I8" s="61">
        <v>10.29</v>
      </c>
      <c r="J8" s="61">
        <v>20.13</v>
      </c>
      <c r="K8" s="61">
        <v>21.93</v>
      </c>
      <c r="L8" s="61">
        <v>23.68</v>
      </c>
      <c r="M8" s="61">
        <v>23.11</v>
      </c>
      <c r="N8" s="61">
        <v>24.42</v>
      </c>
      <c r="O8" s="61">
        <v>27.09</v>
      </c>
      <c r="P8" s="61">
        <v>20.53</v>
      </c>
      <c r="Q8" s="74"/>
    </row>
    <row r="9" spans="2:17" ht="15.6" thickBot="1" x14ac:dyDescent="0.3">
      <c r="B9" s="205">
        <v>4</v>
      </c>
      <c r="C9" s="60">
        <f t="shared" si="0"/>
        <v>2024</v>
      </c>
      <c r="D9" s="61">
        <v>24.49</v>
      </c>
      <c r="E9" s="61">
        <v>25.82</v>
      </c>
      <c r="F9" s="61">
        <v>18.79</v>
      </c>
      <c r="G9" s="61">
        <v>13.88</v>
      </c>
      <c r="H9" s="61">
        <v>7.17</v>
      </c>
      <c r="I9" s="61">
        <v>9.23</v>
      </c>
      <c r="J9" s="61">
        <v>18.46</v>
      </c>
      <c r="K9" s="61">
        <v>22.35</v>
      </c>
      <c r="L9" s="61">
        <v>24</v>
      </c>
      <c r="M9" s="61">
        <v>22.97</v>
      </c>
      <c r="N9" s="61">
        <v>24.39</v>
      </c>
      <c r="O9" s="61">
        <v>26.06</v>
      </c>
      <c r="P9" s="61">
        <v>19.79</v>
      </c>
      <c r="Q9" s="74"/>
    </row>
    <row r="10" spans="2:17" ht="15.6" thickBot="1" x14ac:dyDescent="0.3">
      <c r="B10" s="58">
        <v>5</v>
      </c>
      <c r="C10" s="60">
        <f t="shared" si="0"/>
        <v>2025</v>
      </c>
      <c r="D10" s="61">
        <v>24.49</v>
      </c>
      <c r="E10" s="61">
        <v>25.82</v>
      </c>
      <c r="F10" s="61">
        <v>18.97</v>
      </c>
      <c r="G10" s="61">
        <v>12.83</v>
      </c>
      <c r="H10" s="61">
        <v>7.53</v>
      </c>
      <c r="I10" s="61">
        <v>9.73</v>
      </c>
      <c r="J10" s="61">
        <v>18.21</v>
      </c>
      <c r="K10" s="61">
        <v>22.47</v>
      </c>
      <c r="L10" s="61">
        <v>24.22</v>
      </c>
      <c r="M10" s="61">
        <v>22.79</v>
      </c>
      <c r="N10" s="61">
        <v>23.8</v>
      </c>
      <c r="O10" s="61">
        <v>26.5</v>
      </c>
      <c r="P10" s="61">
        <v>19.75</v>
      </c>
      <c r="Q10" s="74"/>
    </row>
    <row r="11" spans="2:17" ht="15.6" thickBot="1" x14ac:dyDescent="0.3">
      <c r="B11" s="58">
        <v>6</v>
      </c>
      <c r="C11" s="60">
        <f t="shared" si="0"/>
        <v>2026</v>
      </c>
      <c r="D11" s="61">
        <v>24.38</v>
      </c>
      <c r="E11" s="61">
        <v>26.73</v>
      </c>
      <c r="F11" s="61">
        <v>18.2</v>
      </c>
      <c r="G11" s="61">
        <v>13.87</v>
      </c>
      <c r="H11" s="61">
        <v>7.99</v>
      </c>
      <c r="I11" s="61">
        <v>9.5500000000000007</v>
      </c>
      <c r="J11" s="61">
        <v>18.670000000000002</v>
      </c>
      <c r="K11" s="61">
        <v>22.57</v>
      </c>
      <c r="L11" s="61">
        <v>24.01</v>
      </c>
      <c r="M11" s="61">
        <v>23.09</v>
      </c>
      <c r="N11" s="61">
        <v>23.99</v>
      </c>
      <c r="O11" s="61">
        <v>26.99</v>
      </c>
      <c r="P11" s="61">
        <v>19.97</v>
      </c>
      <c r="Q11" s="74"/>
    </row>
    <row r="12" spans="2:17" ht="15.6" thickBot="1" x14ac:dyDescent="0.3">
      <c r="B12" s="205">
        <v>7</v>
      </c>
      <c r="C12" s="60">
        <f t="shared" si="0"/>
        <v>2027</v>
      </c>
      <c r="D12" s="61">
        <v>28.08</v>
      </c>
      <c r="E12" s="61">
        <v>28.91</v>
      </c>
      <c r="F12" s="61">
        <v>19.71</v>
      </c>
      <c r="G12" s="61">
        <v>15.44</v>
      </c>
      <c r="H12" s="61">
        <v>9.14</v>
      </c>
      <c r="I12" s="61">
        <v>10.75</v>
      </c>
      <c r="J12" s="61">
        <v>22.01</v>
      </c>
      <c r="K12" s="61">
        <v>26.84</v>
      </c>
      <c r="L12" s="61">
        <v>28.62</v>
      </c>
      <c r="M12" s="61">
        <v>28.87</v>
      </c>
      <c r="N12" s="61">
        <v>29</v>
      </c>
      <c r="O12" s="61">
        <v>31.2</v>
      </c>
      <c r="P12" s="61">
        <v>23.19</v>
      </c>
      <c r="Q12" s="74"/>
    </row>
    <row r="13" spans="2:17" ht="15.6" thickBot="1" x14ac:dyDescent="0.3">
      <c r="B13" s="58">
        <v>8</v>
      </c>
      <c r="C13" s="60">
        <f t="shared" si="0"/>
        <v>2028</v>
      </c>
      <c r="D13" s="61">
        <v>28.71</v>
      </c>
      <c r="E13" s="61">
        <v>29.47</v>
      </c>
      <c r="F13" s="61">
        <v>19.64</v>
      </c>
      <c r="G13" s="61">
        <v>16.52</v>
      </c>
      <c r="H13" s="61">
        <v>9.08</v>
      </c>
      <c r="I13" s="61">
        <v>11.2</v>
      </c>
      <c r="J13" s="61">
        <v>23.79</v>
      </c>
      <c r="K13" s="61">
        <v>28.14</v>
      </c>
      <c r="L13" s="61">
        <v>32.15</v>
      </c>
      <c r="M13" s="61">
        <v>31.02</v>
      </c>
      <c r="N13" s="61">
        <v>30.01</v>
      </c>
      <c r="O13" s="61">
        <v>33.369999999999997</v>
      </c>
      <c r="P13" s="61">
        <v>24.42</v>
      </c>
      <c r="Q13" s="74"/>
    </row>
    <row r="14" spans="2:17" ht="15.6" thickBot="1" x14ac:dyDescent="0.3">
      <c r="B14" s="58">
        <v>9</v>
      </c>
      <c r="C14" s="60">
        <f t="shared" si="0"/>
        <v>2029</v>
      </c>
      <c r="D14" s="61">
        <v>29.33</v>
      </c>
      <c r="E14" s="61">
        <v>31.29</v>
      </c>
      <c r="F14" s="61">
        <v>19.63</v>
      </c>
      <c r="G14" s="61">
        <v>20.07</v>
      </c>
      <c r="H14" s="61">
        <v>8.8699999999999992</v>
      </c>
      <c r="I14" s="61">
        <v>11.5</v>
      </c>
      <c r="J14" s="61">
        <v>23.61</v>
      </c>
      <c r="K14" s="61">
        <v>30.2</v>
      </c>
      <c r="L14" s="61">
        <v>35.24</v>
      </c>
      <c r="M14" s="61">
        <v>32.07</v>
      </c>
      <c r="N14" s="61">
        <v>28.96</v>
      </c>
      <c r="O14" s="61">
        <v>34.85</v>
      </c>
      <c r="P14" s="61">
        <v>25.44</v>
      </c>
      <c r="Q14" s="74"/>
    </row>
    <row r="15" spans="2:17" ht="15.6" thickBot="1" x14ac:dyDescent="0.3">
      <c r="B15" s="205">
        <v>10</v>
      </c>
      <c r="C15" s="60">
        <f t="shared" si="0"/>
        <v>2030</v>
      </c>
      <c r="D15" s="61">
        <v>29.05</v>
      </c>
      <c r="E15" s="61">
        <v>30.29</v>
      </c>
      <c r="F15" s="61">
        <v>18.28</v>
      </c>
      <c r="G15" s="61">
        <v>18.75</v>
      </c>
      <c r="H15" s="61">
        <v>8.06</v>
      </c>
      <c r="I15" s="61">
        <v>10.96</v>
      </c>
      <c r="J15" s="61">
        <v>22.71</v>
      </c>
      <c r="K15" s="61">
        <v>29.93</v>
      </c>
      <c r="L15" s="61">
        <v>34.659999999999997</v>
      </c>
      <c r="M15" s="61">
        <v>32.94</v>
      </c>
      <c r="N15" s="61">
        <v>30.73</v>
      </c>
      <c r="O15" s="61">
        <v>34.61</v>
      </c>
      <c r="P15" s="61">
        <v>25.05</v>
      </c>
      <c r="Q15" s="74"/>
    </row>
    <row r="16" spans="2:17" ht="15.6" thickBot="1" x14ac:dyDescent="0.3">
      <c r="B16" s="58">
        <v>11</v>
      </c>
      <c r="C16" s="60">
        <f t="shared" si="0"/>
        <v>2031</v>
      </c>
      <c r="D16" s="61">
        <v>28.42</v>
      </c>
      <c r="E16" s="61">
        <v>30.42</v>
      </c>
      <c r="F16" s="61">
        <v>18.22</v>
      </c>
      <c r="G16" s="61">
        <v>18.190000000000001</v>
      </c>
      <c r="H16" s="61">
        <v>8.5500000000000007</v>
      </c>
      <c r="I16" s="61">
        <v>11.12</v>
      </c>
      <c r="J16" s="61">
        <v>22.13</v>
      </c>
      <c r="K16" s="61">
        <v>29.98</v>
      </c>
      <c r="L16" s="61">
        <v>34.53</v>
      </c>
      <c r="M16" s="61">
        <v>32.65</v>
      </c>
      <c r="N16" s="61">
        <v>29.03</v>
      </c>
      <c r="O16" s="61">
        <v>34.49</v>
      </c>
      <c r="P16" s="61">
        <v>24.78</v>
      </c>
      <c r="Q16" s="74"/>
    </row>
    <row r="17" spans="2:17" ht="15.6" thickBot="1" x14ac:dyDescent="0.3">
      <c r="B17" s="58">
        <v>12</v>
      </c>
      <c r="C17" s="60">
        <f t="shared" si="0"/>
        <v>2032</v>
      </c>
      <c r="D17" s="61">
        <v>28.24</v>
      </c>
      <c r="E17" s="61">
        <v>29.21</v>
      </c>
      <c r="F17" s="61">
        <v>18.309999999999999</v>
      </c>
      <c r="G17" s="61">
        <v>19.43</v>
      </c>
      <c r="H17" s="61">
        <v>10.210000000000001</v>
      </c>
      <c r="I17" s="61">
        <v>10.67</v>
      </c>
      <c r="J17" s="61">
        <v>23.05</v>
      </c>
      <c r="K17" s="61">
        <v>29.05</v>
      </c>
      <c r="L17" s="61">
        <v>33.67</v>
      </c>
      <c r="M17" s="61">
        <v>34.86</v>
      </c>
      <c r="N17" s="61">
        <v>32.28</v>
      </c>
      <c r="O17" s="61">
        <v>35.65</v>
      </c>
      <c r="P17" s="61">
        <v>25.38</v>
      </c>
      <c r="Q17" s="74"/>
    </row>
    <row r="18" spans="2:17" ht="15.6" thickBot="1" x14ac:dyDescent="0.3">
      <c r="B18" s="205">
        <v>13</v>
      </c>
      <c r="C18" s="60">
        <f t="shared" si="0"/>
        <v>2033</v>
      </c>
      <c r="D18" s="61">
        <v>29.08</v>
      </c>
      <c r="E18" s="61">
        <v>31.54</v>
      </c>
      <c r="F18" s="61">
        <v>19.170000000000002</v>
      </c>
      <c r="G18" s="61">
        <v>19.670000000000002</v>
      </c>
      <c r="H18" s="61">
        <v>9.61</v>
      </c>
      <c r="I18" s="61">
        <v>11.64</v>
      </c>
      <c r="J18" s="61">
        <v>24.84</v>
      </c>
      <c r="K18" s="61">
        <v>29.95</v>
      </c>
      <c r="L18" s="61">
        <v>34.57</v>
      </c>
      <c r="M18" s="61">
        <v>37.49</v>
      </c>
      <c r="N18" s="61">
        <v>36.03</v>
      </c>
      <c r="O18" s="61">
        <v>37.07</v>
      </c>
      <c r="P18" s="61">
        <v>26.69</v>
      </c>
      <c r="Q18" s="74"/>
    </row>
    <row r="19" spans="2:17" ht="15.6" thickBot="1" x14ac:dyDescent="0.3">
      <c r="B19" s="58">
        <v>14</v>
      </c>
      <c r="C19" s="60">
        <f t="shared" si="0"/>
        <v>2034</v>
      </c>
      <c r="D19" s="61">
        <v>29.79</v>
      </c>
      <c r="E19" s="61">
        <v>32.26</v>
      </c>
      <c r="F19" s="61">
        <v>19.170000000000002</v>
      </c>
      <c r="G19" s="61">
        <v>19.690000000000001</v>
      </c>
      <c r="H19" s="61">
        <v>10.51</v>
      </c>
      <c r="I19" s="61">
        <v>12.34</v>
      </c>
      <c r="J19" s="61">
        <v>27.12</v>
      </c>
      <c r="K19" s="61">
        <v>30.25</v>
      </c>
      <c r="L19" s="61">
        <v>36.25</v>
      </c>
      <c r="M19" s="61">
        <v>37.68</v>
      </c>
      <c r="N19" s="61">
        <v>35.17</v>
      </c>
      <c r="O19" s="61">
        <v>38.81</v>
      </c>
      <c r="P19" s="61">
        <v>27.4</v>
      </c>
      <c r="Q19" s="74"/>
    </row>
    <row r="20" spans="2:17" ht="15.6" thickBot="1" x14ac:dyDescent="0.3">
      <c r="B20" s="58">
        <v>15</v>
      </c>
      <c r="C20" s="60">
        <f t="shared" si="0"/>
        <v>2035</v>
      </c>
      <c r="D20" s="61">
        <v>31</v>
      </c>
      <c r="E20" s="61">
        <v>35.33</v>
      </c>
      <c r="F20" s="61">
        <v>19.95</v>
      </c>
      <c r="G20" s="61">
        <v>22.93</v>
      </c>
      <c r="H20" s="61">
        <v>11.6</v>
      </c>
      <c r="I20" s="61">
        <v>12.6</v>
      </c>
      <c r="J20" s="61">
        <v>27.03</v>
      </c>
      <c r="K20" s="61">
        <v>32.04</v>
      </c>
      <c r="L20" s="61">
        <v>37.97</v>
      </c>
      <c r="M20" s="61">
        <v>36.64</v>
      </c>
      <c r="N20" s="61">
        <v>32.090000000000003</v>
      </c>
      <c r="O20" s="61">
        <v>40.270000000000003</v>
      </c>
      <c r="P20" s="61">
        <v>28.25</v>
      </c>
      <c r="Q20" s="74"/>
    </row>
    <row r="21" spans="2:17" ht="15.6" thickBot="1" x14ac:dyDescent="0.3">
      <c r="B21" s="205">
        <v>16</v>
      </c>
      <c r="C21" s="60">
        <f t="shared" si="0"/>
        <v>2036</v>
      </c>
      <c r="D21" s="61">
        <v>31.9</v>
      </c>
      <c r="E21" s="61">
        <v>35.4</v>
      </c>
      <c r="F21" s="61">
        <v>20.49</v>
      </c>
      <c r="G21" s="61">
        <v>21.57</v>
      </c>
      <c r="H21" s="61">
        <v>11.51</v>
      </c>
      <c r="I21" s="61">
        <v>13.52</v>
      </c>
      <c r="J21" s="61">
        <v>29.25</v>
      </c>
      <c r="K21" s="61">
        <v>34.32</v>
      </c>
      <c r="L21" s="61">
        <v>39.07</v>
      </c>
      <c r="M21" s="61">
        <v>38.76</v>
      </c>
      <c r="N21" s="61">
        <v>38.04</v>
      </c>
      <c r="O21" s="61">
        <v>42.85</v>
      </c>
      <c r="P21" s="61">
        <v>29.71</v>
      </c>
      <c r="Q21" s="74"/>
    </row>
    <row r="22" spans="2:17" ht="15.6" thickBot="1" x14ac:dyDescent="0.3">
      <c r="B22" s="58">
        <v>17</v>
      </c>
      <c r="C22" s="60">
        <f t="shared" si="0"/>
        <v>2037</v>
      </c>
      <c r="D22" s="61">
        <v>32.89</v>
      </c>
      <c r="E22" s="61">
        <v>35.549999999999997</v>
      </c>
      <c r="F22" s="61">
        <v>19.899999999999999</v>
      </c>
      <c r="G22" s="61">
        <v>20.059999999999999</v>
      </c>
      <c r="H22" s="61">
        <v>11.58</v>
      </c>
      <c r="I22" s="61">
        <v>12.92</v>
      </c>
      <c r="J22" s="61">
        <v>30.46</v>
      </c>
      <c r="K22" s="61">
        <v>34.47</v>
      </c>
      <c r="L22" s="61">
        <v>38.51</v>
      </c>
      <c r="M22" s="61">
        <v>38.58</v>
      </c>
      <c r="N22" s="61">
        <v>35.590000000000003</v>
      </c>
      <c r="O22" s="61">
        <v>42.87</v>
      </c>
      <c r="P22" s="61">
        <v>29.43</v>
      </c>
      <c r="Q22" s="74"/>
    </row>
    <row r="23" spans="2:17" ht="15.6" thickBot="1" x14ac:dyDescent="0.3">
      <c r="B23" s="58">
        <v>18</v>
      </c>
      <c r="C23" s="60">
        <f t="shared" si="0"/>
        <v>2038</v>
      </c>
      <c r="D23" s="61">
        <v>33.049999999999997</v>
      </c>
      <c r="E23" s="61">
        <v>34.31</v>
      </c>
      <c r="F23" s="61">
        <v>19.61</v>
      </c>
      <c r="G23" s="61">
        <v>20.59</v>
      </c>
      <c r="H23" s="61">
        <v>12.34</v>
      </c>
      <c r="I23" s="61">
        <v>12.73</v>
      </c>
      <c r="J23" s="61">
        <v>30.02</v>
      </c>
      <c r="K23" s="61">
        <v>34.49</v>
      </c>
      <c r="L23" s="61">
        <v>38.54</v>
      </c>
      <c r="M23" s="61">
        <v>38.11</v>
      </c>
      <c r="N23" s="61">
        <v>34.6</v>
      </c>
      <c r="O23" s="61">
        <v>43.72</v>
      </c>
      <c r="P23" s="61">
        <v>29.33</v>
      </c>
      <c r="Q23" s="74"/>
    </row>
    <row r="24" spans="2:17" ht="15.6" thickBot="1" x14ac:dyDescent="0.3">
      <c r="B24" s="205">
        <v>19</v>
      </c>
      <c r="C24" s="60">
        <f t="shared" si="0"/>
        <v>2039</v>
      </c>
      <c r="D24" s="61">
        <v>31.29</v>
      </c>
      <c r="E24" s="61">
        <v>33.46</v>
      </c>
      <c r="F24" s="61">
        <v>18.2</v>
      </c>
      <c r="G24" s="61">
        <v>19.010000000000002</v>
      </c>
      <c r="H24" s="61">
        <v>10.72</v>
      </c>
      <c r="I24" s="61">
        <v>12.48</v>
      </c>
      <c r="J24" s="61">
        <v>30.87</v>
      </c>
      <c r="K24" s="61">
        <v>34.28</v>
      </c>
      <c r="L24" s="61">
        <v>40.25</v>
      </c>
      <c r="M24" s="61">
        <v>38.630000000000003</v>
      </c>
      <c r="N24" s="61">
        <v>36.81</v>
      </c>
      <c r="O24" s="61">
        <v>43.64</v>
      </c>
      <c r="P24" s="61">
        <v>29.12</v>
      </c>
      <c r="Q24" s="74"/>
    </row>
    <row r="25" spans="2:17" ht="15.6" thickBot="1" x14ac:dyDescent="0.3">
      <c r="B25" s="58">
        <v>20</v>
      </c>
      <c r="C25" s="60">
        <f t="shared" si="0"/>
        <v>2040</v>
      </c>
      <c r="D25" s="61">
        <v>31.22</v>
      </c>
      <c r="E25" s="61">
        <v>33.69</v>
      </c>
      <c r="F25" s="61">
        <v>17.21</v>
      </c>
      <c r="G25" s="61">
        <v>18.62</v>
      </c>
      <c r="H25" s="61">
        <v>10</v>
      </c>
      <c r="I25" s="61">
        <v>12.67</v>
      </c>
      <c r="J25" s="61">
        <v>30.73</v>
      </c>
      <c r="K25" s="61">
        <v>33.44</v>
      </c>
      <c r="L25" s="61">
        <v>41.9</v>
      </c>
      <c r="M25" s="61">
        <v>38.880000000000003</v>
      </c>
      <c r="N25" s="61">
        <v>37.619999999999997</v>
      </c>
      <c r="O25" s="61">
        <v>46.67</v>
      </c>
      <c r="P25" s="61">
        <v>29.38</v>
      </c>
      <c r="Q25" s="74"/>
    </row>
    <row r="26" spans="2:17" ht="15.6" thickBot="1" x14ac:dyDescent="0.3">
      <c r="B26" s="58">
        <v>21</v>
      </c>
      <c r="C26" s="60">
        <f t="shared" si="0"/>
        <v>2041</v>
      </c>
      <c r="D26" s="61">
        <v>32.164082861395279</v>
      </c>
      <c r="E26" s="61">
        <v>35.504147865942542</v>
      </c>
      <c r="F26" s="61">
        <v>18.229325039147003</v>
      </c>
      <c r="G26" s="61">
        <v>21.06981062992579</v>
      </c>
      <c r="H26" s="61">
        <v>10.597179332707995</v>
      </c>
      <c r="I26" s="61">
        <v>12.793587119525496</v>
      </c>
      <c r="J26" s="61">
        <v>29.372693910311035</v>
      </c>
      <c r="K26" s="61">
        <v>38.672033721500981</v>
      </c>
      <c r="L26" s="61">
        <v>45.789087776756929</v>
      </c>
      <c r="M26" s="61">
        <v>37.024253941191112</v>
      </c>
      <c r="N26" s="61">
        <v>35.392446995443741</v>
      </c>
      <c r="O26" s="61">
        <v>48.413458762309865</v>
      </c>
      <c r="P26" s="61">
        <v>30.39487115211346</v>
      </c>
      <c r="Q26" s="74"/>
    </row>
    <row r="27" spans="2:17" ht="15.6" thickBot="1" x14ac:dyDescent="0.3">
      <c r="C27" s="62"/>
      <c r="D27" s="63"/>
      <c r="E27" s="63"/>
      <c r="F27" s="63"/>
      <c r="G27" s="63"/>
      <c r="H27" s="63"/>
      <c r="I27" s="63"/>
      <c r="J27" s="63"/>
      <c r="K27" s="63"/>
      <c r="L27" s="63"/>
      <c r="M27" s="63"/>
      <c r="N27" s="63"/>
      <c r="O27" s="63"/>
      <c r="P27" s="64"/>
      <c r="Q27" s="73"/>
    </row>
    <row r="28" spans="2:17" ht="15.6" thickBot="1" x14ac:dyDescent="0.3">
      <c r="O28" s="65" t="s">
        <v>53</v>
      </c>
      <c r="P28" s="66">
        <f>-PMT(Rate_of_Return,20,NPV(Rate_of_Return,P6:P25))</f>
        <v>23.824071369256131</v>
      </c>
      <c r="Q28" s="72"/>
    </row>
    <row r="29" spans="2:17" ht="15.6" thickBot="1" x14ac:dyDescent="0.3">
      <c r="O29" s="65" t="s">
        <v>54</v>
      </c>
      <c r="P29" s="249">
        <f>-PMT(Rate_of_Return,15,NPV(Rate_of_Return,P6:P20))</f>
        <v>22.949093496230017</v>
      </c>
      <c r="Q29" s="72"/>
    </row>
    <row r="31" spans="2:17" x14ac:dyDescent="0.25">
      <c r="B31"/>
      <c r="C31"/>
      <c r="D31"/>
      <c r="E31"/>
      <c r="F31"/>
      <c r="G31"/>
      <c r="H31"/>
      <c r="I31"/>
      <c r="J31"/>
      <c r="K31"/>
      <c r="L31"/>
      <c r="M31"/>
      <c r="N31"/>
      <c r="O31"/>
      <c r="P31"/>
      <c r="Q31"/>
    </row>
    <row r="32" spans="2:17" x14ac:dyDescent="0.25">
      <c r="B32"/>
      <c r="C32"/>
      <c r="D32"/>
      <c r="E32"/>
      <c r="F32"/>
      <c r="G32"/>
      <c r="H32"/>
      <c r="I32"/>
      <c r="J32"/>
      <c r="K32"/>
      <c r="L32"/>
      <c r="M32"/>
      <c r="N32"/>
      <c r="O32"/>
      <c r="P32"/>
      <c r="Q32"/>
    </row>
    <row r="33" spans="2:17" x14ac:dyDescent="0.25">
      <c r="B33"/>
      <c r="C33"/>
      <c r="D33"/>
      <c r="E33"/>
      <c r="F33"/>
      <c r="G33"/>
      <c r="H33"/>
      <c r="I33"/>
      <c r="J33"/>
      <c r="K33"/>
      <c r="L33"/>
      <c r="M33"/>
      <c r="N33"/>
      <c r="O33"/>
      <c r="P33"/>
      <c r="Q33"/>
    </row>
    <row r="34" spans="2:17" x14ac:dyDescent="0.25">
      <c r="B34"/>
      <c r="C34"/>
      <c r="D34"/>
      <c r="E34"/>
      <c r="F34"/>
      <c r="G34"/>
      <c r="H34"/>
      <c r="I34"/>
      <c r="J34"/>
      <c r="K34"/>
      <c r="L34"/>
      <c r="M34"/>
      <c r="N34"/>
      <c r="O34"/>
      <c r="P34"/>
      <c r="Q34"/>
    </row>
    <row r="35" spans="2:17" ht="15.6" customHeight="1" x14ac:dyDescent="0.25">
      <c r="B35"/>
      <c r="C35"/>
      <c r="D35"/>
      <c r="E35"/>
      <c r="F35"/>
      <c r="G35"/>
      <c r="H35"/>
      <c r="I35"/>
      <c r="J35"/>
      <c r="K35"/>
      <c r="L35"/>
      <c r="M35"/>
      <c r="N35"/>
      <c r="O35"/>
      <c r="P35"/>
      <c r="Q35"/>
    </row>
    <row r="36" spans="2:17" x14ac:dyDescent="0.25">
      <c r="B36"/>
      <c r="C36"/>
      <c r="D36"/>
      <c r="E36"/>
      <c r="F36"/>
      <c r="G36"/>
      <c r="H36"/>
      <c r="I36"/>
      <c r="J36"/>
      <c r="K36"/>
      <c r="L36"/>
      <c r="M36"/>
      <c r="N36"/>
      <c r="O36"/>
      <c r="P36"/>
      <c r="Q36"/>
    </row>
    <row r="37" spans="2:17" ht="40.950000000000003" customHeight="1" x14ac:dyDescent="0.25">
      <c r="B37"/>
      <c r="C37"/>
      <c r="D37"/>
      <c r="E37"/>
      <c r="F37"/>
      <c r="G37"/>
      <c r="H37"/>
      <c r="I37"/>
      <c r="J37"/>
      <c r="K37"/>
      <c r="L37"/>
      <c r="M37"/>
      <c r="N37"/>
      <c r="O37"/>
      <c r="P37"/>
      <c r="Q37"/>
    </row>
    <row r="38" spans="2:17" x14ac:dyDescent="0.25">
      <c r="B38"/>
      <c r="C38"/>
      <c r="D38"/>
      <c r="E38"/>
      <c r="F38"/>
      <c r="G38"/>
      <c r="H38"/>
      <c r="I38"/>
      <c r="J38"/>
      <c r="K38"/>
      <c r="L38"/>
      <c r="M38"/>
      <c r="N38"/>
      <c r="O38"/>
      <c r="P38"/>
      <c r="Q38"/>
    </row>
    <row r="39" spans="2:17" x14ac:dyDescent="0.25">
      <c r="B39"/>
      <c r="C39"/>
      <c r="D39"/>
      <c r="E39"/>
      <c r="F39"/>
      <c r="G39"/>
      <c r="H39"/>
      <c r="I39"/>
      <c r="J39"/>
      <c r="K39"/>
      <c r="L39"/>
      <c r="M39"/>
      <c r="N39"/>
      <c r="O39"/>
      <c r="P39"/>
      <c r="Q39"/>
    </row>
    <row r="40" spans="2:17" x14ac:dyDescent="0.25">
      <c r="B40"/>
      <c r="C40"/>
      <c r="D40"/>
      <c r="E40"/>
      <c r="F40"/>
      <c r="G40"/>
      <c r="H40"/>
      <c r="I40"/>
      <c r="J40"/>
      <c r="K40"/>
      <c r="L40"/>
      <c r="M40"/>
      <c r="N40"/>
      <c r="O40"/>
      <c r="P40"/>
      <c r="Q40"/>
    </row>
    <row r="41" spans="2:17" x14ac:dyDescent="0.25">
      <c r="B41"/>
      <c r="C41"/>
      <c r="D41"/>
      <c r="E41"/>
      <c r="F41"/>
      <c r="G41"/>
      <c r="H41"/>
      <c r="I41"/>
      <c r="J41"/>
      <c r="K41"/>
      <c r="L41"/>
      <c r="M41"/>
      <c r="N41"/>
      <c r="O41"/>
      <c r="P41"/>
      <c r="Q41"/>
    </row>
    <row r="42" spans="2:17" ht="93.6" customHeight="1" x14ac:dyDescent="0.25">
      <c r="B42"/>
      <c r="C42"/>
      <c r="D42"/>
      <c r="E42"/>
      <c r="F42"/>
      <c r="G42"/>
      <c r="H42"/>
      <c r="I42"/>
      <c r="J42"/>
      <c r="K42"/>
      <c r="L42"/>
      <c r="M42"/>
      <c r="N42"/>
      <c r="O42"/>
      <c r="P42"/>
      <c r="Q42"/>
    </row>
    <row r="43" spans="2:17" ht="80.400000000000006" customHeight="1" x14ac:dyDescent="0.25">
      <c r="B43"/>
      <c r="C43"/>
      <c r="D43"/>
      <c r="E43"/>
      <c r="F43"/>
      <c r="G43"/>
      <c r="H43"/>
      <c r="I43"/>
      <c r="J43"/>
      <c r="K43"/>
      <c r="L43"/>
      <c r="M43"/>
      <c r="N43"/>
      <c r="O43"/>
      <c r="P43"/>
      <c r="Q43"/>
    </row>
    <row r="44" spans="2:17" x14ac:dyDescent="0.25">
      <c r="B44"/>
      <c r="C44"/>
      <c r="D44"/>
      <c r="E44"/>
      <c r="F44"/>
      <c r="G44"/>
      <c r="H44"/>
      <c r="I44"/>
      <c r="J44"/>
      <c r="K44"/>
      <c r="L44"/>
      <c r="M44"/>
      <c r="N44"/>
      <c r="O44"/>
      <c r="P44"/>
      <c r="Q44"/>
    </row>
    <row r="45" spans="2:17" x14ac:dyDescent="0.25">
      <c r="B45"/>
      <c r="C45"/>
      <c r="D45"/>
      <c r="E45"/>
      <c r="F45"/>
      <c r="G45"/>
      <c r="H45"/>
      <c r="I45"/>
      <c r="J45"/>
      <c r="K45"/>
      <c r="L45"/>
      <c r="M45"/>
      <c r="N45"/>
      <c r="O45"/>
      <c r="P45"/>
      <c r="Q45"/>
    </row>
    <row r="46" spans="2:17" x14ac:dyDescent="0.25">
      <c r="B46"/>
      <c r="C46"/>
      <c r="D46"/>
      <c r="E46"/>
      <c r="F46"/>
      <c r="G46"/>
      <c r="H46"/>
      <c r="I46"/>
      <c r="J46"/>
      <c r="K46"/>
      <c r="L46"/>
      <c r="M46"/>
      <c r="N46"/>
      <c r="O46"/>
      <c r="P46"/>
      <c r="Q46"/>
    </row>
    <row r="47" spans="2:17" x14ac:dyDescent="0.25">
      <c r="B47"/>
      <c r="C47"/>
      <c r="D47"/>
      <c r="E47"/>
      <c r="F47"/>
      <c r="G47"/>
      <c r="H47"/>
      <c r="I47"/>
      <c r="J47"/>
      <c r="K47"/>
      <c r="L47"/>
      <c r="M47"/>
      <c r="N47"/>
      <c r="O47"/>
      <c r="P47"/>
      <c r="Q47"/>
    </row>
    <row r="48" spans="2:17" x14ac:dyDescent="0.25">
      <c r="B48"/>
      <c r="C48"/>
      <c r="D48"/>
      <c r="E48"/>
      <c r="F48"/>
      <c r="G48"/>
      <c r="H48"/>
      <c r="I48"/>
      <c r="J48"/>
      <c r="K48"/>
      <c r="L48"/>
      <c r="M48"/>
      <c r="N48"/>
      <c r="O48"/>
      <c r="P48"/>
      <c r="Q48"/>
    </row>
    <row r="49" spans="2:17" x14ac:dyDescent="0.25">
      <c r="B49"/>
      <c r="C49"/>
      <c r="D49"/>
      <c r="E49"/>
      <c r="F49"/>
      <c r="G49"/>
      <c r="H49"/>
      <c r="I49"/>
      <c r="J49"/>
      <c r="K49"/>
      <c r="L49"/>
      <c r="M49"/>
      <c r="N49"/>
      <c r="O49"/>
      <c r="P49"/>
      <c r="Q49"/>
    </row>
    <row r="50" spans="2:17" x14ac:dyDescent="0.25">
      <c r="B50"/>
      <c r="C50"/>
      <c r="D50"/>
      <c r="E50"/>
      <c r="F50"/>
      <c r="G50"/>
      <c r="H50"/>
      <c r="I50"/>
      <c r="J50"/>
      <c r="K50"/>
      <c r="L50"/>
      <c r="M50"/>
      <c r="N50"/>
      <c r="O50"/>
      <c r="P50"/>
      <c r="Q50"/>
    </row>
    <row r="51" spans="2:17" x14ac:dyDescent="0.25">
      <c r="B51"/>
      <c r="C51"/>
      <c r="D51"/>
      <c r="E51"/>
      <c r="F51"/>
      <c r="G51"/>
      <c r="H51"/>
      <c r="I51"/>
      <c r="J51"/>
      <c r="K51"/>
      <c r="L51"/>
      <c r="M51"/>
      <c r="N51"/>
      <c r="O51"/>
      <c r="P51"/>
      <c r="Q51"/>
    </row>
    <row r="52" spans="2:17" x14ac:dyDescent="0.25">
      <c r="B52"/>
      <c r="C52"/>
      <c r="D52"/>
      <c r="E52"/>
      <c r="F52"/>
      <c r="G52"/>
      <c r="H52"/>
      <c r="I52"/>
      <c r="J52"/>
      <c r="K52"/>
      <c r="L52"/>
      <c r="M52"/>
      <c r="N52"/>
      <c r="O52"/>
      <c r="P52"/>
      <c r="Q52"/>
    </row>
    <row r="53" spans="2:17" x14ac:dyDescent="0.25">
      <c r="B53"/>
      <c r="C53"/>
      <c r="D53"/>
      <c r="E53"/>
      <c r="F53"/>
      <c r="G53"/>
      <c r="H53"/>
      <c r="I53"/>
      <c r="J53"/>
      <c r="K53"/>
      <c r="L53"/>
      <c r="M53"/>
      <c r="N53"/>
      <c r="O53"/>
      <c r="P53"/>
      <c r="Q53"/>
    </row>
    <row r="54" spans="2:17" x14ac:dyDescent="0.25">
      <c r="B54"/>
      <c r="C54"/>
      <c r="D54"/>
      <c r="E54"/>
      <c r="F54"/>
      <c r="G54"/>
      <c r="H54"/>
      <c r="I54"/>
      <c r="J54"/>
      <c r="K54"/>
      <c r="L54"/>
      <c r="M54"/>
      <c r="N54"/>
      <c r="O54"/>
      <c r="P54"/>
      <c r="Q54"/>
    </row>
    <row r="55" spans="2:17" x14ac:dyDescent="0.25">
      <c r="B55"/>
      <c r="C55"/>
      <c r="D55"/>
      <c r="E55"/>
      <c r="F55"/>
      <c r="G55"/>
      <c r="H55"/>
      <c r="I55"/>
      <c r="J55"/>
      <c r="K55"/>
      <c r="L55"/>
      <c r="M55"/>
      <c r="N55"/>
      <c r="O55"/>
      <c r="P55"/>
      <c r="Q55"/>
    </row>
    <row r="56" spans="2:17" x14ac:dyDescent="0.25">
      <c r="B56"/>
      <c r="C56"/>
      <c r="D56"/>
      <c r="E56"/>
      <c r="F56"/>
      <c r="G56"/>
      <c r="H56"/>
      <c r="I56"/>
      <c r="J56"/>
      <c r="K56"/>
      <c r="L56"/>
      <c r="M56"/>
      <c r="N56"/>
      <c r="O56"/>
      <c r="P56"/>
      <c r="Q56"/>
    </row>
    <row r="57" spans="2:17" x14ac:dyDescent="0.25">
      <c r="B57"/>
      <c r="C57"/>
      <c r="D57"/>
      <c r="E57"/>
      <c r="F57"/>
      <c r="G57"/>
      <c r="H57"/>
      <c r="I57"/>
      <c r="J57"/>
      <c r="K57"/>
      <c r="L57"/>
      <c r="M57"/>
      <c r="N57"/>
      <c r="O57"/>
      <c r="P57"/>
      <c r="Q57"/>
    </row>
    <row r="58" spans="2:17" x14ac:dyDescent="0.25">
      <c r="B58"/>
      <c r="C58"/>
      <c r="D58"/>
      <c r="E58"/>
      <c r="F58"/>
      <c r="G58"/>
      <c r="H58"/>
      <c r="I58"/>
      <c r="J58"/>
      <c r="K58"/>
      <c r="L58"/>
      <c r="M58"/>
      <c r="N58"/>
      <c r="O58"/>
      <c r="P58"/>
      <c r="Q58"/>
    </row>
    <row r="59" spans="2:17" x14ac:dyDescent="0.25">
      <c r="B59"/>
      <c r="C59"/>
      <c r="D59"/>
      <c r="E59"/>
      <c r="F59"/>
      <c r="G59"/>
      <c r="H59"/>
      <c r="I59"/>
      <c r="J59"/>
      <c r="K59"/>
      <c r="L59"/>
      <c r="M59"/>
      <c r="N59"/>
      <c r="O59"/>
      <c r="P59"/>
      <c r="Q59"/>
    </row>
    <row r="60" spans="2:17" x14ac:dyDescent="0.25">
      <c r="B60"/>
      <c r="C60"/>
      <c r="D60"/>
      <c r="E60"/>
      <c r="F60"/>
      <c r="G60"/>
      <c r="H60"/>
      <c r="I60"/>
      <c r="J60"/>
      <c r="K60"/>
      <c r="L60"/>
      <c r="M60"/>
      <c r="N60"/>
      <c r="O60"/>
      <c r="P60"/>
      <c r="Q60"/>
    </row>
    <row r="61" spans="2:17" x14ac:dyDescent="0.25">
      <c r="B61"/>
      <c r="C61"/>
      <c r="D61"/>
      <c r="E61"/>
      <c r="F61"/>
      <c r="G61"/>
      <c r="H61"/>
      <c r="I61"/>
      <c r="J61"/>
      <c r="K61"/>
      <c r="L61"/>
      <c r="M61"/>
      <c r="N61"/>
      <c r="O61"/>
      <c r="P61"/>
      <c r="Q61"/>
    </row>
    <row r="62" spans="2:17" x14ac:dyDescent="0.25">
      <c r="B62"/>
      <c r="C62"/>
      <c r="D62"/>
      <c r="E62"/>
      <c r="F62"/>
      <c r="G62"/>
      <c r="H62"/>
      <c r="I62"/>
      <c r="J62"/>
      <c r="K62"/>
      <c r="L62"/>
      <c r="M62"/>
      <c r="N62"/>
      <c r="O62"/>
      <c r="P62"/>
      <c r="Q62"/>
    </row>
    <row r="63" spans="2:17" x14ac:dyDescent="0.25">
      <c r="B63"/>
      <c r="C63"/>
      <c r="D63"/>
      <c r="E63"/>
      <c r="F63"/>
      <c r="G63"/>
      <c r="H63"/>
      <c r="I63"/>
      <c r="J63"/>
      <c r="K63"/>
      <c r="L63"/>
      <c r="M63"/>
      <c r="N63"/>
      <c r="O63"/>
      <c r="P63"/>
      <c r="Q63"/>
    </row>
    <row r="64" spans="2:17" x14ac:dyDescent="0.25">
      <c r="B64"/>
      <c r="C64"/>
      <c r="D64"/>
      <c r="E64"/>
      <c r="F64"/>
      <c r="G64"/>
      <c r="H64"/>
      <c r="I64"/>
      <c r="J64"/>
      <c r="K64"/>
      <c r="L64"/>
      <c r="M64"/>
      <c r="N64"/>
      <c r="O64"/>
      <c r="P64"/>
      <c r="Q64"/>
    </row>
    <row r="65" spans="2:17" x14ac:dyDescent="0.25">
      <c r="B65"/>
      <c r="C65"/>
      <c r="D65"/>
      <c r="E65"/>
      <c r="F65"/>
      <c r="G65"/>
      <c r="H65"/>
      <c r="I65"/>
      <c r="J65"/>
      <c r="K65"/>
      <c r="L65"/>
      <c r="M65"/>
      <c r="N65"/>
      <c r="O65"/>
      <c r="P65"/>
      <c r="Q65"/>
    </row>
    <row r="66" spans="2:17" x14ac:dyDescent="0.25">
      <c r="B66"/>
      <c r="C66"/>
      <c r="D66"/>
      <c r="E66"/>
      <c r="F66"/>
      <c r="G66"/>
      <c r="H66"/>
      <c r="I66"/>
      <c r="J66"/>
      <c r="K66"/>
      <c r="L66"/>
      <c r="M66"/>
      <c r="N66"/>
      <c r="O66"/>
      <c r="P66"/>
      <c r="Q66"/>
    </row>
    <row r="67" spans="2:17" x14ac:dyDescent="0.25">
      <c r="B67"/>
      <c r="C67"/>
      <c r="D67"/>
      <c r="E67"/>
      <c r="F67"/>
      <c r="G67"/>
      <c r="H67"/>
      <c r="I67"/>
      <c r="J67"/>
      <c r="K67"/>
      <c r="L67"/>
      <c r="M67"/>
      <c r="N67"/>
      <c r="O67"/>
      <c r="P67"/>
      <c r="Q67"/>
    </row>
    <row r="68" spans="2:17" x14ac:dyDescent="0.25">
      <c r="B68"/>
      <c r="C68"/>
      <c r="D68"/>
      <c r="E68"/>
      <c r="F68"/>
      <c r="G68"/>
      <c r="H68"/>
      <c r="I68"/>
      <c r="J68"/>
      <c r="K68"/>
      <c r="L68"/>
      <c r="M68"/>
      <c r="N68"/>
      <c r="O68"/>
      <c r="P68"/>
      <c r="Q68"/>
    </row>
    <row r="69" spans="2:17" x14ac:dyDescent="0.25">
      <c r="B69"/>
      <c r="C69"/>
      <c r="D69"/>
      <c r="E69"/>
      <c r="F69"/>
      <c r="G69"/>
      <c r="H69"/>
      <c r="I69"/>
      <c r="J69"/>
      <c r="K69"/>
      <c r="L69"/>
      <c r="M69"/>
      <c r="N69"/>
      <c r="O69"/>
      <c r="P69"/>
      <c r="Q69"/>
    </row>
    <row r="70" spans="2:17" x14ac:dyDescent="0.25">
      <c r="B70"/>
      <c r="C70"/>
      <c r="D70"/>
      <c r="E70"/>
      <c r="F70"/>
      <c r="G70"/>
      <c r="H70"/>
      <c r="I70"/>
      <c r="J70"/>
      <c r="K70"/>
      <c r="L70"/>
      <c r="M70"/>
      <c r="N70"/>
      <c r="O70"/>
      <c r="P70"/>
      <c r="Q70"/>
    </row>
    <row r="71" spans="2:17" x14ac:dyDescent="0.25">
      <c r="B71"/>
      <c r="C71"/>
      <c r="D71"/>
      <c r="E71"/>
      <c r="F71"/>
      <c r="G71"/>
      <c r="H71"/>
      <c r="I71"/>
      <c r="J71"/>
      <c r="K71"/>
      <c r="L71"/>
      <c r="M71"/>
      <c r="N71"/>
      <c r="O71"/>
      <c r="P71"/>
      <c r="Q71"/>
    </row>
    <row r="72" spans="2:17" x14ac:dyDescent="0.25">
      <c r="B72"/>
      <c r="C72"/>
      <c r="D72"/>
      <c r="E72"/>
      <c r="F72"/>
      <c r="G72"/>
      <c r="H72"/>
      <c r="I72"/>
      <c r="J72"/>
      <c r="K72"/>
      <c r="L72"/>
      <c r="M72"/>
      <c r="N72"/>
      <c r="O72"/>
      <c r="P72"/>
      <c r="Q72"/>
    </row>
    <row r="73" spans="2:17" x14ac:dyDescent="0.25">
      <c r="B73"/>
      <c r="C73"/>
      <c r="D73"/>
      <c r="E73"/>
      <c r="F73"/>
      <c r="G73"/>
      <c r="H73"/>
      <c r="I73"/>
      <c r="J73"/>
      <c r="K73"/>
      <c r="L73"/>
      <c r="M73"/>
      <c r="N73"/>
      <c r="O73"/>
      <c r="P73"/>
      <c r="Q73"/>
    </row>
    <row r="74" spans="2:17" x14ac:dyDescent="0.25">
      <c r="B74"/>
      <c r="C74"/>
      <c r="D74"/>
      <c r="E74"/>
      <c r="F74"/>
      <c r="G74"/>
      <c r="H74"/>
      <c r="I74"/>
      <c r="J74"/>
      <c r="K74"/>
      <c r="L74"/>
      <c r="M74"/>
      <c r="N74"/>
      <c r="O74"/>
      <c r="P74"/>
      <c r="Q74"/>
    </row>
    <row r="75" spans="2:17" x14ac:dyDescent="0.25">
      <c r="B75"/>
      <c r="C75"/>
      <c r="D75"/>
      <c r="E75"/>
      <c r="F75"/>
      <c r="G75"/>
      <c r="H75"/>
      <c r="I75"/>
      <c r="J75"/>
      <c r="K75"/>
      <c r="L75"/>
      <c r="M75"/>
      <c r="N75"/>
      <c r="O75"/>
      <c r="P75"/>
      <c r="Q75"/>
    </row>
    <row r="76" spans="2:17" x14ac:dyDescent="0.25">
      <c r="B76"/>
      <c r="C76"/>
      <c r="D76"/>
      <c r="E76"/>
      <c r="F76"/>
      <c r="G76"/>
      <c r="H76"/>
      <c r="I76"/>
      <c r="J76"/>
      <c r="K76"/>
      <c r="L76"/>
      <c r="M76"/>
      <c r="N76"/>
      <c r="O76"/>
      <c r="P76"/>
      <c r="Q76"/>
    </row>
    <row r="77" spans="2:17" x14ac:dyDescent="0.25">
      <c r="B77"/>
      <c r="C77"/>
      <c r="D77"/>
      <c r="E77"/>
      <c r="F77"/>
      <c r="G77"/>
      <c r="H77"/>
      <c r="I77"/>
      <c r="J77"/>
      <c r="K77"/>
      <c r="L77"/>
      <c r="M77"/>
      <c r="N77"/>
      <c r="O77"/>
      <c r="P77"/>
      <c r="Q77"/>
    </row>
    <row r="78" spans="2:17" x14ac:dyDescent="0.25">
      <c r="B78"/>
      <c r="C78"/>
      <c r="D78"/>
      <c r="E78"/>
      <c r="F78"/>
      <c r="G78"/>
      <c r="H78"/>
      <c r="I78"/>
      <c r="J78"/>
      <c r="K78"/>
      <c r="L78"/>
      <c r="M78"/>
      <c r="N78"/>
      <c r="O78"/>
      <c r="P78"/>
      <c r="Q78"/>
    </row>
    <row r="79" spans="2:17" x14ac:dyDescent="0.25">
      <c r="B79"/>
      <c r="C79"/>
      <c r="D79"/>
      <c r="E79"/>
      <c r="F79"/>
      <c r="G79"/>
      <c r="H79"/>
      <c r="I79"/>
      <c r="J79"/>
      <c r="K79"/>
      <c r="L79"/>
      <c r="M79"/>
      <c r="N79"/>
      <c r="O79"/>
      <c r="P79"/>
      <c r="Q79"/>
    </row>
    <row r="80" spans="2:17" x14ac:dyDescent="0.25">
      <c r="B80"/>
      <c r="C80"/>
      <c r="D80"/>
      <c r="E80"/>
      <c r="F80"/>
      <c r="G80"/>
      <c r="H80"/>
      <c r="I80"/>
      <c r="J80"/>
      <c r="K80"/>
      <c r="L80"/>
      <c r="M80"/>
      <c r="N80"/>
      <c r="O80"/>
      <c r="P80"/>
      <c r="Q80"/>
    </row>
    <row r="81" spans="2:17" x14ac:dyDescent="0.25">
      <c r="B81"/>
      <c r="C81"/>
      <c r="D81"/>
      <c r="E81"/>
      <c r="F81"/>
      <c r="G81"/>
      <c r="H81"/>
      <c r="I81"/>
      <c r="J81"/>
      <c r="K81"/>
      <c r="L81"/>
      <c r="M81"/>
      <c r="N81"/>
      <c r="O81"/>
      <c r="P81"/>
      <c r="Q81"/>
    </row>
    <row r="82" spans="2:17" x14ac:dyDescent="0.25">
      <c r="B82"/>
      <c r="C82"/>
      <c r="D82"/>
      <c r="E82"/>
      <c r="F82"/>
      <c r="G82"/>
      <c r="H82"/>
      <c r="I82"/>
      <c r="J82"/>
      <c r="K82"/>
      <c r="L82"/>
      <c r="M82"/>
      <c r="N82"/>
      <c r="O82"/>
      <c r="P82"/>
      <c r="Q82"/>
    </row>
    <row r="83" spans="2:17" x14ac:dyDescent="0.25">
      <c r="B83"/>
      <c r="C83"/>
      <c r="D83"/>
      <c r="E83"/>
      <c r="F83"/>
      <c r="G83"/>
      <c r="H83"/>
      <c r="I83"/>
      <c r="J83"/>
      <c r="K83"/>
      <c r="L83"/>
      <c r="M83"/>
      <c r="N83"/>
      <c r="O83"/>
      <c r="P83"/>
      <c r="Q83"/>
    </row>
    <row r="84" spans="2:17" x14ac:dyDescent="0.25">
      <c r="B84"/>
      <c r="C84"/>
      <c r="D84"/>
      <c r="E84"/>
      <c r="F84"/>
      <c r="G84"/>
      <c r="H84"/>
      <c r="I84"/>
      <c r="J84"/>
      <c r="K84"/>
      <c r="L84"/>
      <c r="M84"/>
      <c r="N84"/>
      <c r="O84"/>
      <c r="P84"/>
      <c r="Q84"/>
    </row>
    <row r="85" spans="2:17" x14ac:dyDescent="0.25">
      <c r="B85"/>
      <c r="C85"/>
      <c r="D85"/>
      <c r="E85"/>
      <c r="F85"/>
      <c r="G85"/>
      <c r="H85"/>
      <c r="I85"/>
      <c r="J85"/>
      <c r="K85"/>
      <c r="L85"/>
      <c r="M85"/>
      <c r="N85"/>
      <c r="O85"/>
      <c r="P85"/>
      <c r="Q85"/>
    </row>
    <row r="86" spans="2:17" x14ac:dyDescent="0.25">
      <c r="B86"/>
      <c r="C86"/>
      <c r="D86"/>
      <c r="E86"/>
      <c r="F86"/>
      <c r="G86"/>
      <c r="H86"/>
      <c r="I86"/>
      <c r="J86"/>
      <c r="K86"/>
      <c r="L86"/>
      <c r="M86"/>
      <c r="N86"/>
      <c r="O86"/>
      <c r="P86"/>
      <c r="Q86"/>
    </row>
    <row r="87" spans="2:17" x14ac:dyDescent="0.25">
      <c r="B87"/>
      <c r="C87"/>
      <c r="D87"/>
      <c r="E87"/>
      <c r="F87"/>
      <c r="G87"/>
      <c r="H87"/>
      <c r="I87"/>
      <c r="J87"/>
      <c r="K87"/>
      <c r="L87"/>
      <c r="M87"/>
      <c r="N87"/>
      <c r="O87"/>
      <c r="P87"/>
      <c r="Q87"/>
    </row>
    <row r="88" spans="2:17" x14ac:dyDescent="0.25">
      <c r="B88"/>
      <c r="C88"/>
      <c r="D88"/>
      <c r="E88"/>
      <c r="F88"/>
      <c r="G88"/>
      <c r="H88"/>
      <c r="I88"/>
      <c r="J88"/>
      <c r="K88"/>
      <c r="L88"/>
      <c r="M88"/>
      <c r="N88"/>
      <c r="O88"/>
      <c r="P88"/>
      <c r="Q88"/>
    </row>
    <row r="89" spans="2:17" x14ac:dyDescent="0.25">
      <c r="B89"/>
      <c r="C89"/>
      <c r="D89"/>
      <c r="E89"/>
      <c r="F89"/>
      <c r="G89"/>
      <c r="H89"/>
      <c r="I89"/>
      <c r="J89"/>
      <c r="K89"/>
      <c r="L89"/>
      <c r="M89"/>
      <c r="N89"/>
      <c r="O89"/>
      <c r="P89"/>
      <c r="Q89"/>
    </row>
    <row r="90" spans="2:17" x14ac:dyDescent="0.25">
      <c r="B90"/>
      <c r="C90"/>
      <c r="D90"/>
      <c r="E90"/>
      <c r="F90"/>
      <c r="G90"/>
      <c r="H90"/>
      <c r="I90"/>
      <c r="J90"/>
      <c r="K90"/>
      <c r="L90"/>
      <c r="M90"/>
      <c r="N90"/>
      <c r="O90"/>
      <c r="P90"/>
      <c r="Q90"/>
    </row>
    <row r="91" spans="2:17" x14ac:dyDescent="0.25">
      <c r="B91"/>
      <c r="C91"/>
      <c r="D91"/>
      <c r="E91"/>
      <c r="F91"/>
      <c r="G91"/>
      <c r="H91"/>
      <c r="I91"/>
      <c r="J91"/>
      <c r="K91"/>
      <c r="L91"/>
      <c r="M91"/>
      <c r="N91"/>
      <c r="O91"/>
      <c r="P91"/>
      <c r="Q91"/>
    </row>
    <row r="92" spans="2:17" x14ac:dyDescent="0.25">
      <c r="B92"/>
      <c r="C92"/>
      <c r="D92"/>
      <c r="E92"/>
      <c r="F92"/>
      <c r="G92"/>
      <c r="H92"/>
      <c r="I92"/>
      <c r="J92"/>
      <c r="K92"/>
      <c r="L92"/>
      <c r="M92"/>
      <c r="N92"/>
      <c r="O92"/>
      <c r="P92"/>
      <c r="Q92"/>
    </row>
    <row r="93" spans="2:17" x14ac:dyDescent="0.25">
      <c r="B93"/>
      <c r="C93"/>
      <c r="D93"/>
      <c r="E93"/>
      <c r="F93"/>
      <c r="G93"/>
      <c r="H93"/>
      <c r="I93"/>
      <c r="J93"/>
      <c r="K93"/>
      <c r="L93"/>
      <c r="M93"/>
      <c r="N93"/>
      <c r="O93"/>
      <c r="P93"/>
      <c r="Q93"/>
    </row>
    <row r="94" spans="2:17" x14ac:dyDescent="0.25">
      <c r="B94"/>
      <c r="C94"/>
      <c r="D94"/>
      <c r="E94"/>
      <c r="F94"/>
      <c r="G94"/>
      <c r="H94"/>
      <c r="I94"/>
      <c r="J94"/>
      <c r="K94"/>
      <c r="L94"/>
      <c r="M94"/>
      <c r="N94"/>
      <c r="O94"/>
      <c r="P94"/>
      <c r="Q94"/>
    </row>
    <row r="95" spans="2:17" x14ac:dyDescent="0.25">
      <c r="B95"/>
      <c r="C95"/>
      <c r="D95"/>
      <c r="E95"/>
      <c r="F95"/>
      <c r="G95"/>
      <c r="H95"/>
      <c r="I95"/>
      <c r="J95"/>
      <c r="K95"/>
      <c r="L95"/>
      <c r="M95"/>
      <c r="N95"/>
      <c r="O95"/>
      <c r="P95"/>
      <c r="Q95"/>
    </row>
    <row r="96" spans="2:17" x14ac:dyDescent="0.25">
      <c r="B96"/>
      <c r="C96"/>
      <c r="D96"/>
      <c r="E96"/>
      <c r="F96"/>
      <c r="G96"/>
      <c r="H96"/>
      <c r="I96"/>
      <c r="J96"/>
      <c r="K96"/>
      <c r="L96"/>
      <c r="M96"/>
      <c r="N96"/>
      <c r="O96"/>
      <c r="P96"/>
      <c r="Q96"/>
    </row>
  </sheetData>
  <customSheetViews>
    <customSheetView guid="{78103E26-15C6-4D37-9879-762EF0B43905}" fitToPage="1">
      <pageMargins left="0.75" right="0.5" top="0.76" bottom="0.79" header="0.5" footer="0.26"/>
      <pageSetup scale="57" orientation="landscape" r:id="rId1"/>
      <headerFooter alignWithMargins="0">
        <oddFooter>&amp;L&amp;F&amp;C&amp;A&amp;RPSE Advice No. 2018-48 &amp;D
Page &amp;P of &amp;N</oddFooter>
      </headerFooter>
    </customSheetView>
  </customSheetViews>
  <mergeCells count="1">
    <mergeCell ref="C2:Q2"/>
  </mergeCells>
  <pageMargins left="0.75" right="0.5" top="0.76" bottom="0.79" header="0.5" footer="0.26"/>
  <pageSetup scale="57" orientation="landscape" r:id="rId2"/>
  <headerFooter alignWithMargins="0">
    <oddFooter>&amp;L&amp;F&amp;C&amp;A&amp;RPSE Advice No. 2018-48 &amp;D
Page &amp;P of &amp;N</oddFooter>
  </headerFooter>
  <customProperties>
    <customPr name="_pios_id" r:id="rId3"/>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S42"/>
  <sheetViews>
    <sheetView workbookViewId="0"/>
  </sheetViews>
  <sheetFormatPr defaultColWidth="8.88671875" defaultRowHeight="13.2" x14ac:dyDescent="0.25"/>
  <cols>
    <col min="1" max="1" width="2.6640625" style="216" customWidth="1"/>
    <col min="2" max="2" width="3.88671875" style="216" bestFit="1" customWidth="1"/>
    <col min="3" max="3" width="9" style="216" bestFit="1" customWidth="1"/>
    <col min="4" max="4" width="23" style="216" customWidth="1"/>
    <col min="5" max="5" width="24.6640625" style="216" customWidth="1"/>
    <col min="6" max="6" width="2.109375" style="173" customWidth="1"/>
    <col min="7" max="7" width="17.44140625" style="216" bestFit="1" customWidth="1"/>
    <col min="8" max="9" width="13.88671875" style="216" bestFit="1" customWidth="1"/>
    <col min="10" max="10" width="2.109375" style="173" customWidth="1"/>
    <col min="11" max="11" width="8.88671875" style="216"/>
    <col min="12" max="12" width="14.6640625" style="216" customWidth="1"/>
    <col min="13" max="13" width="2.109375" style="173" customWidth="1"/>
    <col min="14" max="14" width="14" style="216" customWidth="1"/>
    <col min="15" max="15" width="11.33203125" style="216" bestFit="1" customWidth="1"/>
    <col min="16" max="16" width="13.6640625" style="216" customWidth="1"/>
    <col min="17" max="17" width="10.109375" style="216" bestFit="1" customWidth="1"/>
    <col min="18" max="18" width="12.109375" style="216" customWidth="1"/>
    <col min="19" max="19" width="11.33203125" style="216" bestFit="1" customWidth="1"/>
    <col min="20" max="16384" width="8.88671875" style="216"/>
  </cols>
  <sheetData>
    <row r="1" spans="1:19" x14ac:dyDescent="0.25">
      <c r="O1" s="247"/>
      <c r="Q1" s="247"/>
    </row>
    <row r="2" spans="1:19" x14ac:dyDescent="0.25">
      <c r="K2" s="173"/>
      <c r="L2" s="173"/>
      <c r="O2" s="248"/>
      <c r="P2" s="173"/>
      <c r="Q2" s="248"/>
      <c r="R2" s="173"/>
      <c r="S2" s="248"/>
    </row>
    <row r="3" spans="1:19" s="284" customFormat="1" ht="27.6" customHeight="1" thickBot="1" x14ac:dyDescent="0.3">
      <c r="D3" s="369" t="s">
        <v>39</v>
      </c>
      <c r="E3" s="369"/>
      <c r="F3" s="265"/>
      <c r="G3" s="362" t="s">
        <v>85</v>
      </c>
      <c r="H3" s="362"/>
      <c r="I3" s="362"/>
      <c r="J3" s="265"/>
      <c r="K3" s="265"/>
      <c r="L3" s="265"/>
      <c r="M3" s="265"/>
      <c r="N3" s="362" t="s">
        <v>86</v>
      </c>
      <c r="O3" s="362"/>
      <c r="P3" s="362"/>
      <c r="Q3" s="362"/>
      <c r="R3" s="362"/>
      <c r="S3" s="362"/>
    </row>
    <row r="4" spans="1:19" s="284" customFormat="1" ht="85.95" customHeight="1" x14ac:dyDescent="0.25">
      <c r="D4" s="269" t="s">
        <v>40</v>
      </c>
      <c r="E4" s="276" t="s">
        <v>87</v>
      </c>
      <c r="F4" s="265"/>
      <c r="G4" s="285" t="s">
        <v>107</v>
      </c>
      <c r="H4" s="285" t="s">
        <v>116</v>
      </c>
      <c r="I4" s="286" t="s">
        <v>117</v>
      </c>
      <c r="J4" s="218"/>
      <c r="K4" s="363" t="s">
        <v>108</v>
      </c>
      <c r="L4" s="366" t="s">
        <v>109</v>
      </c>
      <c r="M4" s="218"/>
      <c r="N4" s="287" t="s">
        <v>110</v>
      </c>
      <c r="O4" s="288" t="s">
        <v>111</v>
      </c>
      <c r="P4" s="318" t="s">
        <v>131</v>
      </c>
      <c r="Q4" s="288" t="s">
        <v>112</v>
      </c>
      <c r="R4" s="289" t="s">
        <v>114</v>
      </c>
      <c r="S4" s="288" t="s">
        <v>158</v>
      </c>
    </row>
    <row r="5" spans="1:19" s="284" customFormat="1" x14ac:dyDescent="0.25">
      <c r="C5" s="290"/>
      <c r="D5" s="271"/>
      <c r="E5" s="272"/>
      <c r="F5" s="265"/>
      <c r="G5" s="322">
        <v>1</v>
      </c>
      <c r="H5" s="323">
        <v>0.17799999999999999</v>
      </c>
      <c r="I5" s="324">
        <v>0.04</v>
      </c>
      <c r="J5" s="218"/>
      <c r="K5" s="364"/>
      <c r="L5" s="367"/>
      <c r="M5" s="218"/>
      <c r="N5" s="325">
        <v>1</v>
      </c>
      <c r="O5" s="291"/>
      <c r="P5" s="325">
        <v>0.36699999999999999</v>
      </c>
      <c r="Q5" s="291"/>
      <c r="R5" s="326">
        <v>0.24199999999999999</v>
      </c>
      <c r="S5" s="292"/>
    </row>
    <row r="6" spans="1:19" s="284" customFormat="1" ht="27" thickBot="1" x14ac:dyDescent="0.3">
      <c r="B6" s="290"/>
      <c r="C6" s="293"/>
      <c r="D6" s="273"/>
      <c r="E6" s="274" t="s">
        <v>89</v>
      </c>
      <c r="F6" s="265"/>
      <c r="G6" s="294" t="s">
        <v>89</v>
      </c>
      <c r="H6" s="294" t="s">
        <v>89</v>
      </c>
      <c r="I6" s="295" t="s">
        <v>89</v>
      </c>
      <c r="J6" s="265"/>
      <c r="K6" s="365"/>
      <c r="L6" s="368"/>
      <c r="M6" s="218"/>
      <c r="N6" s="296" t="s">
        <v>88</v>
      </c>
      <c r="O6" s="297" t="s">
        <v>14</v>
      </c>
      <c r="P6" s="296" t="s">
        <v>88</v>
      </c>
      <c r="Q6" s="297" t="s">
        <v>14</v>
      </c>
      <c r="R6" s="298" t="s">
        <v>88</v>
      </c>
      <c r="S6" s="297" t="s">
        <v>14</v>
      </c>
    </row>
    <row r="7" spans="1:19" x14ac:dyDescent="0.25">
      <c r="A7" s="219"/>
      <c r="B7" s="277">
        <v>1</v>
      </c>
      <c r="C7" s="270">
        <v>2021</v>
      </c>
      <c r="D7" s="222" t="s">
        <v>41</v>
      </c>
      <c r="E7" s="327">
        <v>95.27</v>
      </c>
      <c r="G7" s="224">
        <f t="shared" ref="G7:I27" si="0">G$5*$E7</f>
        <v>95.27</v>
      </c>
      <c r="H7" s="224">
        <f>H$5*$E7</f>
        <v>16.95806</v>
      </c>
      <c r="I7" s="226">
        <f>I$5*$E7</f>
        <v>3.8108</v>
      </c>
      <c r="K7" s="223">
        <f t="shared" ref="K7:K28" si="1">C7</f>
        <v>2021</v>
      </c>
      <c r="L7" s="301">
        <f t="shared" ref="L7:L28" si="2">(365+IF(MOD(K7,4)&gt;0,0,1))*24</f>
        <v>8760</v>
      </c>
      <c r="M7" s="217"/>
      <c r="N7" s="214">
        <f t="shared" ref="N7:N28" si="3">L7*$N$5</f>
        <v>8760</v>
      </c>
      <c r="O7" s="215">
        <f>(+G7*1000)/$N7</f>
        <v>10.875570776255708</v>
      </c>
      <c r="P7" s="214">
        <f>L7*$P$5</f>
        <v>3214.92</v>
      </c>
      <c r="Q7" s="215">
        <f>(+H7*1000)/$P7</f>
        <v>5.274799995023205</v>
      </c>
      <c r="R7" s="228">
        <f t="shared" ref="R7:R28" si="4">L7*$R$5</f>
        <v>2119.92</v>
      </c>
      <c r="S7" s="215">
        <f>(+I7*1000)/$R7</f>
        <v>1.7976150043397865</v>
      </c>
    </row>
    <row r="8" spans="1:19" x14ac:dyDescent="0.25">
      <c r="A8" s="219"/>
      <c r="B8" s="278">
        <f t="shared" ref="B8:B28" si="5">+B7+1</f>
        <v>2</v>
      </c>
      <c r="C8" s="220">
        <f>C7+1</f>
        <v>2022</v>
      </c>
      <c r="D8" s="222"/>
      <c r="E8" s="328">
        <v>95.27</v>
      </c>
      <c r="G8" s="225">
        <f t="shared" si="0"/>
        <v>95.27</v>
      </c>
      <c r="H8" s="224">
        <f t="shared" si="0"/>
        <v>16.95806</v>
      </c>
      <c r="I8" s="227">
        <f t="shared" si="0"/>
        <v>3.8108</v>
      </c>
      <c r="K8" s="209">
        <f t="shared" si="1"/>
        <v>2022</v>
      </c>
      <c r="L8" s="302">
        <f t="shared" si="2"/>
        <v>8760</v>
      </c>
      <c r="M8" s="217"/>
      <c r="N8" s="210">
        <f t="shared" si="3"/>
        <v>8760</v>
      </c>
      <c r="O8" s="211">
        <f>(+G8*1000)/$N8</f>
        <v>10.875570776255708</v>
      </c>
      <c r="P8" s="210">
        <f t="shared" ref="P8:P28" si="6">L8*$P$5</f>
        <v>3214.92</v>
      </c>
      <c r="Q8" s="211">
        <f t="shared" ref="Q8:Q28" si="7">(+H8*1000)/$P8</f>
        <v>5.274799995023205</v>
      </c>
      <c r="R8" s="229">
        <f>L8*$R$5</f>
        <v>2119.92</v>
      </c>
      <c r="S8" s="211">
        <f>(+I8*1000)/$R8</f>
        <v>1.7976150043397865</v>
      </c>
    </row>
    <row r="9" spans="1:19" x14ac:dyDescent="0.25">
      <c r="A9" s="219"/>
      <c r="B9" s="278">
        <f t="shared" si="5"/>
        <v>3</v>
      </c>
      <c r="C9" s="220">
        <f>+C8+1</f>
        <v>2023</v>
      </c>
      <c r="D9" s="222"/>
      <c r="E9" s="328">
        <v>95.27</v>
      </c>
      <c r="G9" s="225">
        <f t="shared" si="0"/>
        <v>95.27</v>
      </c>
      <c r="H9" s="224">
        <f t="shared" si="0"/>
        <v>16.95806</v>
      </c>
      <c r="I9" s="227">
        <f t="shared" si="0"/>
        <v>3.8108</v>
      </c>
      <c r="K9" s="209">
        <f t="shared" si="1"/>
        <v>2023</v>
      </c>
      <c r="L9" s="302">
        <f t="shared" si="2"/>
        <v>8760</v>
      </c>
      <c r="M9" s="217"/>
      <c r="N9" s="210">
        <f t="shared" si="3"/>
        <v>8760</v>
      </c>
      <c r="O9" s="211">
        <f t="shared" ref="O9:O28" si="8">(+G9*1000)/$N9</f>
        <v>10.875570776255708</v>
      </c>
      <c r="P9" s="210">
        <f t="shared" si="6"/>
        <v>3214.92</v>
      </c>
      <c r="Q9" s="211">
        <f t="shared" si="7"/>
        <v>5.274799995023205</v>
      </c>
      <c r="R9" s="229">
        <f t="shared" si="4"/>
        <v>2119.92</v>
      </c>
      <c r="S9" s="211">
        <f t="shared" ref="S9:S28" si="9">(+I9*1000)/$R9</f>
        <v>1.7976150043397865</v>
      </c>
    </row>
    <row r="10" spans="1:19" x14ac:dyDescent="0.25">
      <c r="A10" s="219"/>
      <c r="B10" s="278">
        <f t="shared" si="5"/>
        <v>4</v>
      </c>
      <c r="C10" s="220">
        <f t="shared" ref="C10:C28" si="10">+C9+1</f>
        <v>2024</v>
      </c>
      <c r="D10" s="222"/>
      <c r="E10" s="328">
        <v>95.27</v>
      </c>
      <c r="G10" s="225">
        <f t="shared" si="0"/>
        <v>95.27</v>
      </c>
      <c r="H10" s="224">
        <f t="shared" si="0"/>
        <v>16.95806</v>
      </c>
      <c r="I10" s="227">
        <f t="shared" si="0"/>
        <v>3.8108</v>
      </c>
      <c r="K10" s="209">
        <f t="shared" si="1"/>
        <v>2024</v>
      </c>
      <c r="L10" s="302">
        <f t="shared" si="2"/>
        <v>8784</v>
      </c>
      <c r="M10" s="217"/>
      <c r="N10" s="210">
        <f t="shared" si="3"/>
        <v>8784</v>
      </c>
      <c r="O10" s="211">
        <f t="shared" si="8"/>
        <v>10.845856102003642</v>
      </c>
      <c r="P10" s="210">
        <f t="shared" si="6"/>
        <v>3223.7280000000001</v>
      </c>
      <c r="Q10" s="211">
        <f t="shared" si="7"/>
        <v>5.2603879731788785</v>
      </c>
      <c r="R10" s="229">
        <f t="shared" si="4"/>
        <v>2125.7280000000001</v>
      </c>
      <c r="S10" s="211">
        <f t="shared" si="9"/>
        <v>1.7927034879344865</v>
      </c>
    </row>
    <row r="11" spans="1:19" x14ac:dyDescent="0.25">
      <c r="A11" s="219"/>
      <c r="B11" s="278">
        <f t="shared" si="5"/>
        <v>5</v>
      </c>
      <c r="C11" s="220">
        <f t="shared" si="10"/>
        <v>2025</v>
      </c>
      <c r="D11" s="222"/>
      <c r="E11" s="328">
        <v>95.27</v>
      </c>
      <c r="G11" s="225">
        <f t="shared" si="0"/>
        <v>95.27</v>
      </c>
      <c r="H11" s="224">
        <f t="shared" si="0"/>
        <v>16.95806</v>
      </c>
      <c r="I11" s="227">
        <f t="shared" si="0"/>
        <v>3.8108</v>
      </c>
      <c r="K11" s="209">
        <f t="shared" si="1"/>
        <v>2025</v>
      </c>
      <c r="L11" s="302">
        <f t="shared" si="2"/>
        <v>8760</v>
      </c>
      <c r="M11" s="217"/>
      <c r="N11" s="210">
        <f t="shared" si="3"/>
        <v>8760</v>
      </c>
      <c r="O11" s="211">
        <f t="shared" si="8"/>
        <v>10.875570776255708</v>
      </c>
      <c r="P11" s="210">
        <f t="shared" si="6"/>
        <v>3214.92</v>
      </c>
      <c r="Q11" s="211">
        <f t="shared" si="7"/>
        <v>5.274799995023205</v>
      </c>
      <c r="R11" s="229">
        <f t="shared" si="4"/>
        <v>2119.92</v>
      </c>
      <c r="S11" s="211">
        <f t="shared" si="9"/>
        <v>1.7976150043397865</v>
      </c>
    </row>
    <row r="12" spans="1:19" x14ac:dyDescent="0.25">
      <c r="A12" s="219"/>
      <c r="B12" s="278">
        <f t="shared" si="5"/>
        <v>6</v>
      </c>
      <c r="C12" s="220">
        <f t="shared" si="10"/>
        <v>2026</v>
      </c>
      <c r="D12" s="222"/>
      <c r="E12" s="328">
        <v>95.27</v>
      </c>
      <c r="G12" s="225">
        <f t="shared" si="0"/>
        <v>95.27</v>
      </c>
      <c r="H12" s="224">
        <f t="shared" si="0"/>
        <v>16.95806</v>
      </c>
      <c r="I12" s="227">
        <f t="shared" si="0"/>
        <v>3.8108</v>
      </c>
      <c r="K12" s="209">
        <f t="shared" si="1"/>
        <v>2026</v>
      </c>
      <c r="L12" s="302">
        <f t="shared" si="2"/>
        <v>8760</v>
      </c>
      <c r="M12" s="217"/>
      <c r="N12" s="210">
        <f t="shared" si="3"/>
        <v>8760</v>
      </c>
      <c r="O12" s="211">
        <f t="shared" si="8"/>
        <v>10.875570776255708</v>
      </c>
      <c r="P12" s="210">
        <f t="shared" si="6"/>
        <v>3214.92</v>
      </c>
      <c r="Q12" s="211">
        <f t="shared" si="7"/>
        <v>5.274799995023205</v>
      </c>
      <c r="R12" s="229">
        <f t="shared" si="4"/>
        <v>2119.92</v>
      </c>
      <c r="S12" s="211">
        <f t="shared" si="9"/>
        <v>1.7976150043397865</v>
      </c>
    </row>
    <row r="13" spans="1:19" x14ac:dyDescent="0.25">
      <c r="A13" s="219"/>
      <c r="B13" s="278">
        <f t="shared" si="5"/>
        <v>7</v>
      </c>
      <c r="C13" s="220">
        <f t="shared" si="10"/>
        <v>2027</v>
      </c>
      <c r="D13" s="222"/>
      <c r="E13" s="328">
        <v>95.27</v>
      </c>
      <c r="G13" s="225">
        <f t="shared" si="0"/>
        <v>95.27</v>
      </c>
      <c r="H13" s="224">
        <f t="shared" si="0"/>
        <v>16.95806</v>
      </c>
      <c r="I13" s="227">
        <f t="shared" si="0"/>
        <v>3.8108</v>
      </c>
      <c r="K13" s="209">
        <f t="shared" si="1"/>
        <v>2027</v>
      </c>
      <c r="L13" s="302">
        <f t="shared" si="2"/>
        <v>8760</v>
      </c>
      <c r="M13" s="217"/>
      <c r="N13" s="210">
        <f t="shared" si="3"/>
        <v>8760</v>
      </c>
      <c r="O13" s="211">
        <f t="shared" si="8"/>
        <v>10.875570776255708</v>
      </c>
      <c r="P13" s="210">
        <f t="shared" si="6"/>
        <v>3214.92</v>
      </c>
      <c r="Q13" s="211">
        <f t="shared" si="7"/>
        <v>5.274799995023205</v>
      </c>
      <c r="R13" s="229">
        <f t="shared" si="4"/>
        <v>2119.92</v>
      </c>
      <c r="S13" s="211">
        <f t="shared" si="9"/>
        <v>1.7976150043397865</v>
      </c>
    </row>
    <row r="14" spans="1:19" x14ac:dyDescent="0.25">
      <c r="A14" s="219"/>
      <c r="B14" s="278">
        <f t="shared" si="5"/>
        <v>8</v>
      </c>
      <c r="C14" s="220">
        <f t="shared" si="10"/>
        <v>2028</v>
      </c>
      <c r="D14" s="222"/>
      <c r="E14" s="328">
        <v>95.27</v>
      </c>
      <c r="G14" s="225">
        <f t="shared" si="0"/>
        <v>95.27</v>
      </c>
      <c r="H14" s="224">
        <f t="shared" si="0"/>
        <v>16.95806</v>
      </c>
      <c r="I14" s="227">
        <f t="shared" si="0"/>
        <v>3.8108</v>
      </c>
      <c r="K14" s="209">
        <f t="shared" si="1"/>
        <v>2028</v>
      </c>
      <c r="L14" s="302">
        <f t="shared" si="2"/>
        <v>8784</v>
      </c>
      <c r="M14" s="217"/>
      <c r="N14" s="210">
        <f t="shared" si="3"/>
        <v>8784</v>
      </c>
      <c r="O14" s="211">
        <f t="shared" si="8"/>
        <v>10.845856102003642</v>
      </c>
      <c r="P14" s="210">
        <f t="shared" si="6"/>
        <v>3223.7280000000001</v>
      </c>
      <c r="Q14" s="211">
        <f t="shared" si="7"/>
        <v>5.2603879731788785</v>
      </c>
      <c r="R14" s="229">
        <f t="shared" si="4"/>
        <v>2125.7280000000001</v>
      </c>
      <c r="S14" s="211">
        <f t="shared" si="9"/>
        <v>1.7927034879344865</v>
      </c>
    </row>
    <row r="15" spans="1:19" x14ac:dyDescent="0.25">
      <c r="A15" s="219"/>
      <c r="B15" s="278">
        <f t="shared" si="5"/>
        <v>9</v>
      </c>
      <c r="C15" s="220">
        <f t="shared" si="10"/>
        <v>2029</v>
      </c>
      <c r="D15" s="222"/>
      <c r="E15" s="328">
        <v>95.27</v>
      </c>
      <c r="G15" s="225">
        <f t="shared" si="0"/>
        <v>95.27</v>
      </c>
      <c r="H15" s="224">
        <f t="shared" si="0"/>
        <v>16.95806</v>
      </c>
      <c r="I15" s="227">
        <f t="shared" si="0"/>
        <v>3.8108</v>
      </c>
      <c r="K15" s="209">
        <f t="shared" si="1"/>
        <v>2029</v>
      </c>
      <c r="L15" s="302">
        <f t="shared" si="2"/>
        <v>8760</v>
      </c>
      <c r="M15" s="217"/>
      <c r="N15" s="210">
        <f t="shared" si="3"/>
        <v>8760</v>
      </c>
      <c r="O15" s="211">
        <f t="shared" si="8"/>
        <v>10.875570776255708</v>
      </c>
      <c r="P15" s="210">
        <f t="shared" si="6"/>
        <v>3214.92</v>
      </c>
      <c r="Q15" s="211">
        <f t="shared" si="7"/>
        <v>5.274799995023205</v>
      </c>
      <c r="R15" s="229">
        <f t="shared" si="4"/>
        <v>2119.92</v>
      </c>
      <c r="S15" s="211">
        <f t="shared" si="9"/>
        <v>1.7976150043397865</v>
      </c>
    </row>
    <row r="16" spans="1:19" x14ac:dyDescent="0.25">
      <c r="A16" s="219"/>
      <c r="B16" s="278">
        <f t="shared" si="5"/>
        <v>10</v>
      </c>
      <c r="C16" s="220">
        <f t="shared" si="10"/>
        <v>2030</v>
      </c>
      <c r="D16" s="222"/>
      <c r="E16" s="328">
        <v>95.27</v>
      </c>
      <c r="G16" s="225">
        <f t="shared" si="0"/>
        <v>95.27</v>
      </c>
      <c r="H16" s="224">
        <f t="shared" si="0"/>
        <v>16.95806</v>
      </c>
      <c r="I16" s="227">
        <f t="shared" si="0"/>
        <v>3.8108</v>
      </c>
      <c r="K16" s="209">
        <f t="shared" si="1"/>
        <v>2030</v>
      </c>
      <c r="L16" s="302">
        <f t="shared" si="2"/>
        <v>8760</v>
      </c>
      <c r="M16" s="217"/>
      <c r="N16" s="210">
        <f t="shared" si="3"/>
        <v>8760</v>
      </c>
      <c r="O16" s="211">
        <f t="shared" si="8"/>
        <v>10.875570776255708</v>
      </c>
      <c r="P16" s="210">
        <f t="shared" si="6"/>
        <v>3214.92</v>
      </c>
      <c r="Q16" s="211">
        <f t="shared" si="7"/>
        <v>5.274799995023205</v>
      </c>
      <c r="R16" s="229">
        <f t="shared" si="4"/>
        <v>2119.92</v>
      </c>
      <c r="S16" s="211">
        <f t="shared" si="9"/>
        <v>1.7976150043397865</v>
      </c>
    </row>
    <row r="17" spans="1:19" x14ac:dyDescent="0.25">
      <c r="A17" s="219"/>
      <c r="B17" s="278">
        <f t="shared" si="5"/>
        <v>11</v>
      </c>
      <c r="C17" s="220">
        <f t="shared" si="10"/>
        <v>2031</v>
      </c>
      <c r="D17" s="222"/>
      <c r="E17" s="328">
        <v>95.27</v>
      </c>
      <c r="G17" s="225">
        <f t="shared" si="0"/>
        <v>95.27</v>
      </c>
      <c r="H17" s="224">
        <f t="shared" si="0"/>
        <v>16.95806</v>
      </c>
      <c r="I17" s="227">
        <f t="shared" si="0"/>
        <v>3.8108</v>
      </c>
      <c r="K17" s="209">
        <f t="shared" si="1"/>
        <v>2031</v>
      </c>
      <c r="L17" s="302">
        <f t="shared" si="2"/>
        <v>8760</v>
      </c>
      <c r="M17" s="217"/>
      <c r="N17" s="210">
        <f t="shared" si="3"/>
        <v>8760</v>
      </c>
      <c r="O17" s="211">
        <f t="shared" si="8"/>
        <v>10.875570776255708</v>
      </c>
      <c r="P17" s="210">
        <f t="shared" si="6"/>
        <v>3214.92</v>
      </c>
      <c r="Q17" s="211">
        <f t="shared" si="7"/>
        <v>5.274799995023205</v>
      </c>
      <c r="R17" s="229">
        <f t="shared" si="4"/>
        <v>2119.92</v>
      </c>
      <c r="S17" s="211">
        <f t="shared" si="9"/>
        <v>1.7976150043397865</v>
      </c>
    </row>
    <row r="18" spans="1:19" x14ac:dyDescent="0.25">
      <c r="A18" s="219"/>
      <c r="B18" s="278">
        <f t="shared" si="5"/>
        <v>12</v>
      </c>
      <c r="C18" s="220">
        <f t="shared" si="10"/>
        <v>2032</v>
      </c>
      <c r="D18" s="222"/>
      <c r="E18" s="328">
        <v>95.27</v>
      </c>
      <c r="G18" s="225">
        <f t="shared" si="0"/>
        <v>95.27</v>
      </c>
      <c r="H18" s="224">
        <f t="shared" si="0"/>
        <v>16.95806</v>
      </c>
      <c r="I18" s="227">
        <f t="shared" si="0"/>
        <v>3.8108</v>
      </c>
      <c r="K18" s="209">
        <f t="shared" si="1"/>
        <v>2032</v>
      </c>
      <c r="L18" s="302">
        <f t="shared" si="2"/>
        <v>8784</v>
      </c>
      <c r="M18" s="217"/>
      <c r="N18" s="210">
        <f t="shared" si="3"/>
        <v>8784</v>
      </c>
      <c r="O18" s="211">
        <f t="shared" si="8"/>
        <v>10.845856102003642</v>
      </c>
      <c r="P18" s="210">
        <f t="shared" si="6"/>
        <v>3223.7280000000001</v>
      </c>
      <c r="Q18" s="211">
        <f t="shared" si="7"/>
        <v>5.2603879731788785</v>
      </c>
      <c r="R18" s="229">
        <f t="shared" si="4"/>
        <v>2125.7280000000001</v>
      </c>
      <c r="S18" s="211">
        <f t="shared" si="9"/>
        <v>1.7927034879344865</v>
      </c>
    </row>
    <row r="19" spans="1:19" x14ac:dyDescent="0.25">
      <c r="A19" s="219"/>
      <c r="B19" s="278">
        <f t="shared" si="5"/>
        <v>13</v>
      </c>
      <c r="C19" s="220">
        <f t="shared" si="10"/>
        <v>2033</v>
      </c>
      <c r="D19" s="222"/>
      <c r="E19" s="328">
        <v>95.27</v>
      </c>
      <c r="G19" s="225">
        <f t="shared" si="0"/>
        <v>95.27</v>
      </c>
      <c r="H19" s="224">
        <f t="shared" si="0"/>
        <v>16.95806</v>
      </c>
      <c r="I19" s="227">
        <f t="shared" si="0"/>
        <v>3.8108</v>
      </c>
      <c r="K19" s="209">
        <f t="shared" si="1"/>
        <v>2033</v>
      </c>
      <c r="L19" s="302">
        <f t="shared" si="2"/>
        <v>8760</v>
      </c>
      <c r="M19" s="217"/>
      <c r="N19" s="210">
        <f t="shared" si="3"/>
        <v>8760</v>
      </c>
      <c r="O19" s="211">
        <f t="shared" si="8"/>
        <v>10.875570776255708</v>
      </c>
      <c r="P19" s="210">
        <f t="shared" si="6"/>
        <v>3214.92</v>
      </c>
      <c r="Q19" s="211">
        <f t="shared" si="7"/>
        <v>5.274799995023205</v>
      </c>
      <c r="R19" s="229">
        <f t="shared" si="4"/>
        <v>2119.92</v>
      </c>
      <c r="S19" s="211">
        <f t="shared" si="9"/>
        <v>1.7976150043397865</v>
      </c>
    </row>
    <row r="20" spans="1:19" x14ac:dyDescent="0.25">
      <c r="A20" s="219"/>
      <c r="B20" s="278">
        <f t="shared" si="5"/>
        <v>14</v>
      </c>
      <c r="C20" s="220">
        <f t="shared" si="10"/>
        <v>2034</v>
      </c>
      <c r="D20" s="222"/>
      <c r="E20" s="328">
        <v>95.27</v>
      </c>
      <c r="G20" s="225">
        <f t="shared" si="0"/>
        <v>95.27</v>
      </c>
      <c r="H20" s="224">
        <f t="shared" si="0"/>
        <v>16.95806</v>
      </c>
      <c r="I20" s="227">
        <f t="shared" si="0"/>
        <v>3.8108</v>
      </c>
      <c r="K20" s="209">
        <f t="shared" si="1"/>
        <v>2034</v>
      </c>
      <c r="L20" s="302">
        <f t="shared" si="2"/>
        <v>8760</v>
      </c>
      <c r="M20" s="217"/>
      <c r="N20" s="210">
        <f t="shared" si="3"/>
        <v>8760</v>
      </c>
      <c r="O20" s="211">
        <f t="shared" si="8"/>
        <v>10.875570776255708</v>
      </c>
      <c r="P20" s="210">
        <f t="shared" si="6"/>
        <v>3214.92</v>
      </c>
      <c r="Q20" s="211">
        <f t="shared" si="7"/>
        <v>5.274799995023205</v>
      </c>
      <c r="R20" s="229">
        <f t="shared" si="4"/>
        <v>2119.92</v>
      </c>
      <c r="S20" s="211">
        <f t="shared" si="9"/>
        <v>1.7976150043397865</v>
      </c>
    </row>
    <row r="21" spans="1:19" x14ac:dyDescent="0.25">
      <c r="A21" s="219"/>
      <c r="B21" s="278">
        <f t="shared" si="5"/>
        <v>15</v>
      </c>
      <c r="C21" s="220">
        <f t="shared" si="10"/>
        <v>2035</v>
      </c>
      <c r="D21" s="222"/>
      <c r="E21" s="328">
        <v>95.27</v>
      </c>
      <c r="G21" s="225">
        <f t="shared" si="0"/>
        <v>95.27</v>
      </c>
      <c r="H21" s="224">
        <f t="shared" si="0"/>
        <v>16.95806</v>
      </c>
      <c r="I21" s="227">
        <f t="shared" si="0"/>
        <v>3.8108</v>
      </c>
      <c r="K21" s="209">
        <f t="shared" si="1"/>
        <v>2035</v>
      </c>
      <c r="L21" s="302">
        <f t="shared" si="2"/>
        <v>8760</v>
      </c>
      <c r="M21" s="217"/>
      <c r="N21" s="210">
        <f t="shared" si="3"/>
        <v>8760</v>
      </c>
      <c r="O21" s="211">
        <f t="shared" si="8"/>
        <v>10.875570776255708</v>
      </c>
      <c r="P21" s="210">
        <f t="shared" si="6"/>
        <v>3214.92</v>
      </c>
      <c r="Q21" s="211">
        <f t="shared" si="7"/>
        <v>5.274799995023205</v>
      </c>
      <c r="R21" s="229">
        <f t="shared" si="4"/>
        <v>2119.92</v>
      </c>
      <c r="S21" s="211">
        <f t="shared" si="9"/>
        <v>1.7976150043397865</v>
      </c>
    </row>
    <row r="22" spans="1:19" x14ac:dyDescent="0.25">
      <c r="A22" s="219"/>
      <c r="B22" s="278">
        <f t="shared" si="5"/>
        <v>16</v>
      </c>
      <c r="C22" s="220">
        <f t="shared" si="10"/>
        <v>2036</v>
      </c>
      <c r="D22" s="222"/>
      <c r="E22" s="328">
        <v>95.27</v>
      </c>
      <c r="G22" s="225">
        <f t="shared" si="0"/>
        <v>95.27</v>
      </c>
      <c r="H22" s="224">
        <f t="shared" si="0"/>
        <v>16.95806</v>
      </c>
      <c r="I22" s="227">
        <f t="shared" si="0"/>
        <v>3.8108</v>
      </c>
      <c r="K22" s="209">
        <f t="shared" si="1"/>
        <v>2036</v>
      </c>
      <c r="L22" s="302">
        <f t="shared" si="2"/>
        <v>8784</v>
      </c>
      <c r="M22" s="217"/>
      <c r="N22" s="210">
        <f t="shared" si="3"/>
        <v>8784</v>
      </c>
      <c r="O22" s="211">
        <f t="shared" si="8"/>
        <v>10.845856102003642</v>
      </c>
      <c r="P22" s="210">
        <f t="shared" si="6"/>
        <v>3223.7280000000001</v>
      </c>
      <c r="Q22" s="211">
        <f t="shared" si="7"/>
        <v>5.2603879731788785</v>
      </c>
      <c r="R22" s="229">
        <f t="shared" si="4"/>
        <v>2125.7280000000001</v>
      </c>
      <c r="S22" s="211">
        <f t="shared" si="9"/>
        <v>1.7927034879344865</v>
      </c>
    </row>
    <row r="23" spans="1:19" x14ac:dyDescent="0.25">
      <c r="A23" s="219"/>
      <c r="B23" s="278">
        <f t="shared" si="5"/>
        <v>17</v>
      </c>
      <c r="C23" s="220">
        <f t="shared" si="10"/>
        <v>2037</v>
      </c>
      <c r="D23" s="222"/>
      <c r="E23" s="328">
        <v>95.27</v>
      </c>
      <c r="G23" s="225">
        <f t="shared" si="0"/>
        <v>95.27</v>
      </c>
      <c r="H23" s="224">
        <f t="shared" si="0"/>
        <v>16.95806</v>
      </c>
      <c r="I23" s="227">
        <f t="shared" si="0"/>
        <v>3.8108</v>
      </c>
      <c r="K23" s="209">
        <f t="shared" si="1"/>
        <v>2037</v>
      </c>
      <c r="L23" s="302">
        <f t="shared" si="2"/>
        <v>8760</v>
      </c>
      <c r="M23" s="217"/>
      <c r="N23" s="210">
        <f t="shared" si="3"/>
        <v>8760</v>
      </c>
      <c r="O23" s="211">
        <f t="shared" si="8"/>
        <v>10.875570776255708</v>
      </c>
      <c r="P23" s="210">
        <f t="shared" si="6"/>
        <v>3214.92</v>
      </c>
      <c r="Q23" s="211">
        <f t="shared" si="7"/>
        <v>5.274799995023205</v>
      </c>
      <c r="R23" s="229">
        <f t="shared" si="4"/>
        <v>2119.92</v>
      </c>
      <c r="S23" s="211">
        <f t="shared" si="9"/>
        <v>1.7976150043397865</v>
      </c>
    </row>
    <row r="24" spans="1:19" x14ac:dyDescent="0.25">
      <c r="A24" s="219"/>
      <c r="B24" s="278">
        <f t="shared" si="5"/>
        <v>18</v>
      </c>
      <c r="C24" s="220">
        <f t="shared" si="10"/>
        <v>2038</v>
      </c>
      <c r="D24" s="222"/>
      <c r="E24" s="329">
        <v>95.27</v>
      </c>
      <c r="G24" s="225">
        <f t="shared" si="0"/>
        <v>95.27</v>
      </c>
      <c r="H24" s="224">
        <f t="shared" si="0"/>
        <v>16.95806</v>
      </c>
      <c r="I24" s="227">
        <f t="shared" si="0"/>
        <v>3.8108</v>
      </c>
      <c r="K24" s="209">
        <f t="shared" si="1"/>
        <v>2038</v>
      </c>
      <c r="L24" s="302">
        <f t="shared" si="2"/>
        <v>8760</v>
      </c>
      <c r="M24" s="217"/>
      <c r="N24" s="210">
        <f t="shared" si="3"/>
        <v>8760</v>
      </c>
      <c r="O24" s="211">
        <f t="shared" si="8"/>
        <v>10.875570776255708</v>
      </c>
      <c r="P24" s="210">
        <f t="shared" si="6"/>
        <v>3214.92</v>
      </c>
      <c r="Q24" s="211">
        <f t="shared" si="7"/>
        <v>5.274799995023205</v>
      </c>
      <c r="R24" s="229">
        <f t="shared" si="4"/>
        <v>2119.92</v>
      </c>
      <c r="S24" s="211">
        <f t="shared" si="9"/>
        <v>1.7976150043397865</v>
      </c>
    </row>
    <row r="25" spans="1:19" x14ac:dyDescent="0.25">
      <c r="A25" s="219"/>
      <c r="B25" s="278">
        <f t="shared" si="5"/>
        <v>19</v>
      </c>
      <c r="C25" s="220">
        <f t="shared" si="10"/>
        <v>2039</v>
      </c>
      <c r="D25" s="222"/>
      <c r="E25" s="329">
        <v>95.27</v>
      </c>
      <c r="G25" s="225">
        <f t="shared" si="0"/>
        <v>95.27</v>
      </c>
      <c r="H25" s="224">
        <f t="shared" si="0"/>
        <v>16.95806</v>
      </c>
      <c r="I25" s="227">
        <f t="shared" si="0"/>
        <v>3.8108</v>
      </c>
      <c r="K25" s="209">
        <f t="shared" si="1"/>
        <v>2039</v>
      </c>
      <c r="L25" s="302">
        <f t="shared" si="2"/>
        <v>8760</v>
      </c>
      <c r="M25" s="217"/>
      <c r="N25" s="210">
        <f t="shared" si="3"/>
        <v>8760</v>
      </c>
      <c r="O25" s="211">
        <f t="shared" si="8"/>
        <v>10.875570776255708</v>
      </c>
      <c r="P25" s="210">
        <f t="shared" si="6"/>
        <v>3214.92</v>
      </c>
      <c r="Q25" s="211">
        <f t="shared" si="7"/>
        <v>5.274799995023205</v>
      </c>
      <c r="R25" s="229">
        <f t="shared" si="4"/>
        <v>2119.92</v>
      </c>
      <c r="S25" s="211">
        <f t="shared" si="9"/>
        <v>1.7976150043397865</v>
      </c>
    </row>
    <row r="26" spans="1:19" x14ac:dyDescent="0.25">
      <c r="A26" s="219"/>
      <c r="B26" s="278">
        <f t="shared" si="5"/>
        <v>20</v>
      </c>
      <c r="C26" s="220">
        <f t="shared" si="10"/>
        <v>2040</v>
      </c>
      <c r="D26" s="222"/>
      <c r="E26" s="329">
        <v>95.27</v>
      </c>
      <c r="G26" s="225">
        <f t="shared" si="0"/>
        <v>95.27</v>
      </c>
      <c r="H26" s="224">
        <f t="shared" si="0"/>
        <v>16.95806</v>
      </c>
      <c r="I26" s="227">
        <f t="shared" si="0"/>
        <v>3.8108</v>
      </c>
      <c r="K26" s="209">
        <f t="shared" si="1"/>
        <v>2040</v>
      </c>
      <c r="L26" s="302">
        <f t="shared" si="2"/>
        <v>8784</v>
      </c>
      <c r="M26" s="217"/>
      <c r="N26" s="210">
        <f t="shared" si="3"/>
        <v>8784</v>
      </c>
      <c r="O26" s="211">
        <f t="shared" si="8"/>
        <v>10.845856102003642</v>
      </c>
      <c r="P26" s="210">
        <f t="shared" si="6"/>
        <v>3223.7280000000001</v>
      </c>
      <c r="Q26" s="211">
        <f t="shared" si="7"/>
        <v>5.2603879731788785</v>
      </c>
      <c r="R26" s="229">
        <f t="shared" si="4"/>
        <v>2125.7280000000001</v>
      </c>
      <c r="S26" s="211">
        <f t="shared" si="9"/>
        <v>1.7927034879344865</v>
      </c>
    </row>
    <row r="27" spans="1:19" x14ac:dyDescent="0.25">
      <c r="A27" s="219"/>
      <c r="B27" s="278">
        <f t="shared" si="5"/>
        <v>21</v>
      </c>
      <c r="C27" s="220">
        <f t="shared" si="10"/>
        <v>2041</v>
      </c>
      <c r="D27" s="222"/>
      <c r="E27" s="329">
        <v>95.27</v>
      </c>
      <c r="G27" s="225">
        <f t="shared" si="0"/>
        <v>95.27</v>
      </c>
      <c r="H27" s="224">
        <f t="shared" si="0"/>
        <v>16.95806</v>
      </c>
      <c r="I27" s="227">
        <f t="shared" si="0"/>
        <v>3.8108</v>
      </c>
      <c r="K27" s="209">
        <f t="shared" si="1"/>
        <v>2041</v>
      </c>
      <c r="L27" s="302">
        <f t="shared" si="2"/>
        <v>8760</v>
      </c>
      <c r="M27" s="217"/>
      <c r="N27" s="210">
        <f t="shared" si="3"/>
        <v>8760</v>
      </c>
      <c r="O27" s="211">
        <f t="shared" si="8"/>
        <v>10.875570776255708</v>
      </c>
      <c r="P27" s="210">
        <f t="shared" si="6"/>
        <v>3214.92</v>
      </c>
      <c r="Q27" s="211">
        <f t="shared" si="7"/>
        <v>5.274799995023205</v>
      </c>
      <c r="R27" s="229">
        <f t="shared" si="4"/>
        <v>2119.92</v>
      </c>
      <c r="S27" s="211">
        <f t="shared" si="9"/>
        <v>1.7976150043397865</v>
      </c>
    </row>
    <row r="28" spans="1:19" ht="13.8" thickBot="1" x14ac:dyDescent="0.3">
      <c r="A28" s="219"/>
      <c r="B28" s="279">
        <f t="shared" si="5"/>
        <v>22</v>
      </c>
      <c r="C28" s="250">
        <f t="shared" si="10"/>
        <v>2042</v>
      </c>
      <c r="D28" s="275"/>
      <c r="E28" s="330">
        <v>95.27</v>
      </c>
      <c r="G28" s="251">
        <f>G27</f>
        <v>95.27</v>
      </c>
      <c r="H28" s="252">
        <f>H27</f>
        <v>16.95806</v>
      </c>
      <c r="I28" s="253">
        <f>I27</f>
        <v>3.8108</v>
      </c>
      <c r="J28" s="218"/>
      <c r="K28" s="208">
        <f t="shared" si="1"/>
        <v>2042</v>
      </c>
      <c r="L28" s="303">
        <f t="shared" si="2"/>
        <v>8760</v>
      </c>
      <c r="M28" s="218"/>
      <c r="N28" s="212">
        <f t="shared" si="3"/>
        <v>8760</v>
      </c>
      <c r="O28" s="213">
        <f t="shared" si="8"/>
        <v>10.875570776255708</v>
      </c>
      <c r="P28" s="212">
        <f t="shared" si="6"/>
        <v>3214.92</v>
      </c>
      <c r="Q28" s="213">
        <f t="shared" si="7"/>
        <v>5.274799995023205</v>
      </c>
      <c r="R28" s="230">
        <f t="shared" si="4"/>
        <v>2119.92</v>
      </c>
      <c r="S28" s="213">
        <f t="shared" si="9"/>
        <v>1.7976150043397865</v>
      </c>
    </row>
    <row r="29" spans="1:19" x14ac:dyDescent="0.25">
      <c r="B29" s="219"/>
      <c r="C29" s="219"/>
      <c r="D29" s="219"/>
      <c r="E29" s="219"/>
      <c r="G29" s="219"/>
      <c r="H29" s="219"/>
      <c r="I29" s="219"/>
    </row>
    <row r="30" spans="1:19" x14ac:dyDescent="0.25">
      <c r="B30" s="370" t="s">
        <v>124</v>
      </c>
      <c r="C30" s="370"/>
      <c r="D30" s="370"/>
      <c r="E30" s="370"/>
      <c r="F30" s="370"/>
      <c r="G30" s="370"/>
      <c r="H30" s="370"/>
      <c r="I30" s="370"/>
      <c r="J30" s="370"/>
      <c r="K30" s="370"/>
      <c r="L30" s="370"/>
      <c r="M30" s="370"/>
      <c r="N30" s="370"/>
      <c r="O30" s="370"/>
      <c r="P30" s="370"/>
      <c r="Q30" s="370"/>
      <c r="R30" s="370"/>
      <c r="S30" s="309"/>
    </row>
    <row r="31" spans="1:19" x14ac:dyDescent="0.25">
      <c r="C31" s="371" t="s">
        <v>125</v>
      </c>
      <c r="D31" s="371"/>
      <c r="E31" s="371"/>
      <c r="F31" s="371"/>
      <c r="G31" s="371"/>
      <c r="H31" s="371"/>
      <c r="I31" s="371"/>
      <c r="J31" s="371"/>
      <c r="K31" s="371"/>
      <c r="L31" s="371"/>
      <c r="M31" s="371"/>
      <c r="N31" s="371"/>
      <c r="O31" s="371"/>
      <c r="P31" s="371"/>
      <c r="Q31" s="371"/>
      <c r="R31" s="371"/>
      <c r="S31" s="310"/>
    </row>
    <row r="32" spans="1:19" ht="12.75" customHeight="1" x14ac:dyDescent="0.25">
      <c r="C32" s="311" t="s">
        <v>126</v>
      </c>
      <c r="D32" s="310"/>
      <c r="E32" s="310"/>
      <c r="F32" s="310"/>
      <c r="G32" s="310"/>
      <c r="H32" s="310"/>
      <c r="I32" s="310"/>
      <c r="J32" s="310"/>
      <c r="K32" s="310"/>
      <c r="L32" s="310"/>
      <c r="M32" s="310"/>
      <c r="N32" s="310"/>
      <c r="O32" s="310"/>
      <c r="P32" s="310"/>
      <c r="Q32" s="310"/>
      <c r="R32" s="310"/>
      <c r="S32" s="310"/>
    </row>
    <row r="33" spans="2:19" x14ac:dyDescent="0.25">
      <c r="C33" s="361" t="s">
        <v>127</v>
      </c>
      <c r="D33" s="361"/>
      <c r="E33" s="361"/>
      <c r="F33" s="361"/>
      <c r="G33" s="361"/>
      <c r="H33" s="361"/>
      <c r="I33" s="361"/>
      <c r="J33" s="361"/>
      <c r="K33" s="361"/>
      <c r="L33" s="361"/>
      <c r="M33" s="361"/>
      <c r="N33" s="361"/>
      <c r="O33" s="361"/>
      <c r="P33" s="361"/>
      <c r="Q33" s="361"/>
      <c r="R33" s="361"/>
      <c r="S33" s="361"/>
    </row>
    <row r="34" spans="2:19" x14ac:dyDescent="0.25">
      <c r="B34" s="231"/>
      <c r="C34" s="312" t="s">
        <v>128</v>
      </c>
      <c r="D34" s="313"/>
      <c r="E34" s="314"/>
      <c r="F34" s="314"/>
      <c r="G34" s="314"/>
      <c r="H34" s="314"/>
      <c r="I34" s="314"/>
      <c r="J34" s="314"/>
      <c r="K34" s="314"/>
      <c r="L34" s="314"/>
      <c r="M34" s="314"/>
      <c r="N34" s="314"/>
      <c r="O34" s="314"/>
      <c r="P34" s="314"/>
      <c r="Q34" s="314"/>
      <c r="R34" s="314"/>
      <c r="S34" s="310"/>
    </row>
    <row r="35" spans="2:19" x14ac:dyDescent="0.25">
      <c r="C35" s="312" t="s">
        <v>129</v>
      </c>
      <c r="D35" s="315"/>
      <c r="E35" s="310"/>
      <c r="G35" s="310"/>
      <c r="H35" s="310"/>
      <c r="I35" s="310"/>
      <c r="K35" s="310"/>
      <c r="L35" s="310"/>
      <c r="N35" s="310"/>
      <c r="O35" s="310"/>
      <c r="P35" s="310"/>
      <c r="Q35" s="310"/>
      <c r="R35" s="310"/>
      <c r="S35" s="310"/>
    </row>
    <row r="36" spans="2:19" x14ac:dyDescent="0.25">
      <c r="C36" s="310"/>
      <c r="D36" s="221"/>
      <c r="E36" s="310"/>
      <c r="G36" s="310"/>
      <c r="H36" s="310"/>
      <c r="I36" s="310"/>
      <c r="K36" s="310"/>
      <c r="L36" s="310"/>
      <c r="N36" s="310"/>
      <c r="O36" s="310"/>
      <c r="P36" s="310"/>
      <c r="Q36" s="310"/>
      <c r="R36" s="310"/>
      <c r="S36" s="310"/>
    </row>
    <row r="37" spans="2:19" x14ac:dyDescent="0.25">
      <c r="D37" s="221"/>
    </row>
    <row r="38" spans="2:19" x14ac:dyDescent="0.25">
      <c r="D38" s="221"/>
    </row>
    <row r="39" spans="2:19" x14ac:dyDescent="0.25">
      <c r="D39" s="221"/>
    </row>
    <row r="40" spans="2:19" x14ac:dyDescent="0.25">
      <c r="D40" s="221"/>
    </row>
    <row r="41" spans="2:19" x14ac:dyDescent="0.25">
      <c r="D41" s="221"/>
    </row>
    <row r="42" spans="2:19" x14ac:dyDescent="0.25">
      <c r="D42" s="221"/>
    </row>
  </sheetData>
  <customSheetViews>
    <customSheetView guid="{78103E26-15C6-4D37-9879-762EF0B43905}" fitToPage="1">
      <pageMargins left="0.75" right="0.5" top="0.76" bottom="0.79" header="0.5" footer="0.26"/>
      <pageSetup paperSize="5" scale="73" orientation="landscape" r:id="rId1"/>
      <headerFooter alignWithMargins="0">
        <oddFooter>&amp;L&amp;F&amp;C&amp;A&amp;RPSE Advice No. 2018-48 &amp;D
Page &amp;P of &amp;N</oddFooter>
      </headerFooter>
    </customSheetView>
  </customSheetViews>
  <mergeCells count="8">
    <mergeCell ref="C33:S33"/>
    <mergeCell ref="G3:I3"/>
    <mergeCell ref="N3:S3"/>
    <mergeCell ref="K4:K6"/>
    <mergeCell ref="L4:L6"/>
    <mergeCell ref="D3:E3"/>
    <mergeCell ref="B30:R30"/>
    <mergeCell ref="C31:R31"/>
  </mergeCells>
  <pageMargins left="0.75" right="0.5" top="0.76" bottom="0.79" header="0.5" footer="0.26"/>
  <pageSetup paperSize="5" scale="73" orientation="landscape" r:id="rId2"/>
  <headerFooter alignWithMargins="0">
    <oddFooter>&amp;L&amp;F&amp;C&amp;A&amp;RPSE Advice No. 2018-48 &amp;D
Page &amp;P of &amp;N</oddFooter>
  </headerFooter>
  <customProperties>
    <customPr name="_pios_id" r:id="rId3"/>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G21"/>
  <sheetViews>
    <sheetView workbookViewId="0"/>
  </sheetViews>
  <sheetFormatPr defaultColWidth="9.109375" defaultRowHeight="14.4" x14ac:dyDescent="0.3"/>
  <cols>
    <col min="1" max="1" width="2.6640625" style="75" customWidth="1"/>
    <col min="2" max="2" width="41.33203125" style="75" bestFit="1" customWidth="1"/>
    <col min="3" max="3" width="32.88671875" style="75" bestFit="1" customWidth="1"/>
    <col min="4" max="4" width="11.5546875" style="75" bestFit="1" customWidth="1"/>
    <col min="5" max="5" width="7.5546875" style="75" bestFit="1" customWidth="1"/>
    <col min="6" max="6" width="19.88671875" style="75" bestFit="1" customWidth="1"/>
    <col min="7" max="16384" width="9.109375" style="75"/>
  </cols>
  <sheetData>
    <row r="1" spans="2:6" ht="15" thickBot="1" x14ac:dyDescent="0.35"/>
    <row r="2" spans="2:6" x14ac:dyDescent="0.3">
      <c r="B2" s="76"/>
      <c r="C2" s="77"/>
      <c r="D2" s="77"/>
      <c r="E2" s="77"/>
      <c r="F2" s="78" t="s">
        <v>104</v>
      </c>
    </row>
    <row r="3" spans="2:6" x14ac:dyDescent="0.3">
      <c r="B3" s="79"/>
      <c r="C3" s="80"/>
      <c r="D3" s="80"/>
      <c r="E3" s="80"/>
      <c r="F3" s="81"/>
    </row>
    <row r="4" spans="2:6" x14ac:dyDescent="0.3">
      <c r="B4" s="372" t="s">
        <v>57</v>
      </c>
      <c r="C4" s="373"/>
      <c r="D4" s="373"/>
      <c r="E4" s="373"/>
      <c r="F4" s="375"/>
    </row>
    <row r="5" spans="2:6" x14ac:dyDescent="0.3">
      <c r="B5" s="372" t="s">
        <v>105</v>
      </c>
      <c r="C5" s="373"/>
      <c r="D5" s="373"/>
      <c r="E5" s="373"/>
      <c r="F5" s="375"/>
    </row>
    <row r="6" spans="2:6" x14ac:dyDescent="0.3">
      <c r="B6" s="372" t="s">
        <v>106</v>
      </c>
      <c r="C6" s="373"/>
      <c r="D6" s="373"/>
      <c r="E6" s="373"/>
      <c r="F6" s="374"/>
    </row>
    <row r="7" spans="2:6" x14ac:dyDescent="0.3">
      <c r="B7" s="372"/>
      <c r="C7" s="373"/>
      <c r="D7" s="373"/>
      <c r="E7" s="373"/>
      <c r="F7" s="374"/>
    </row>
    <row r="8" spans="2:6" x14ac:dyDescent="0.3">
      <c r="B8" s="83"/>
      <c r="C8" s="80"/>
      <c r="D8" s="80"/>
      <c r="E8" s="80"/>
      <c r="F8" s="84"/>
    </row>
    <row r="9" spans="2:6" x14ac:dyDescent="0.3">
      <c r="B9" s="83"/>
      <c r="C9" s="80"/>
      <c r="D9" s="80"/>
      <c r="E9" s="80"/>
      <c r="F9" s="84"/>
    </row>
    <row r="10" spans="2:6" x14ac:dyDescent="0.3">
      <c r="B10" s="82"/>
      <c r="C10" s="80"/>
      <c r="D10" s="80"/>
      <c r="E10" s="80"/>
      <c r="F10" s="85"/>
    </row>
    <row r="11" spans="2:6" x14ac:dyDescent="0.3">
      <c r="B11" s="83" t="s">
        <v>58</v>
      </c>
      <c r="C11" s="80"/>
      <c r="D11" s="86" t="s">
        <v>59</v>
      </c>
      <c r="E11" s="80"/>
      <c r="F11" s="87" t="s">
        <v>60</v>
      </c>
    </row>
    <row r="12" spans="2:6" ht="15" thickBot="1" x14ac:dyDescent="0.35">
      <c r="B12" s="88" t="s">
        <v>61</v>
      </c>
      <c r="C12" s="89" t="s">
        <v>62</v>
      </c>
      <c r="D12" s="90" t="s">
        <v>63</v>
      </c>
      <c r="E12" s="90" t="s">
        <v>64</v>
      </c>
      <c r="F12" s="91" t="s">
        <v>65</v>
      </c>
    </row>
    <row r="13" spans="2:6" x14ac:dyDescent="0.3">
      <c r="B13" s="82"/>
      <c r="C13" s="80"/>
      <c r="D13" s="80"/>
      <c r="E13" s="80"/>
      <c r="F13" s="85"/>
    </row>
    <row r="14" spans="2:6" x14ac:dyDescent="0.3">
      <c r="B14" s="92">
        <v>1</v>
      </c>
      <c r="C14" s="93" t="s">
        <v>66</v>
      </c>
      <c r="D14" s="94">
        <v>0.51500000000000001</v>
      </c>
      <c r="E14" s="94">
        <v>5.5E-2</v>
      </c>
      <c r="F14" s="95">
        <f>ROUND(D14*E14,4)</f>
        <v>2.8299999999999999E-2</v>
      </c>
    </row>
    <row r="15" spans="2:6" ht="15" thickBot="1" x14ac:dyDescent="0.35">
      <c r="B15" s="92">
        <v>2</v>
      </c>
      <c r="C15" s="93" t="s">
        <v>67</v>
      </c>
      <c r="D15" s="94">
        <v>0.48499999999999999</v>
      </c>
      <c r="E15" s="96">
        <v>9.4E-2</v>
      </c>
      <c r="F15" s="95">
        <f>ROUND(D15*E15,4)</f>
        <v>4.5600000000000002E-2</v>
      </c>
    </row>
    <row r="16" spans="2:6" x14ac:dyDescent="0.3">
      <c r="B16" s="92">
        <v>3</v>
      </c>
      <c r="C16" s="93" t="s">
        <v>68</v>
      </c>
      <c r="D16" s="97">
        <v>1</v>
      </c>
      <c r="E16" s="98"/>
      <c r="F16" s="108">
        <f>SUM(F14:F15)</f>
        <v>7.3899999999999993E-2</v>
      </c>
    </row>
    <row r="17" spans="2:7" x14ac:dyDescent="0.3">
      <c r="B17" s="92">
        <v>4</v>
      </c>
      <c r="C17" s="80"/>
      <c r="D17" s="80"/>
      <c r="E17" s="80"/>
      <c r="F17" s="85"/>
    </row>
    <row r="18" spans="2:7" x14ac:dyDescent="0.3">
      <c r="B18" s="92">
        <v>5</v>
      </c>
      <c r="C18" s="93" t="s">
        <v>69</v>
      </c>
      <c r="D18" s="99">
        <v>0.51500000000000001</v>
      </c>
      <c r="E18" s="99">
        <f>E14</f>
        <v>5.5E-2</v>
      </c>
      <c r="F18" s="100">
        <f>ROUND(D18*E18*0.79,4)</f>
        <v>2.24E-2</v>
      </c>
      <c r="G18" s="101"/>
    </row>
    <row r="19" spans="2:7" ht="15" thickBot="1" x14ac:dyDescent="0.35">
      <c r="B19" s="92">
        <v>6</v>
      </c>
      <c r="C19" s="93" t="s">
        <v>67</v>
      </c>
      <c r="D19" s="99">
        <v>0.48499999999999999</v>
      </c>
      <c r="E19" s="102">
        <f>E15</f>
        <v>9.4E-2</v>
      </c>
      <c r="F19" s="100">
        <f>ROUND(D19*E19,4)</f>
        <v>4.5600000000000002E-2</v>
      </c>
    </row>
    <row r="20" spans="2:7" x14ac:dyDescent="0.3">
      <c r="B20" s="92">
        <v>7</v>
      </c>
      <c r="C20" s="93" t="s">
        <v>70</v>
      </c>
      <c r="D20" s="103">
        <v>1</v>
      </c>
      <c r="E20" s="80"/>
      <c r="F20" s="104">
        <f>SUM(F18:F19)</f>
        <v>6.8000000000000005E-2</v>
      </c>
    </row>
    <row r="21" spans="2:7" ht="15" thickBot="1" x14ac:dyDescent="0.35">
      <c r="B21" s="105"/>
      <c r="C21" s="106"/>
      <c r="D21" s="106"/>
      <c r="E21" s="106"/>
      <c r="F21" s="107"/>
    </row>
  </sheetData>
  <customSheetViews>
    <customSheetView guid="{78103E26-15C6-4D37-9879-762EF0B43905}" fitToPage="1">
      <pageMargins left="0.75" right="0.5" top="0.76" bottom="0.79" header="0.5" footer="0.26"/>
      <pageSetup orientation="landscape" r:id="rId1"/>
      <headerFooter alignWithMargins="0">
        <oddFooter>&amp;L&amp;F&amp;C&amp;A&amp;RPSE Advice No. 2018-48 &amp;D
Page &amp;P of &amp;N</oddFooter>
      </headerFooter>
    </customSheetView>
  </customSheetViews>
  <mergeCells count="4">
    <mergeCell ref="B6:F6"/>
    <mergeCell ref="B7:F7"/>
    <mergeCell ref="B4:F4"/>
    <mergeCell ref="B5:F5"/>
  </mergeCells>
  <pageMargins left="0.75" right="0.5" top="0.76" bottom="0.79" header="0.5" footer="0.26"/>
  <pageSetup orientation="landscape" r:id="rId2"/>
  <headerFooter alignWithMargins="0">
    <oddFooter>&amp;L&amp;F&amp;C&amp;A&amp;RPSE Advice No. 2018-48 &amp;D
Page &amp;P of &amp;N</oddFooter>
  </headerFooter>
  <customProperties>
    <customPr name="_pios_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83"/>
  <sheetViews>
    <sheetView topLeftCell="A27" workbookViewId="0">
      <selection activeCell="H33" sqref="H33"/>
    </sheetView>
  </sheetViews>
  <sheetFormatPr defaultColWidth="9.109375" defaultRowHeight="15" x14ac:dyDescent="0.25"/>
  <cols>
    <col min="1" max="1" width="25.6640625" style="53" customWidth="1"/>
    <col min="2" max="2" width="9.6640625" style="53" bestFit="1" customWidth="1"/>
    <col min="3" max="3" width="9.109375" style="53"/>
    <col min="4" max="4" width="11.5546875" style="53" bestFit="1" customWidth="1"/>
    <col min="5" max="5" width="9.6640625" style="53" bestFit="1" customWidth="1"/>
    <col min="6" max="16384" width="9.109375" style="53"/>
  </cols>
  <sheetData>
    <row r="3" spans="1:5" ht="15.6" x14ac:dyDescent="0.3">
      <c r="A3" s="5" t="s">
        <v>134</v>
      </c>
    </row>
    <row r="5" spans="1:5" ht="15.6" x14ac:dyDescent="0.3">
      <c r="B5" s="5" t="s">
        <v>135</v>
      </c>
      <c r="E5" s="5" t="s">
        <v>136</v>
      </c>
    </row>
    <row r="7" spans="1:5" x14ac:dyDescent="0.25">
      <c r="A7" s="53">
        <v>2021</v>
      </c>
      <c r="B7" s="129">
        <f>'Energy Prices'!P6</f>
        <v>22.85</v>
      </c>
      <c r="D7" s="53">
        <v>2020</v>
      </c>
      <c r="E7" s="53">
        <v>19.48</v>
      </c>
    </row>
    <row r="8" spans="1:5" x14ac:dyDescent="0.25">
      <c r="A8" s="53">
        <v>2022</v>
      </c>
      <c r="B8" s="129">
        <f>'Energy Prices'!P7</f>
        <v>21.19</v>
      </c>
      <c r="D8" s="53">
        <v>2021</v>
      </c>
      <c r="E8" s="53">
        <v>22.85</v>
      </c>
    </row>
    <row r="9" spans="1:5" x14ac:dyDescent="0.25">
      <c r="A9" s="53">
        <v>2023</v>
      </c>
      <c r="B9" s="129">
        <f>'Energy Prices'!P8</f>
        <v>20.53</v>
      </c>
      <c r="D9" s="53">
        <v>2022</v>
      </c>
      <c r="E9" s="53">
        <v>21.19</v>
      </c>
    </row>
    <row r="10" spans="1:5" x14ac:dyDescent="0.25">
      <c r="A10" s="53">
        <v>2024</v>
      </c>
      <c r="B10" s="129">
        <f>'Energy Prices'!P9</f>
        <v>19.79</v>
      </c>
      <c r="D10" s="53">
        <v>2023</v>
      </c>
      <c r="E10" s="53">
        <v>20.53</v>
      </c>
    </row>
    <row r="11" spans="1:5" x14ac:dyDescent="0.25">
      <c r="A11" s="53">
        <v>2025</v>
      </c>
      <c r="B11" s="129">
        <f>'Energy Prices'!P10</f>
        <v>19.75</v>
      </c>
      <c r="D11" s="53">
        <v>2024</v>
      </c>
      <c r="E11" s="53">
        <v>19.79</v>
      </c>
    </row>
    <row r="12" spans="1:5" x14ac:dyDescent="0.25">
      <c r="A12" s="53">
        <v>2026</v>
      </c>
      <c r="B12" s="129">
        <f>'Energy Prices'!P11</f>
        <v>19.97</v>
      </c>
      <c r="D12" s="53">
        <v>2025</v>
      </c>
      <c r="E12" s="53">
        <v>19.75</v>
      </c>
    </row>
    <row r="13" spans="1:5" x14ac:dyDescent="0.25">
      <c r="A13" s="53">
        <v>2027</v>
      </c>
      <c r="B13" s="129">
        <f>'Energy Prices'!P12</f>
        <v>23.19</v>
      </c>
      <c r="D13" s="53">
        <v>2026</v>
      </c>
      <c r="E13" s="53">
        <v>19.97</v>
      </c>
    </row>
    <row r="14" spans="1:5" x14ac:dyDescent="0.25">
      <c r="A14" s="53">
        <v>2028</v>
      </c>
      <c r="B14" s="129">
        <f>'Energy Prices'!P13</f>
        <v>24.42</v>
      </c>
      <c r="D14" s="53">
        <v>2027</v>
      </c>
      <c r="E14" s="53">
        <v>23.19</v>
      </c>
    </row>
    <row r="15" spans="1:5" x14ac:dyDescent="0.25">
      <c r="A15" s="53">
        <v>2029</v>
      </c>
      <c r="B15" s="129">
        <f>'Energy Prices'!P14</f>
        <v>25.44</v>
      </c>
      <c r="D15" s="53">
        <v>2028</v>
      </c>
      <c r="E15" s="53">
        <v>24.42</v>
      </c>
    </row>
    <row r="16" spans="1:5" x14ac:dyDescent="0.25">
      <c r="A16" s="53">
        <v>2030</v>
      </c>
      <c r="B16" s="129">
        <f>'Energy Prices'!P15</f>
        <v>25.05</v>
      </c>
      <c r="D16" s="53">
        <v>2029</v>
      </c>
      <c r="E16" s="53">
        <v>25.44</v>
      </c>
    </row>
    <row r="17" spans="1:5" x14ac:dyDescent="0.25">
      <c r="A17" s="53">
        <v>2031</v>
      </c>
      <c r="B17" s="129">
        <f>'Energy Prices'!P16</f>
        <v>24.78</v>
      </c>
      <c r="D17" s="53">
        <v>2030</v>
      </c>
      <c r="E17" s="53">
        <v>25.05</v>
      </c>
    </row>
    <row r="18" spans="1:5" x14ac:dyDescent="0.25">
      <c r="A18" s="53">
        <v>2032</v>
      </c>
      <c r="B18" s="129">
        <f>'Energy Prices'!P17</f>
        <v>25.38</v>
      </c>
      <c r="D18" s="53">
        <v>2031</v>
      </c>
      <c r="E18" s="53">
        <v>24.78</v>
      </c>
    </row>
    <row r="19" spans="1:5" x14ac:dyDescent="0.25">
      <c r="A19" s="53">
        <v>2033</v>
      </c>
      <c r="B19" s="129">
        <f>'Energy Prices'!P18</f>
        <v>26.69</v>
      </c>
      <c r="D19" s="53">
        <v>2032</v>
      </c>
      <c r="E19" s="53">
        <v>25.38</v>
      </c>
    </row>
    <row r="20" spans="1:5" x14ac:dyDescent="0.25">
      <c r="A20" s="53">
        <v>2034</v>
      </c>
      <c r="B20" s="129">
        <f>'Energy Prices'!P19</f>
        <v>27.4</v>
      </c>
      <c r="D20" s="53">
        <v>2033</v>
      </c>
      <c r="E20" s="53">
        <v>26.69</v>
      </c>
    </row>
    <row r="21" spans="1:5" x14ac:dyDescent="0.25">
      <c r="A21" s="53">
        <v>2035</v>
      </c>
      <c r="B21" s="129">
        <f>'Energy Prices'!P20</f>
        <v>28.25</v>
      </c>
      <c r="D21" s="53">
        <v>2034</v>
      </c>
      <c r="E21" s="53">
        <v>27.4</v>
      </c>
    </row>
    <row r="22" spans="1:5" x14ac:dyDescent="0.25">
      <c r="A22" s="53">
        <v>2036</v>
      </c>
      <c r="B22" s="129">
        <f>'Energy Prices'!P21</f>
        <v>29.71</v>
      </c>
      <c r="D22" s="53">
        <v>2035</v>
      </c>
      <c r="E22" s="53">
        <v>28.25</v>
      </c>
    </row>
    <row r="23" spans="1:5" x14ac:dyDescent="0.25">
      <c r="A23" s="53">
        <v>2037</v>
      </c>
      <c r="B23" s="129">
        <f>'Energy Prices'!P22</f>
        <v>29.43</v>
      </c>
      <c r="D23" s="53">
        <v>2036</v>
      </c>
      <c r="E23" s="53">
        <v>29.71</v>
      </c>
    </row>
    <row r="24" spans="1:5" x14ac:dyDescent="0.25">
      <c r="A24" s="53">
        <v>2038</v>
      </c>
      <c r="B24" s="129">
        <f>'Energy Prices'!P23</f>
        <v>29.33</v>
      </c>
      <c r="D24" s="53">
        <v>2037</v>
      </c>
      <c r="E24" s="53">
        <v>29.43</v>
      </c>
    </row>
    <row r="25" spans="1:5" x14ac:dyDescent="0.25">
      <c r="A25" s="53">
        <v>2039</v>
      </c>
      <c r="B25" s="129">
        <f>'Energy Prices'!P24</f>
        <v>29.12</v>
      </c>
      <c r="D25" s="53">
        <v>2038</v>
      </c>
      <c r="E25" s="53">
        <v>29.33</v>
      </c>
    </row>
    <row r="26" spans="1:5" x14ac:dyDescent="0.25">
      <c r="A26" s="53">
        <v>2040</v>
      </c>
      <c r="B26" s="129">
        <f>'Energy Prices'!P25</f>
        <v>29.38</v>
      </c>
      <c r="D26" s="53">
        <v>2039</v>
      </c>
      <c r="E26" s="53">
        <v>29.12</v>
      </c>
    </row>
    <row r="27" spans="1:5" ht="15.6" thickBot="1" x14ac:dyDescent="0.3">
      <c r="A27" s="53">
        <v>2041</v>
      </c>
      <c r="B27" s="129">
        <f>'Energy Prices'!P26</f>
        <v>30.39487115211346</v>
      </c>
      <c r="D27" s="53">
        <v>2040</v>
      </c>
      <c r="E27" s="53">
        <v>29.38</v>
      </c>
    </row>
    <row r="28" spans="1:5" ht="16.2" thickBot="1" x14ac:dyDescent="0.35">
      <c r="A28" s="5" t="s">
        <v>137</v>
      </c>
      <c r="B28" s="331">
        <f>-PMT(Rate_of_Return,20,NPV(Rate_of_Return,B7:B26))</f>
        <v>23.824071369256131</v>
      </c>
      <c r="E28" s="331">
        <f>-PMT(Rate_of_Return,20,NPV(Rate_of_Return,E7:E26))</f>
        <v>23.309665672276324</v>
      </c>
    </row>
    <row r="31" spans="1:5" ht="15.6" x14ac:dyDescent="0.3">
      <c r="A31" s="5" t="s">
        <v>138</v>
      </c>
    </row>
    <row r="32" spans="1:5" x14ac:dyDescent="0.25">
      <c r="A32" s="53" t="s">
        <v>139</v>
      </c>
      <c r="B32" s="126">
        <v>1</v>
      </c>
      <c r="E32" s="332">
        <v>1</v>
      </c>
    </row>
    <row r="33" spans="1:5" x14ac:dyDescent="0.25">
      <c r="A33" s="53" t="s">
        <v>42</v>
      </c>
      <c r="B33" s="332">
        <f>'Capacity Delivered'!H5</f>
        <v>0.17799999999999999</v>
      </c>
      <c r="E33" s="333">
        <v>0.16</v>
      </c>
    </row>
    <row r="34" spans="1:5" x14ac:dyDescent="0.25">
      <c r="A34" s="53" t="s">
        <v>43</v>
      </c>
      <c r="B34" s="334">
        <f>'Capacity Delivered'!I5</f>
        <v>0.04</v>
      </c>
      <c r="E34" s="332">
        <v>0.02</v>
      </c>
    </row>
    <row r="35" spans="1:5" x14ac:dyDescent="0.25">
      <c r="B35" s="334"/>
      <c r="E35" s="332"/>
    </row>
    <row r="36" spans="1:5" ht="15.6" x14ac:dyDescent="0.3">
      <c r="A36" s="5" t="s">
        <v>140</v>
      </c>
    </row>
    <row r="37" spans="1:5" x14ac:dyDescent="0.25">
      <c r="A37" s="53" t="s">
        <v>42</v>
      </c>
      <c r="B37" s="332">
        <f>'Capacity Delivered'!P5</f>
        <v>0.36699999999999999</v>
      </c>
      <c r="E37" s="333">
        <v>0.3</v>
      </c>
    </row>
    <row r="38" spans="1:5" x14ac:dyDescent="0.25">
      <c r="A38" s="53" t="s">
        <v>43</v>
      </c>
      <c r="B38" s="334">
        <f>'Capacity Delivered'!R5</f>
        <v>0.24199999999999999</v>
      </c>
      <c r="E38" s="332">
        <v>0.26</v>
      </c>
    </row>
    <row r="40" spans="1:5" ht="15.6" x14ac:dyDescent="0.3">
      <c r="A40" s="5" t="s">
        <v>141</v>
      </c>
    </row>
    <row r="41" spans="1:5" x14ac:dyDescent="0.25">
      <c r="A41" s="53">
        <v>2021</v>
      </c>
      <c r="B41" s="112">
        <f>'Capacity Delivered'!E7</f>
        <v>95.27</v>
      </c>
      <c r="D41" s="53">
        <v>2020</v>
      </c>
      <c r="E41" s="112">
        <v>89</v>
      </c>
    </row>
    <row r="42" spans="1:5" x14ac:dyDescent="0.25">
      <c r="A42" s="53">
        <v>2022</v>
      </c>
      <c r="B42" s="112">
        <f>'Capacity Delivered'!E8</f>
        <v>95.27</v>
      </c>
      <c r="D42" s="53">
        <v>2021</v>
      </c>
      <c r="E42" s="112">
        <v>89</v>
      </c>
    </row>
    <row r="43" spans="1:5" x14ac:dyDescent="0.25">
      <c r="A43" s="53">
        <v>2023</v>
      </c>
      <c r="B43" s="112">
        <f>'Capacity Delivered'!E9</f>
        <v>95.27</v>
      </c>
      <c r="D43" s="53">
        <v>2022</v>
      </c>
      <c r="E43" s="112">
        <v>93</v>
      </c>
    </row>
    <row r="44" spans="1:5" x14ac:dyDescent="0.25">
      <c r="A44" s="53">
        <v>2024</v>
      </c>
      <c r="B44" s="112">
        <f>'Capacity Delivered'!E10</f>
        <v>95.27</v>
      </c>
      <c r="D44" s="53">
        <v>2023</v>
      </c>
      <c r="E44" s="112">
        <v>93</v>
      </c>
    </row>
    <row r="45" spans="1:5" x14ac:dyDescent="0.25">
      <c r="A45" s="53">
        <v>2025</v>
      </c>
      <c r="B45" s="112">
        <f>'Capacity Delivered'!E11</f>
        <v>95.27</v>
      </c>
      <c r="D45" s="53">
        <v>2024</v>
      </c>
      <c r="E45" s="112">
        <v>80</v>
      </c>
    </row>
    <row r="46" spans="1:5" x14ac:dyDescent="0.25">
      <c r="A46" s="53">
        <v>2026</v>
      </c>
      <c r="B46" s="112">
        <f>'Capacity Delivered'!E12</f>
        <v>95.27</v>
      </c>
      <c r="D46" s="53">
        <v>2025</v>
      </c>
      <c r="E46" s="112">
        <v>80</v>
      </c>
    </row>
    <row r="47" spans="1:5" x14ac:dyDescent="0.25">
      <c r="A47" s="53">
        <v>2027</v>
      </c>
      <c r="B47" s="112">
        <f>'Capacity Delivered'!E13</f>
        <v>95.27</v>
      </c>
      <c r="D47" s="53">
        <v>2026</v>
      </c>
      <c r="E47" s="112">
        <v>80.477938899565444</v>
      </c>
    </row>
    <row r="48" spans="1:5" x14ac:dyDescent="0.25">
      <c r="A48" s="53">
        <v>2028</v>
      </c>
      <c r="B48" s="112">
        <f>'Capacity Delivered'!E14</f>
        <v>95.27</v>
      </c>
      <c r="D48" s="53">
        <v>2027</v>
      </c>
      <c r="E48" s="112">
        <v>80.477938899565444</v>
      </c>
    </row>
    <row r="49" spans="1:5" x14ac:dyDescent="0.25">
      <c r="A49" s="53">
        <v>2029</v>
      </c>
      <c r="B49" s="112">
        <f>'Capacity Delivered'!E15</f>
        <v>95.27</v>
      </c>
      <c r="D49" s="53">
        <v>2028</v>
      </c>
      <c r="E49" s="112">
        <v>80.477938899565444</v>
      </c>
    </row>
    <row r="50" spans="1:5" x14ac:dyDescent="0.25">
      <c r="A50" s="53">
        <v>2030</v>
      </c>
      <c r="B50" s="112">
        <f>'Capacity Delivered'!E16</f>
        <v>95.27</v>
      </c>
      <c r="D50" s="53">
        <v>2029</v>
      </c>
      <c r="E50" s="112">
        <v>80.477938899565444</v>
      </c>
    </row>
    <row r="51" spans="1:5" x14ac:dyDescent="0.25">
      <c r="A51" s="53">
        <v>2031</v>
      </c>
      <c r="B51" s="112">
        <f>'Capacity Delivered'!E17</f>
        <v>95.27</v>
      </c>
      <c r="D51" s="53">
        <v>2030</v>
      </c>
      <c r="E51" s="112">
        <v>84.157096346974001</v>
      </c>
    </row>
    <row r="52" spans="1:5" x14ac:dyDescent="0.25">
      <c r="A52" s="53">
        <v>2032</v>
      </c>
      <c r="B52" s="112">
        <f>'Capacity Delivered'!E18</f>
        <v>95.27</v>
      </c>
      <c r="D52" s="53">
        <v>2031</v>
      </c>
      <c r="E52" s="112">
        <v>84.157096346974001</v>
      </c>
    </row>
    <row r="53" spans="1:5" x14ac:dyDescent="0.25">
      <c r="A53" s="53">
        <v>2033</v>
      </c>
      <c r="B53" s="112">
        <f>'Capacity Delivered'!E19</f>
        <v>95.27</v>
      </c>
      <c r="D53" s="53">
        <v>2032</v>
      </c>
      <c r="E53" s="112">
        <v>84.157096346974001</v>
      </c>
    </row>
    <row r="54" spans="1:5" x14ac:dyDescent="0.25">
      <c r="A54" s="53">
        <v>2034</v>
      </c>
      <c r="B54" s="112">
        <f>'Capacity Delivered'!E20</f>
        <v>95.27</v>
      </c>
      <c r="D54" s="53">
        <v>2033</v>
      </c>
      <c r="E54" s="112">
        <v>88.306829270347322</v>
      </c>
    </row>
    <row r="55" spans="1:5" x14ac:dyDescent="0.25">
      <c r="A55" s="53">
        <v>2035</v>
      </c>
      <c r="B55" s="112">
        <f>'Capacity Delivered'!E21</f>
        <v>95.27</v>
      </c>
      <c r="D55" s="53">
        <v>2034</v>
      </c>
      <c r="E55" s="112">
        <v>88.306829270347322</v>
      </c>
    </row>
    <row r="56" spans="1:5" x14ac:dyDescent="0.25">
      <c r="A56" s="53">
        <v>2036</v>
      </c>
      <c r="B56" s="112">
        <f>'Capacity Delivered'!E22</f>
        <v>95.27</v>
      </c>
      <c r="D56" s="53">
        <v>2035</v>
      </c>
      <c r="E56" s="112">
        <v>91.089450907608253</v>
      </c>
    </row>
    <row r="57" spans="1:5" x14ac:dyDescent="0.25">
      <c r="A57" s="53">
        <v>2037</v>
      </c>
      <c r="B57" s="112">
        <f>'Capacity Delivered'!E23</f>
        <v>95.27</v>
      </c>
      <c r="D57" s="53">
        <v>2036</v>
      </c>
      <c r="E57" s="112">
        <v>91.089450907608253</v>
      </c>
    </row>
    <row r="58" spans="1:5" x14ac:dyDescent="0.25">
      <c r="A58" s="53">
        <v>2038</v>
      </c>
      <c r="B58" s="112">
        <f>'Capacity Delivered'!E24</f>
        <v>95.27</v>
      </c>
      <c r="D58" s="53">
        <v>2037</v>
      </c>
      <c r="E58" s="112">
        <v>91.089450907608253</v>
      </c>
    </row>
    <row r="59" spans="1:5" x14ac:dyDescent="0.25">
      <c r="A59" s="53">
        <v>2039</v>
      </c>
      <c r="B59" s="112">
        <f>'Capacity Delivered'!E25</f>
        <v>95.27</v>
      </c>
      <c r="D59" s="53">
        <v>2038</v>
      </c>
      <c r="E59" s="112">
        <v>91.089450907608253</v>
      </c>
    </row>
    <row r="60" spans="1:5" x14ac:dyDescent="0.25">
      <c r="A60" s="53">
        <v>2040</v>
      </c>
      <c r="B60" s="112">
        <f>'Capacity Delivered'!E26</f>
        <v>95.27</v>
      </c>
      <c r="D60" s="53">
        <v>2039</v>
      </c>
      <c r="E60" s="112">
        <v>91.089450907608253</v>
      </c>
    </row>
    <row r="61" spans="1:5" x14ac:dyDescent="0.25">
      <c r="A61" s="53">
        <v>2041</v>
      </c>
      <c r="B61" s="112">
        <f>'Capacity Delivered'!E27</f>
        <v>95.27</v>
      </c>
      <c r="D61" s="53">
        <v>2040</v>
      </c>
      <c r="E61" s="112">
        <v>91.089450907608253</v>
      </c>
    </row>
    <row r="63" spans="1:5" ht="15.6" x14ac:dyDescent="0.3">
      <c r="A63" s="5" t="s">
        <v>142</v>
      </c>
      <c r="B63" s="335">
        <f>+'Baseload Avoided Capacity Calcs'!E6</f>
        <v>12.925249999999998</v>
      </c>
      <c r="E63" s="112">
        <v>27.33</v>
      </c>
    </row>
    <row r="65" spans="1:7" ht="15.6" x14ac:dyDescent="0.3">
      <c r="A65" s="5" t="s">
        <v>143</v>
      </c>
    </row>
    <row r="66" spans="1:7" x14ac:dyDescent="0.25">
      <c r="G66" s="112"/>
    </row>
    <row r="67" spans="1:7" ht="15.6" x14ac:dyDescent="0.3">
      <c r="A67" s="5"/>
    </row>
    <row r="68" spans="1:7" x14ac:dyDescent="0.25">
      <c r="A68" s="124"/>
      <c r="B68" s="336" t="s">
        <v>98</v>
      </c>
      <c r="C68" s="124"/>
      <c r="D68" s="128"/>
      <c r="E68" s="336" t="s">
        <v>98</v>
      </c>
    </row>
    <row r="69" spans="1:7" x14ac:dyDescent="0.25">
      <c r="A69" s="337" t="s">
        <v>92</v>
      </c>
      <c r="B69" s="338">
        <f>'Output - Summary'!F6</f>
        <v>32.900604361625284</v>
      </c>
      <c r="C69" s="128"/>
      <c r="D69" s="128"/>
      <c r="E69" s="338">
        <v>34.574850223871444</v>
      </c>
    </row>
    <row r="70" spans="1:7" x14ac:dyDescent="0.25">
      <c r="A70" s="337" t="s">
        <v>93</v>
      </c>
      <c r="B70" s="338">
        <f>'Output - Summary'!F7</f>
        <v>34.00813138170205</v>
      </c>
      <c r="C70" s="128"/>
      <c r="D70" s="128"/>
      <c r="E70" s="338">
        <v>34.962735753941146</v>
      </c>
    </row>
    <row r="71" spans="1:7" x14ac:dyDescent="0.25">
      <c r="A71" s="337" t="s">
        <v>91</v>
      </c>
      <c r="B71" s="338">
        <f>'Output - Summary'!F8</f>
        <v>35.038407335260189</v>
      </c>
      <c r="C71" s="128"/>
      <c r="D71" s="128"/>
      <c r="E71" s="338">
        <v>36.071755147627265</v>
      </c>
    </row>
    <row r="72" spans="1:7" x14ac:dyDescent="0.25">
      <c r="A72" s="124"/>
      <c r="B72" s="125"/>
      <c r="C72" s="339"/>
      <c r="D72" s="128"/>
      <c r="E72" s="125"/>
    </row>
    <row r="73" spans="1:7" x14ac:dyDescent="0.25">
      <c r="A73" s="128"/>
      <c r="B73" s="125"/>
      <c r="C73" s="339"/>
      <c r="D73" s="128"/>
      <c r="E73" s="125"/>
    </row>
    <row r="74" spans="1:7" x14ac:dyDescent="0.25">
      <c r="A74" s="128"/>
      <c r="B74" s="340"/>
      <c r="C74" s="128"/>
      <c r="D74" s="128"/>
      <c r="E74" s="340"/>
    </row>
    <row r="75" spans="1:7" x14ac:dyDescent="0.25">
      <c r="A75" s="124"/>
      <c r="B75" s="336" t="s">
        <v>98</v>
      </c>
      <c r="C75" s="124"/>
      <c r="D75" s="128"/>
      <c r="E75" s="336" t="s">
        <v>98</v>
      </c>
    </row>
    <row r="76" spans="1:7" x14ac:dyDescent="0.25">
      <c r="A76" s="337" t="s">
        <v>94</v>
      </c>
      <c r="B76" s="338">
        <f>'Output - Summary'!F13</f>
        <v>28.575383723906523</v>
      </c>
      <c r="C76" s="128"/>
      <c r="D76" s="128"/>
      <c r="E76" s="338">
        <v>30.506077433206741</v>
      </c>
    </row>
    <row r="77" spans="1:7" x14ac:dyDescent="0.25">
      <c r="A77" s="337" t="s">
        <v>95</v>
      </c>
      <c r="B77" s="338">
        <f>'Output - Summary'!F14</f>
        <v>29.620503250300171</v>
      </c>
      <c r="C77" s="128"/>
      <c r="D77" s="128"/>
      <c r="E77" s="338">
        <v>31.640728519778268</v>
      </c>
    </row>
    <row r="78" spans="1:7" x14ac:dyDescent="0.25">
      <c r="A78" s="128"/>
      <c r="B78" s="128"/>
      <c r="C78" s="128"/>
      <c r="D78" s="128"/>
      <c r="E78" s="128"/>
    </row>
    <row r="79" spans="1:7" x14ac:dyDescent="0.25">
      <c r="A79" s="128"/>
      <c r="B79" s="128"/>
      <c r="C79" s="128"/>
      <c r="D79" s="128"/>
      <c r="E79" s="128"/>
    </row>
    <row r="80" spans="1:7" x14ac:dyDescent="0.25">
      <c r="A80" s="128"/>
      <c r="B80" s="340"/>
      <c r="C80" s="128"/>
      <c r="D80" s="128"/>
      <c r="E80" s="340"/>
    </row>
    <row r="81" spans="1:5" x14ac:dyDescent="0.25">
      <c r="A81" s="124"/>
      <c r="B81" s="336" t="s">
        <v>98</v>
      </c>
      <c r="C81" s="124"/>
      <c r="D81" s="128"/>
      <c r="E81" s="336" t="s">
        <v>98</v>
      </c>
    </row>
    <row r="82" spans="1:5" x14ac:dyDescent="0.25">
      <c r="A82" s="337" t="s">
        <v>96</v>
      </c>
      <c r="B82" s="338">
        <f>'Output - Summary'!F19</f>
        <v>25.202514282943611</v>
      </c>
      <c r="C82" s="128"/>
      <c r="D82" s="128"/>
      <c r="E82" s="338">
        <v>26.147367646993974</v>
      </c>
    </row>
    <row r="83" spans="1:5" x14ac:dyDescent="0.25">
      <c r="A83" s="337" t="s">
        <v>97</v>
      </c>
      <c r="B83" s="338">
        <f>'Output - Summary'!F20</f>
        <v>26.256849299613116</v>
      </c>
      <c r="C83" s="128"/>
      <c r="D83" s="128"/>
      <c r="E83" s="338">
        <v>27.307087092541337</v>
      </c>
    </row>
  </sheetData>
  <customSheetViews>
    <customSheetView guid="{78103E26-15C6-4D37-9879-762EF0B43905}" topLeftCell="A27">
      <selection activeCell="H33" sqref="H33"/>
      <pageMargins left="0.7" right="0.7" top="0.75" bottom="0.75" header="0.3" footer="0.3"/>
      <pageSetup orientation="portrait" r:id="rId1"/>
    </customSheetView>
  </customSheetView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C41"/>
  <sheetViews>
    <sheetView topLeftCell="A11" workbookViewId="0"/>
  </sheetViews>
  <sheetFormatPr defaultColWidth="9.109375" defaultRowHeight="15" x14ac:dyDescent="0.25"/>
  <cols>
    <col min="1" max="1" width="2.6640625" style="53" customWidth="1"/>
    <col min="2" max="2" width="5" style="53" customWidth="1"/>
    <col min="3" max="3" width="46.6640625" style="53" customWidth="1"/>
    <col min="4" max="4" width="2.6640625" style="53" customWidth="1"/>
    <col min="5" max="22" width="12.6640625" style="53" customWidth="1"/>
    <col min="23" max="23" width="2.6640625" style="53" customWidth="1"/>
    <col min="24" max="28" width="12.33203125" style="53" customWidth="1"/>
    <col min="29" max="16384" width="9.109375" style="53"/>
  </cols>
  <sheetData>
    <row r="2" spans="2:29" ht="19.5" customHeight="1" x14ac:dyDescent="0.3">
      <c r="C2" s="207" t="s">
        <v>102</v>
      </c>
      <c r="D2" s="207"/>
      <c r="E2" s="207"/>
      <c r="F2" s="207"/>
      <c r="G2" s="207"/>
      <c r="H2" s="207"/>
      <c r="I2" s="207"/>
      <c r="J2" s="207"/>
      <c r="K2" s="207"/>
      <c r="L2" s="207"/>
    </row>
    <row r="3" spans="2:29" ht="15.6" x14ac:dyDescent="0.3">
      <c r="C3" s="42"/>
    </row>
    <row r="4" spans="2:29" ht="15.6" x14ac:dyDescent="0.3">
      <c r="C4" s="5" t="s">
        <v>100</v>
      </c>
      <c r="W4" s="40"/>
      <c r="X4" s="40"/>
      <c r="Y4" s="40"/>
      <c r="Z4" s="40"/>
    </row>
    <row r="5" spans="2:29" x14ac:dyDescent="0.25">
      <c r="B5" s="113"/>
      <c r="C5" s="113"/>
      <c r="D5" s="111"/>
      <c r="E5" s="113"/>
      <c r="F5" s="123" t="s">
        <v>98</v>
      </c>
      <c r="Y5" s="125"/>
      <c r="Z5" s="125"/>
      <c r="AC5" s="126"/>
    </row>
    <row r="6" spans="2:29" x14ac:dyDescent="0.25">
      <c r="B6" s="113"/>
      <c r="C6" s="203" t="s">
        <v>92</v>
      </c>
      <c r="D6" s="113"/>
      <c r="F6" s="155">
        <f>'Output - 5yr Baseload'!F9</f>
        <v>32.900604361625284</v>
      </c>
      <c r="H6" s="299"/>
      <c r="Y6" s="125"/>
      <c r="Z6" s="125"/>
      <c r="AC6" s="126"/>
    </row>
    <row r="7" spans="2:29" x14ac:dyDescent="0.25">
      <c r="B7" s="113"/>
      <c r="C7" s="203" t="s">
        <v>93</v>
      </c>
      <c r="D7" s="113"/>
      <c r="F7" s="155">
        <f>'Output - 10yr Baseload'!F9</f>
        <v>34.00813138170205</v>
      </c>
      <c r="H7" s="299"/>
      <c r="Y7" s="125"/>
      <c r="Z7" s="125"/>
      <c r="AC7" s="126"/>
    </row>
    <row r="8" spans="2:29" x14ac:dyDescent="0.25">
      <c r="C8" s="203" t="s">
        <v>91</v>
      </c>
      <c r="D8" s="113"/>
      <c r="F8" s="155">
        <f>'Output - 15yr Baseload'!F9</f>
        <v>35.038407335260189</v>
      </c>
      <c r="H8" s="299"/>
      <c r="Y8" s="119"/>
      <c r="Z8" s="119"/>
      <c r="AA8" s="118"/>
      <c r="AB8" s="113"/>
    </row>
    <row r="9" spans="2:29" x14ac:dyDescent="0.25">
      <c r="C9" s="124"/>
      <c r="E9" s="127"/>
      <c r="F9" s="125"/>
      <c r="H9" s="299"/>
      <c r="Y9" s="119"/>
      <c r="Z9" s="119"/>
      <c r="AA9" s="119"/>
    </row>
    <row r="10" spans="2:29" x14ac:dyDescent="0.25">
      <c r="C10" s="128"/>
      <c r="E10" s="127"/>
      <c r="F10" s="125"/>
      <c r="H10" s="299"/>
    </row>
    <row r="11" spans="2:29" x14ac:dyDescent="0.25">
      <c r="F11" s="202"/>
      <c r="H11" s="299"/>
    </row>
    <row r="12" spans="2:29" x14ac:dyDescent="0.25">
      <c r="C12" s="113"/>
      <c r="D12" s="111"/>
      <c r="E12" s="113"/>
      <c r="F12" s="123" t="s">
        <v>98</v>
      </c>
      <c r="H12" s="299"/>
    </row>
    <row r="13" spans="2:29" x14ac:dyDescent="0.25">
      <c r="C13" s="203" t="s">
        <v>94</v>
      </c>
      <c r="D13" s="113"/>
      <c r="F13" s="155">
        <f>'Output - 10yr Wind'!F9</f>
        <v>28.575383723906523</v>
      </c>
      <c r="H13" s="299"/>
    </row>
    <row r="14" spans="2:29" x14ac:dyDescent="0.25">
      <c r="C14" s="203" t="s">
        <v>95</v>
      </c>
      <c r="D14" s="113"/>
      <c r="F14" s="155">
        <f>'Output - 15yr Wind'!F9</f>
        <v>29.620503250300171</v>
      </c>
      <c r="H14" s="299"/>
    </row>
    <row r="15" spans="2:29" x14ac:dyDescent="0.25">
      <c r="H15" s="299"/>
    </row>
    <row r="16" spans="2:29" x14ac:dyDescent="0.25">
      <c r="H16" s="299"/>
    </row>
    <row r="17" spans="3:22" x14ac:dyDescent="0.25">
      <c r="F17" s="202"/>
      <c r="H17" s="299"/>
    </row>
    <row r="18" spans="3:22" x14ac:dyDescent="0.25">
      <c r="C18" s="113"/>
      <c r="D18" s="111"/>
      <c r="E18" s="113"/>
      <c r="F18" s="123" t="s">
        <v>98</v>
      </c>
      <c r="H18" s="299"/>
    </row>
    <row r="19" spans="3:22" x14ac:dyDescent="0.25">
      <c r="C19" s="203" t="s">
        <v>96</v>
      </c>
      <c r="D19" s="113"/>
      <c r="F19" s="155">
        <f>'Output - 10yr Solar'!F9</f>
        <v>25.202514282943611</v>
      </c>
      <c r="H19" s="299"/>
    </row>
    <row r="20" spans="3:22" x14ac:dyDescent="0.25">
      <c r="C20" s="203" t="s">
        <v>97</v>
      </c>
      <c r="D20" s="113"/>
      <c r="F20" s="155">
        <f>'Output - 15yr Solar'!F9</f>
        <v>26.256849299613116</v>
      </c>
      <c r="H20" s="299"/>
    </row>
    <row r="24" spans="3:22" ht="15.6" x14ac:dyDescent="0.3">
      <c r="C24" s="5" t="s">
        <v>99</v>
      </c>
    </row>
    <row r="25" spans="3:22" x14ac:dyDescent="0.25">
      <c r="F25" s="202">
        <v>1</v>
      </c>
      <c r="G25" s="202">
        <v>2</v>
      </c>
      <c r="H25" s="202">
        <v>3</v>
      </c>
      <c r="I25" s="202">
        <v>4</v>
      </c>
      <c r="J25" s="202">
        <v>5</v>
      </c>
      <c r="K25" s="202">
        <v>6</v>
      </c>
      <c r="L25" s="202">
        <v>7</v>
      </c>
      <c r="M25" s="202">
        <v>8</v>
      </c>
      <c r="N25" s="202">
        <v>9</v>
      </c>
      <c r="O25" s="202">
        <v>10</v>
      </c>
      <c r="P25" s="202">
        <v>11</v>
      </c>
      <c r="Q25" s="202">
        <v>12</v>
      </c>
      <c r="R25" s="202">
        <v>13</v>
      </c>
      <c r="S25" s="202">
        <v>14</v>
      </c>
      <c r="T25" s="202">
        <v>15</v>
      </c>
      <c r="U25" s="202">
        <v>16</v>
      </c>
      <c r="V25" s="202">
        <v>17</v>
      </c>
    </row>
    <row r="26" spans="3:22" x14ac:dyDescent="0.25">
      <c r="C26" s="113"/>
      <c r="D26" s="111"/>
      <c r="E26" s="113"/>
      <c r="F26" s="123">
        <f>'Energy Prices'!$C$6</f>
        <v>2021</v>
      </c>
      <c r="G26" s="123">
        <f>F26+1</f>
        <v>2022</v>
      </c>
      <c r="H26" s="123">
        <f>G26+1</f>
        <v>2023</v>
      </c>
      <c r="I26" s="123">
        <f t="shared" ref="I26:T26" si="0">H26+1</f>
        <v>2024</v>
      </c>
      <c r="J26" s="123">
        <f t="shared" si="0"/>
        <v>2025</v>
      </c>
      <c r="K26" s="123">
        <f t="shared" si="0"/>
        <v>2026</v>
      </c>
      <c r="L26" s="123">
        <f t="shared" si="0"/>
        <v>2027</v>
      </c>
      <c r="M26" s="123">
        <f t="shared" si="0"/>
        <v>2028</v>
      </c>
      <c r="N26" s="123">
        <f t="shared" si="0"/>
        <v>2029</v>
      </c>
      <c r="O26" s="123">
        <f t="shared" si="0"/>
        <v>2030</v>
      </c>
      <c r="P26" s="123">
        <f t="shared" si="0"/>
        <v>2031</v>
      </c>
      <c r="Q26" s="123">
        <f t="shared" si="0"/>
        <v>2032</v>
      </c>
      <c r="R26" s="123">
        <f t="shared" si="0"/>
        <v>2033</v>
      </c>
      <c r="S26" s="123">
        <f t="shared" si="0"/>
        <v>2034</v>
      </c>
      <c r="T26" s="123">
        <f t="shared" si="0"/>
        <v>2035</v>
      </c>
      <c r="U26" s="123">
        <f>T26+1</f>
        <v>2036</v>
      </c>
      <c r="V26" s="123">
        <f>U26+1</f>
        <v>2037</v>
      </c>
    </row>
    <row r="27" spans="3:22" x14ac:dyDescent="0.25">
      <c r="C27" s="203" t="s">
        <v>92</v>
      </c>
      <c r="D27" s="113"/>
      <c r="F27" s="155">
        <f>'Output - 5yr Baseload'!F13</f>
        <v>31.406426057816642</v>
      </c>
      <c r="G27" s="155">
        <f>'Output - 5yr Baseload'!G13</f>
        <v>32.191586709262054</v>
      </c>
      <c r="H27" s="155">
        <f>'Output - 5yr Baseload'!H13</f>
        <v>32.996376376993602</v>
      </c>
      <c r="I27" s="155">
        <f>'Output - 5yr Baseload'!I13</f>
        <v>33.821285786418436</v>
      </c>
      <c r="J27" s="155">
        <f>'Output - 5yr Baseload'!J13</f>
        <v>34.666817931078903</v>
      </c>
      <c r="K27" s="199">
        <f>'Output - 5yr Baseload'!K13</f>
        <v>35.533488379355873</v>
      </c>
      <c r="L27" s="199">
        <f>'Output - 5yr Baseload'!L13</f>
        <v>36.421825588839766</v>
      </c>
      <c r="M27" s="199"/>
      <c r="N27" s="199"/>
      <c r="O27" s="199"/>
      <c r="P27" s="199"/>
      <c r="Q27" s="199"/>
      <c r="R27" s="199"/>
      <c r="S27" s="199"/>
      <c r="T27" s="199"/>
      <c r="U27" s="199"/>
      <c r="V27" s="199"/>
    </row>
    <row r="28" spans="3:22" x14ac:dyDescent="0.25">
      <c r="C28" s="203" t="s">
        <v>93</v>
      </c>
      <c r="D28" s="113"/>
      <c r="F28" s="155">
        <f>'Output - 10yr Baseload'!F13</f>
        <v>30.797061708290375</v>
      </c>
      <c r="G28" s="155">
        <f>'Output - 10yr Baseload'!G13</f>
        <v>31.566988250997628</v>
      </c>
      <c r="H28" s="155">
        <f>'Output - 10yr Baseload'!H13</f>
        <v>32.356162957272559</v>
      </c>
      <c r="I28" s="155">
        <f>'Output - 10yr Baseload'!I13</f>
        <v>33.165067031204373</v>
      </c>
      <c r="J28" s="155">
        <f>'Output - 10yr Baseload'!J13</f>
        <v>33.994193706984483</v>
      </c>
      <c r="K28" s="155">
        <f>'Output - 10yr Baseload'!K13</f>
        <v>34.844048549659092</v>
      </c>
      <c r="L28" s="155">
        <f>'Output - 10yr Baseload'!L13</f>
        <v>35.715149763400568</v>
      </c>
      <c r="M28" s="155">
        <f>'Output - 10yr Baseload'!M13</f>
        <v>36.608028507485571</v>
      </c>
      <c r="N28" s="155">
        <f>'Output - 10yr Baseload'!N13</f>
        <v>37.523229220172709</v>
      </c>
      <c r="O28" s="155">
        <f>'Output - 10yr Baseload'!O13</f>
        <v>38.46130995067702</v>
      </c>
      <c r="P28" s="199">
        <f>'Output - 10yr Baseload'!P13</f>
        <v>39.42284269944394</v>
      </c>
      <c r="Q28" s="199">
        <f>'Output - 10yr Baseload'!Q13</f>
        <v>40.408413766930032</v>
      </c>
      <c r="R28" s="199"/>
      <c r="S28" s="199"/>
      <c r="T28" s="199"/>
      <c r="U28" s="199"/>
      <c r="V28" s="199"/>
    </row>
    <row r="29" spans="3:22" x14ac:dyDescent="0.25">
      <c r="C29" s="203" t="s">
        <v>91</v>
      </c>
      <c r="D29" s="113"/>
      <c r="F29" s="155">
        <f>'Output - 15yr Baseload'!F13</f>
        <v>30.277495036610134</v>
      </c>
      <c r="G29" s="156">
        <f>'Output - 15yr Baseload'!G13</f>
        <v>31.034432412525383</v>
      </c>
      <c r="H29" s="157">
        <f>'Output - 15yr Baseload'!H13</f>
        <v>31.810293222838514</v>
      </c>
      <c r="I29" s="157">
        <f>'Output - 15yr Baseload'!I13</f>
        <v>32.605550553409472</v>
      </c>
      <c r="J29" s="157">
        <f>'Output - 15yr Baseload'!J13</f>
        <v>33.420689317244708</v>
      </c>
      <c r="K29" s="157">
        <f>'Output - 15yr Baseload'!K13</f>
        <v>34.256206550175825</v>
      </c>
      <c r="L29" s="157">
        <f>'Output - 15yr Baseload'!L13</f>
        <v>35.112611713930214</v>
      </c>
      <c r="M29" s="157">
        <f>'Output - 15yr Baseload'!M13</f>
        <v>35.990427006778468</v>
      </c>
      <c r="N29" s="157">
        <f>'Output - 15yr Baseload'!N13</f>
        <v>36.890187681947928</v>
      </c>
      <c r="O29" s="157">
        <f>'Output - 15yr Baseload'!O13</f>
        <v>37.812442373996625</v>
      </c>
      <c r="P29" s="157">
        <f>'Output - 15yr Baseload'!P13</f>
        <v>38.757753433346537</v>
      </c>
      <c r="Q29" s="157">
        <f>'Output - 15yr Baseload'!Q13</f>
        <v>39.726697269180185</v>
      </c>
      <c r="R29" s="157">
        <f>'Output - 15yr Baseload'!R13</f>
        <v>40.719864700909689</v>
      </c>
      <c r="S29" s="157">
        <f>'Output - 15yr Baseload'!S13</f>
        <v>41.737861318432422</v>
      </c>
      <c r="T29" s="157">
        <f>'Output - 15yr Baseload'!T13</f>
        <v>42.78130785139323</v>
      </c>
      <c r="U29" s="199">
        <f>'Output - 15yr Baseload'!U13</f>
        <v>43.850840547678054</v>
      </c>
      <c r="V29" s="199">
        <f>'Output - 15yr Baseload'!V13</f>
        <v>44.947111561370001</v>
      </c>
    </row>
    <row r="30" spans="3:22" x14ac:dyDescent="0.25">
      <c r="C30" s="124"/>
      <c r="E30" s="127"/>
      <c r="F30" s="125"/>
      <c r="G30" s="125"/>
      <c r="H30" s="125"/>
      <c r="I30" s="125"/>
      <c r="J30" s="125"/>
      <c r="K30" s="125"/>
      <c r="L30" s="125"/>
      <c r="M30" s="125"/>
      <c r="N30" s="125"/>
      <c r="O30" s="125"/>
      <c r="P30" s="125"/>
      <c r="Q30" s="125"/>
      <c r="R30" s="125"/>
      <c r="S30" s="125"/>
      <c r="T30" s="125"/>
      <c r="U30" s="125"/>
      <c r="V30" s="125"/>
    </row>
    <row r="31" spans="3:22" x14ac:dyDescent="0.25">
      <c r="C31" s="128"/>
      <c r="E31" s="127"/>
      <c r="F31" s="125"/>
      <c r="G31" s="125"/>
      <c r="H31" s="125"/>
      <c r="I31" s="125"/>
      <c r="J31" s="125"/>
      <c r="K31" s="125"/>
      <c r="L31" s="125"/>
      <c r="M31" s="125"/>
      <c r="N31" s="125"/>
      <c r="O31" s="125"/>
      <c r="P31" s="125"/>
      <c r="Q31" s="125"/>
      <c r="R31" s="125"/>
      <c r="S31" s="125"/>
      <c r="T31" s="125"/>
      <c r="U31" s="125"/>
      <c r="V31" s="125"/>
    </row>
    <row r="32" spans="3:22" x14ac:dyDescent="0.25">
      <c r="F32" s="202">
        <v>1</v>
      </c>
      <c r="G32" s="202">
        <v>2</v>
      </c>
      <c r="H32" s="202">
        <v>3</v>
      </c>
      <c r="I32" s="202">
        <v>4</v>
      </c>
      <c r="J32" s="202">
        <v>5</v>
      </c>
      <c r="K32" s="202">
        <v>6</v>
      </c>
      <c r="L32" s="202">
        <v>7</v>
      </c>
      <c r="M32" s="202">
        <v>8</v>
      </c>
      <c r="N32" s="202">
        <v>9</v>
      </c>
      <c r="O32" s="202">
        <v>10</v>
      </c>
      <c r="P32" s="202">
        <v>11</v>
      </c>
      <c r="Q32" s="202">
        <v>12</v>
      </c>
      <c r="R32" s="202">
        <v>13</v>
      </c>
      <c r="S32" s="202">
        <v>14</v>
      </c>
      <c r="T32" s="202">
        <v>15</v>
      </c>
      <c r="U32" s="202">
        <v>16</v>
      </c>
      <c r="V32" s="202">
        <v>17</v>
      </c>
    </row>
    <row r="33" spans="3:22" x14ac:dyDescent="0.25">
      <c r="C33" s="113"/>
      <c r="D33" s="111"/>
      <c r="E33" s="113"/>
      <c r="F33" s="123">
        <f>'Energy Prices'!$C$6</f>
        <v>2021</v>
      </c>
      <c r="G33" s="123">
        <f>F33+1</f>
        <v>2022</v>
      </c>
      <c r="H33" s="123">
        <f>G33+1</f>
        <v>2023</v>
      </c>
      <c r="I33" s="123">
        <f t="shared" ref="I33" si="1">H33+1</f>
        <v>2024</v>
      </c>
      <c r="J33" s="123">
        <f t="shared" ref="J33" si="2">I33+1</f>
        <v>2025</v>
      </c>
      <c r="K33" s="123">
        <f t="shared" ref="K33" si="3">J33+1</f>
        <v>2026</v>
      </c>
      <c r="L33" s="123">
        <f t="shared" ref="L33" si="4">K33+1</f>
        <v>2027</v>
      </c>
      <c r="M33" s="123">
        <f t="shared" ref="M33" si="5">L33+1</f>
        <v>2028</v>
      </c>
      <c r="N33" s="123">
        <f t="shared" ref="N33" si="6">M33+1</f>
        <v>2029</v>
      </c>
      <c r="O33" s="123">
        <f t="shared" ref="O33" si="7">N33+1</f>
        <v>2030</v>
      </c>
      <c r="P33" s="123">
        <f t="shared" ref="P33" si="8">O33+1</f>
        <v>2031</v>
      </c>
      <c r="Q33" s="123">
        <f t="shared" ref="Q33" si="9">P33+1</f>
        <v>2032</v>
      </c>
      <c r="R33" s="123">
        <f t="shared" ref="R33" si="10">Q33+1</f>
        <v>2033</v>
      </c>
      <c r="S33" s="123">
        <f t="shared" ref="S33" si="11">R33+1</f>
        <v>2034</v>
      </c>
      <c r="T33" s="123">
        <f t="shared" ref="T33" si="12">S33+1</f>
        <v>2035</v>
      </c>
      <c r="U33" s="123">
        <f>T33+1</f>
        <v>2036</v>
      </c>
      <c r="V33" s="123">
        <f>U33+1</f>
        <v>2037</v>
      </c>
    </row>
    <row r="34" spans="3:22" x14ac:dyDescent="0.25">
      <c r="C34" s="203" t="s">
        <v>94</v>
      </c>
      <c r="D34" s="113"/>
      <c r="F34" s="155">
        <f>'Output - 10yr Wind'!F13</f>
        <v>25.877277584169963</v>
      </c>
      <c r="G34" s="155">
        <f>'Output - 10yr Wind'!G13</f>
        <v>26.524209523774207</v>
      </c>
      <c r="H34" s="155">
        <f>'Output - 10yr Wind'!H13</f>
        <v>27.18731476186856</v>
      </c>
      <c r="I34" s="155">
        <f>'Output - 10yr Wind'!I13</f>
        <v>27.866997630915272</v>
      </c>
      <c r="J34" s="155">
        <f>'Output - 10yr Wind'!J13</f>
        <v>28.563672571688151</v>
      </c>
      <c r="K34" s="155">
        <f>'Output - 10yr Wind'!K13</f>
        <v>29.277764385980355</v>
      </c>
      <c r="L34" s="155">
        <f>'Output - 10yr Wind'!L13</f>
        <v>30.009708495629862</v>
      </c>
      <c r="M34" s="155">
        <f>'Output - 10yr Wind'!M13</f>
        <v>30.759951208020599</v>
      </c>
      <c r="N34" s="155">
        <f>'Output - 10yr Wind'!N13</f>
        <v>31.528949988221115</v>
      </c>
      <c r="O34" s="155">
        <f>'Output - 10yr Wind'!O13</f>
        <v>32.317173737926638</v>
      </c>
      <c r="P34" s="199">
        <f>'Output - 10yr Wind'!P13</f>
        <v>33.125103081374803</v>
      </c>
      <c r="Q34" s="199">
        <f>'Output - 10yr Wind'!Q13</f>
        <v>33.953230658409169</v>
      </c>
      <c r="R34" s="199"/>
      <c r="S34" s="199"/>
      <c r="T34" s="199"/>
      <c r="U34" s="199"/>
      <c r="V34" s="199"/>
    </row>
    <row r="35" spans="3:22" x14ac:dyDescent="0.25">
      <c r="C35" s="203" t="s">
        <v>95</v>
      </c>
      <c r="D35" s="113"/>
      <c r="F35" s="155">
        <f>'Output - 15yr Wind'!F13</f>
        <v>25.595759292413568</v>
      </c>
      <c r="G35" s="156">
        <f>'Output - 15yr Wind'!G13</f>
        <v>26.235653274723905</v>
      </c>
      <c r="H35" s="157">
        <f>'Output - 15yr Wind'!H13</f>
        <v>26.891544606591999</v>
      </c>
      <c r="I35" s="157">
        <f>'Output - 15yr Wind'!I13</f>
        <v>27.563833221756799</v>
      </c>
      <c r="J35" s="157">
        <f>'Output - 15yr Wind'!J13</f>
        <v>28.252929052300718</v>
      </c>
      <c r="K35" s="157">
        <f>'Output - 15yr Wind'!K13</f>
        <v>28.959252278608233</v>
      </c>
      <c r="L35" s="157">
        <f>'Output - 15yr Wind'!L13</f>
        <v>29.683233585573433</v>
      </c>
      <c r="M35" s="157">
        <f>'Output - 15yr Wind'!M13</f>
        <v>30.425314425212768</v>
      </c>
      <c r="N35" s="157">
        <f>'Output - 15yr Wind'!N13</f>
        <v>31.185947285843085</v>
      </c>
      <c r="O35" s="157">
        <f>'Output - 15yr Wind'!O13</f>
        <v>31.965595967989159</v>
      </c>
      <c r="P35" s="157">
        <f>'Output - 15yr Wind'!P13</f>
        <v>32.764735867188882</v>
      </c>
      <c r="Q35" s="157">
        <f>'Output - 15yr Wind'!Q13</f>
        <v>33.583854263868595</v>
      </c>
      <c r="R35" s="157">
        <f>'Output - 15yr Wind'!R13</f>
        <v>34.42345062046531</v>
      </c>
      <c r="S35" s="157">
        <f>'Output - 15yr Wind'!S13</f>
        <v>35.284036885976938</v>
      </c>
      <c r="T35" s="157">
        <f>'Output - 15yr Wind'!T13</f>
        <v>36.166137808126358</v>
      </c>
      <c r="U35" s="199">
        <f>'Output - 15yr Wind'!U13</f>
        <v>37.070291253329515</v>
      </c>
      <c r="V35" s="199">
        <f>'Output - 15yr Wind'!V13</f>
        <v>37.997048534662753</v>
      </c>
    </row>
    <row r="38" spans="3:22" x14ac:dyDescent="0.25">
      <c r="F38" s="202">
        <v>1</v>
      </c>
      <c r="G38" s="202">
        <v>2</v>
      </c>
      <c r="H38" s="202">
        <v>3</v>
      </c>
      <c r="I38" s="202">
        <v>4</v>
      </c>
      <c r="J38" s="202">
        <v>5</v>
      </c>
      <c r="K38" s="202">
        <v>6</v>
      </c>
      <c r="L38" s="202">
        <v>7</v>
      </c>
      <c r="M38" s="202">
        <v>8</v>
      </c>
      <c r="N38" s="202">
        <v>9</v>
      </c>
      <c r="O38" s="202">
        <v>10</v>
      </c>
      <c r="P38" s="202">
        <v>11</v>
      </c>
      <c r="Q38" s="202">
        <v>12</v>
      </c>
      <c r="R38" s="202">
        <v>13</v>
      </c>
      <c r="S38" s="202">
        <v>14</v>
      </c>
      <c r="T38" s="202">
        <v>15</v>
      </c>
      <c r="U38" s="202">
        <v>16</v>
      </c>
      <c r="V38" s="202">
        <v>17</v>
      </c>
    </row>
    <row r="39" spans="3:22" x14ac:dyDescent="0.25">
      <c r="C39" s="113"/>
      <c r="D39" s="111"/>
      <c r="E39" s="113"/>
      <c r="F39" s="123">
        <f>'Energy Prices'!$C$6</f>
        <v>2021</v>
      </c>
      <c r="G39" s="123">
        <f>F39+1</f>
        <v>2022</v>
      </c>
      <c r="H39" s="123">
        <f>G39+1</f>
        <v>2023</v>
      </c>
      <c r="I39" s="123">
        <f t="shared" ref="I39" si="13">H39+1</f>
        <v>2024</v>
      </c>
      <c r="J39" s="123">
        <f t="shared" ref="J39" si="14">I39+1</f>
        <v>2025</v>
      </c>
      <c r="K39" s="123">
        <f t="shared" ref="K39" si="15">J39+1</f>
        <v>2026</v>
      </c>
      <c r="L39" s="123">
        <f t="shared" ref="L39" si="16">K39+1</f>
        <v>2027</v>
      </c>
      <c r="M39" s="123">
        <f t="shared" ref="M39" si="17">L39+1</f>
        <v>2028</v>
      </c>
      <c r="N39" s="123">
        <f t="shared" ref="N39" si="18">M39+1</f>
        <v>2029</v>
      </c>
      <c r="O39" s="123">
        <f t="shared" ref="O39" si="19">N39+1</f>
        <v>2030</v>
      </c>
      <c r="P39" s="123">
        <f t="shared" ref="P39" si="20">O39+1</f>
        <v>2031</v>
      </c>
      <c r="Q39" s="123">
        <f t="shared" ref="Q39" si="21">P39+1</f>
        <v>2032</v>
      </c>
      <c r="R39" s="123">
        <f t="shared" ref="R39" si="22">Q39+1</f>
        <v>2033</v>
      </c>
      <c r="S39" s="123">
        <f t="shared" ref="S39" si="23">R39+1</f>
        <v>2034</v>
      </c>
      <c r="T39" s="123">
        <f t="shared" ref="T39" si="24">S39+1</f>
        <v>2035</v>
      </c>
      <c r="U39" s="123">
        <f>T39+1</f>
        <v>2036</v>
      </c>
      <c r="V39" s="123">
        <f>U39+1</f>
        <v>2037</v>
      </c>
    </row>
    <row r="40" spans="3:22" x14ac:dyDescent="0.25">
      <c r="C40" s="203" t="s">
        <v>96</v>
      </c>
      <c r="D40" s="113"/>
      <c r="F40" s="155">
        <f>'Output - 10yr Solar'!F13</f>
        <v>22.822876648656319</v>
      </c>
      <c r="G40" s="155">
        <f>'Output - 10yr Solar'!G13</f>
        <v>23.393448564872724</v>
      </c>
      <c r="H40" s="155">
        <f>'Output - 10yr Solar'!H13</f>
        <v>23.978284778994539</v>
      </c>
      <c r="I40" s="155">
        <f>'Output - 10yr Solar'!I13</f>
        <v>24.577741898469402</v>
      </c>
      <c r="J40" s="155">
        <f>'Output - 10yr Solar'!J13</f>
        <v>25.192185445931134</v>
      </c>
      <c r="K40" s="155">
        <f>'Output - 10yr Solar'!K13</f>
        <v>25.821990082079409</v>
      </c>
      <c r="L40" s="155">
        <f>'Output - 10yr Solar'!L13</f>
        <v>26.467539834131394</v>
      </c>
      <c r="M40" s="155">
        <f>'Output - 10yr Solar'!M13</f>
        <v>27.12922832998467</v>
      </c>
      <c r="N40" s="155">
        <f>'Output - 10yr Solar'!N13</f>
        <v>27.807459038234288</v>
      </c>
      <c r="O40" s="155">
        <f>'Output - 10yr Solar'!O13</f>
        <v>28.502645514190142</v>
      </c>
      <c r="P40" s="199">
        <f>'Output - 10yr Solar'!P13</f>
        <v>29.215211652044893</v>
      </c>
      <c r="Q40" s="199">
        <f>'Output - 10yr Solar'!Q13</f>
        <v>29.945591943346013</v>
      </c>
      <c r="R40" s="199"/>
      <c r="S40" s="199"/>
      <c r="T40" s="199"/>
      <c r="U40" s="199"/>
      <c r="V40" s="199"/>
    </row>
    <row r="41" spans="3:22" x14ac:dyDescent="0.25">
      <c r="C41" s="203" t="s">
        <v>97</v>
      </c>
      <c r="D41" s="113"/>
      <c r="F41" s="155">
        <f>'Output - 15yr Solar'!F13</f>
        <v>22.689148417600382</v>
      </c>
      <c r="G41" s="156">
        <f>'Output - 15yr Solar'!G13</f>
        <v>23.256377128040391</v>
      </c>
      <c r="H41" s="157">
        <f>'Output - 15yr Solar'!H13</f>
        <v>23.837786556241397</v>
      </c>
      <c r="I41" s="157">
        <f>'Output - 15yr Solar'!I13</f>
        <v>24.433731220147429</v>
      </c>
      <c r="J41" s="157">
        <f>'Output - 15yr Solar'!J13</f>
        <v>25.044574500651116</v>
      </c>
      <c r="K41" s="157">
        <f>'Output - 15yr Solar'!K13</f>
        <v>25.670688863167388</v>
      </c>
      <c r="L41" s="157">
        <f>'Output - 15yr Solar'!L13</f>
        <v>26.312456084746572</v>
      </c>
      <c r="M41" s="157">
        <f>'Output - 15yr Solar'!M13</f>
        <v>26.970267486865236</v>
      </c>
      <c r="N41" s="157">
        <f>'Output - 15yr Solar'!N13</f>
        <v>27.64452417403686</v>
      </c>
      <c r="O41" s="157">
        <f>'Output - 15yr Solar'!O13</f>
        <v>28.335637278387782</v>
      </c>
      <c r="P41" s="157">
        <f>'Output - 15yr Solar'!P13</f>
        <v>29.044028210347474</v>
      </c>
      <c r="Q41" s="157">
        <f>'Output - 15yr Solar'!Q13</f>
        <v>29.770128915606151</v>
      </c>
      <c r="R41" s="157">
        <f>'Output - 15yr Solar'!R13</f>
        <v>30.514382138496305</v>
      </c>
      <c r="S41" s="157">
        <f>'Output - 15yr Solar'!S13</f>
        <v>31.277241691958707</v>
      </c>
      <c r="T41" s="157">
        <f>'Output - 15yr Solar'!T13</f>
        <v>32.059172734257672</v>
      </c>
      <c r="U41" s="199">
        <f>'Output - 15yr Solar'!U13</f>
        <v>32.860652052614114</v>
      </c>
      <c r="V41" s="199">
        <f>'Output - 15yr Solar'!V13</f>
        <v>33.682168353929463</v>
      </c>
    </row>
  </sheetData>
  <customSheetViews>
    <customSheetView guid="{78103E26-15C6-4D37-9879-762EF0B43905}" fitToPage="1" topLeftCell="A11">
      <pageMargins left="0.75" right="0.5" top="0.76" bottom="0.79" header="0.5" footer="0.26"/>
      <pageSetup scale="36" orientation="landscape" r:id="rId1"/>
      <headerFooter alignWithMargins="0">
        <oddFooter>&amp;L&amp;F&amp;C&amp;A&amp;RPSE Advice No. 2018-48 &amp;D
Page &amp;P of &amp;N</oddFooter>
      </headerFooter>
    </customSheetView>
  </customSheetViews>
  <pageMargins left="0.75" right="0.5" top="0.76" bottom="0.79" header="0.5" footer="0.26"/>
  <pageSetup scale="36" orientation="landscape" r:id="rId2"/>
  <headerFooter alignWithMargins="0">
    <oddFooter>&amp;L&amp;F&amp;C&amp;A&amp;RPSE Advice No. 2018-48 &amp;D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C40"/>
  <sheetViews>
    <sheetView topLeftCell="A11" workbookViewId="0">
      <selection activeCell="H5" sqref="H5"/>
    </sheetView>
  </sheetViews>
  <sheetFormatPr defaultColWidth="9.109375" defaultRowHeight="15" x14ac:dyDescent="0.25"/>
  <cols>
    <col min="1" max="1" width="2.6640625" style="53" customWidth="1"/>
    <col min="2" max="2" width="5" style="53" customWidth="1"/>
    <col min="3" max="3" width="46.6640625" style="53" customWidth="1"/>
    <col min="4" max="4" width="2.6640625" style="53" customWidth="1"/>
    <col min="5" max="22" width="12.6640625" style="53" customWidth="1"/>
    <col min="23" max="23" width="2.6640625" style="53" customWidth="1"/>
    <col min="24" max="25" width="12.6640625" style="53" customWidth="1"/>
    <col min="26" max="29" width="12.33203125" style="53" customWidth="1"/>
    <col min="30" max="16384" width="9.109375" style="53"/>
  </cols>
  <sheetData>
    <row r="2" spans="2:29" ht="19.5" customHeight="1" x14ac:dyDescent="0.3">
      <c r="C2" s="207" t="s">
        <v>83</v>
      </c>
      <c r="D2" s="207"/>
      <c r="E2" s="207"/>
      <c r="F2" s="207"/>
      <c r="G2" s="207"/>
      <c r="H2" s="207"/>
      <c r="I2" s="207"/>
      <c r="J2" s="207"/>
      <c r="K2" s="207"/>
      <c r="L2" s="207"/>
    </row>
    <row r="3" spans="2:29" ht="15.6" x14ac:dyDescent="0.3">
      <c r="C3" s="42" t="s">
        <v>84</v>
      </c>
    </row>
    <row r="4" spans="2:29" s="110" customFormat="1" ht="45" x14ac:dyDescent="0.25">
      <c r="B4" s="109"/>
      <c r="C4" s="144" t="s">
        <v>0</v>
      </c>
      <c r="D4" s="144"/>
      <c r="E4" s="144" t="s">
        <v>1</v>
      </c>
      <c r="F4" s="144" t="s">
        <v>2</v>
      </c>
      <c r="G4" s="144" t="s">
        <v>3</v>
      </c>
      <c r="H4" s="144" t="s">
        <v>4</v>
      </c>
      <c r="I4" s="144" t="s">
        <v>5</v>
      </c>
      <c r="J4" s="144" t="s">
        <v>6</v>
      </c>
      <c r="K4" s="144" t="s">
        <v>7</v>
      </c>
      <c r="L4" s="145" t="s">
        <v>14</v>
      </c>
      <c r="M4" s="145"/>
    </row>
    <row r="5" spans="2:29" x14ac:dyDescent="0.25">
      <c r="C5" s="147"/>
      <c r="D5" s="148"/>
      <c r="E5" s="149">
        <v>5</v>
      </c>
      <c r="F5" s="283">
        <f>+'Capacity Delivered'!$G$5</f>
        <v>1</v>
      </c>
      <c r="G5" s="150" t="s">
        <v>8</v>
      </c>
      <c r="H5" s="151">
        <f>'Electric EES CE Std Energy'!D13</f>
        <v>2.1496895857758748E-2</v>
      </c>
      <c r="I5" s="152">
        <f>'Baseload Avoided Capacity Calcs'!Y11</f>
        <v>1.2421252968659069E-2</v>
      </c>
      <c r="J5" s="152">
        <f>H5+I5</f>
        <v>3.3918148826417818E-2</v>
      </c>
      <c r="K5" s="153">
        <f>J5</f>
        <v>3.3918148826417818E-2</v>
      </c>
      <c r="L5" s="154">
        <f>K5*1000</f>
        <v>33.91814882641782</v>
      </c>
      <c r="M5" s="138"/>
    </row>
    <row r="6" spans="2:29" ht="15.6" x14ac:dyDescent="0.3">
      <c r="C6" s="146"/>
      <c r="D6" s="146"/>
      <c r="E6" s="113"/>
      <c r="F6" s="113"/>
      <c r="G6" s="113"/>
      <c r="H6" s="32">
        <f>H5*1000</f>
        <v>21.496895857758748</v>
      </c>
      <c r="I6" s="32">
        <f t="shared" ref="I6:K6" si="0">I5*1000</f>
        <v>12.421252968659068</v>
      </c>
      <c r="J6" s="32">
        <f t="shared" si="0"/>
        <v>33.91814882641782</v>
      </c>
      <c r="K6" s="32">
        <f t="shared" si="0"/>
        <v>33.91814882641782</v>
      </c>
      <c r="L6" s="115">
        <f>L5*(1-M6)</f>
        <v>32.900604361625284</v>
      </c>
      <c r="M6" s="232">
        <v>0.03</v>
      </c>
      <c r="N6" s="116" t="s">
        <v>36</v>
      </c>
    </row>
    <row r="7" spans="2:29" x14ac:dyDescent="0.25">
      <c r="C7" s="117"/>
      <c r="D7" s="114"/>
      <c r="H7" s="40"/>
      <c r="I7" s="112"/>
      <c r="J7" s="40"/>
      <c r="K7" s="112"/>
      <c r="L7" s="112"/>
      <c r="M7" s="113"/>
    </row>
    <row r="8" spans="2:29" ht="15.6" x14ac:dyDescent="0.3">
      <c r="C8" s="113"/>
      <c r="D8" s="113"/>
      <c r="E8" s="113"/>
      <c r="F8" s="113"/>
      <c r="G8" s="113"/>
      <c r="H8" s="118"/>
      <c r="I8" s="118"/>
      <c r="J8" s="118"/>
      <c r="K8" s="118"/>
      <c r="L8" s="118"/>
      <c r="M8" s="118"/>
      <c r="N8" s="118"/>
      <c r="O8" s="118"/>
      <c r="P8" s="118"/>
      <c r="S8" s="118"/>
      <c r="T8" s="118"/>
      <c r="U8" s="119"/>
      <c r="V8" s="119"/>
      <c r="X8" s="198" t="s">
        <v>73</v>
      </c>
      <c r="Y8" s="118"/>
      <c r="Z8" s="119"/>
      <c r="AA8" s="119"/>
      <c r="AB8" s="118"/>
      <c r="AC8" s="113"/>
    </row>
    <row r="9" spans="2:29" x14ac:dyDescent="0.25">
      <c r="C9" s="120" t="s">
        <v>9</v>
      </c>
      <c r="D9" s="120"/>
      <c r="E9" s="120"/>
      <c r="F9" s="121">
        <f>+L6</f>
        <v>32.900604361625284</v>
      </c>
      <c r="G9" s="121">
        <f t="shared" ref="G9:J9" si="1">F9</f>
        <v>32.900604361625284</v>
      </c>
      <c r="H9" s="121">
        <f t="shared" si="1"/>
        <v>32.900604361625284</v>
      </c>
      <c r="I9" s="121">
        <f t="shared" si="1"/>
        <v>32.900604361625284</v>
      </c>
      <c r="J9" s="121">
        <f t="shared" si="1"/>
        <v>32.900604361625284</v>
      </c>
      <c r="K9" s="118"/>
      <c r="L9" s="118"/>
      <c r="M9" s="118"/>
      <c r="N9" s="118"/>
      <c r="O9" s="119"/>
      <c r="P9" s="40"/>
      <c r="S9" s="40"/>
      <c r="T9" s="40"/>
      <c r="U9" s="40"/>
      <c r="X9" s="197">
        <f>NPV(Rate_of_Return,F9:J9)</f>
        <v>133.50193233586708</v>
      </c>
      <c r="Y9" s="197">
        <f>-PMT(Rate_of_Return,E5,X9)</f>
        <v>32.900604361625277</v>
      </c>
    </row>
    <row r="10" spans="2:29" x14ac:dyDescent="0.25">
      <c r="C10" s="113"/>
      <c r="D10" s="113"/>
      <c r="E10" s="113"/>
      <c r="F10" s="122"/>
      <c r="G10" s="122"/>
      <c r="H10" s="122"/>
      <c r="I10" s="122"/>
      <c r="J10" s="122"/>
      <c r="K10" s="118"/>
      <c r="L10" s="118"/>
      <c r="M10" s="118"/>
      <c r="N10" s="118"/>
      <c r="O10" s="119"/>
      <c r="P10" s="40"/>
      <c r="S10" s="40"/>
      <c r="T10" s="40"/>
      <c r="U10" s="40"/>
      <c r="X10" s="32"/>
      <c r="Y10" s="32"/>
    </row>
    <row r="11" spans="2:29" x14ac:dyDescent="0.25">
      <c r="C11" s="53" t="s">
        <v>55</v>
      </c>
      <c r="F11" s="202">
        <v>1</v>
      </c>
      <c r="G11" s="202">
        <v>2</v>
      </c>
      <c r="H11" s="202">
        <v>3</v>
      </c>
      <c r="I11" s="202">
        <v>4</v>
      </c>
      <c r="J11" s="202">
        <v>5</v>
      </c>
      <c r="K11" s="202">
        <v>6</v>
      </c>
      <c r="L11" s="202">
        <v>7</v>
      </c>
      <c r="M11" s="118"/>
      <c r="N11" s="118"/>
      <c r="O11" s="119"/>
      <c r="P11" s="40"/>
      <c r="S11" s="40"/>
      <c r="T11" s="40"/>
      <c r="U11" s="40"/>
      <c r="X11" s="40"/>
      <c r="Y11" s="40"/>
    </row>
    <row r="12" spans="2:29" ht="15.6" x14ac:dyDescent="0.3">
      <c r="C12" s="113"/>
      <c r="D12" s="111"/>
      <c r="E12" s="113"/>
      <c r="F12" s="123">
        <f>'Energy Prices'!$C$6</f>
        <v>2021</v>
      </c>
      <c r="G12" s="123">
        <f>F12+1</f>
        <v>2022</v>
      </c>
      <c r="H12" s="123">
        <f>G12+1</f>
        <v>2023</v>
      </c>
      <c r="I12" s="123">
        <f t="shared" ref="I12:L12" si="2">H12+1</f>
        <v>2024</v>
      </c>
      <c r="J12" s="123">
        <f t="shared" si="2"/>
        <v>2025</v>
      </c>
      <c r="K12" s="123">
        <f t="shared" si="2"/>
        <v>2026</v>
      </c>
      <c r="L12" s="123">
        <f t="shared" si="2"/>
        <v>2027</v>
      </c>
      <c r="M12" s="118"/>
      <c r="N12" s="118"/>
      <c r="O12" s="119"/>
      <c r="P12" s="200"/>
      <c r="S12" s="119"/>
      <c r="T12" s="119"/>
      <c r="U12" s="119"/>
      <c r="X12" s="198" t="s">
        <v>73</v>
      </c>
      <c r="Y12" s="32"/>
    </row>
    <row r="13" spans="2:29" ht="52.95" customHeight="1" x14ac:dyDescent="0.25">
      <c r="B13" s="113"/>
      <c r="C13" s="203" t="s">
        <v>90</v>
      </c>
      <c r="D13" s="113"/>
      <c r="F13" s="155">
        <f>F$9*F$20</f>
        <v>31.406426057816642</v>
      </c>
      <c r="G13" s="156">
        <f t="shared" ref="G13:J13" si="3">G$9*G$20</f>
        <v>32.191586709262054</v>
      </c>
      <c r="H13" s="157">
        <f t="shared" si="3"/>
        <v>32.996376376993602</v>
      </c>
      <c r="I13" s="157">
        <f t="shared" si="3"/>
        <v>33.821285786418436</v>
      </c>
      <c r="J13" s="157">
        <f t="shared" si="3"/>
        <v>34.666817931078903</v>
      </c>
      <c r="K13" s="199">
        <f>J13*1.025</f>
        <v>35.533488379355873</v>
      </c>
      <c r="L13" s="199">
        <f>K13*1.025</f>
        <v>36.421825588839766</v>
      </c>
      <c r="M13" s="118"/>
      <c r="N13" s="118"/>
      <c r="O13" s="119"/>
      <c r="P13" s="125"/>
      <c r="S13" s="125"/>
      <c r="T13" s="125"/>
      <c r="U13" s="125"/>
      <c r="X13" s="197">
        <f>NPV(Rate_of_Return,F13:J13)</f>
        <v>133.50193233586714</v>
      </c>
      <c r="Y13" s="197">
        <f>-PMT(Rate_of_Return,E5,X13)</f>
        <v>32.900604361625291</v>
      </c>
    </row>
    <row r="14" spans="2:29" x14ac:dyDescent="0.25">
      <c r="C14" s="124"/>
      <c r="E14" s="127"/>
      <c r="F14" s="125"/>
      <c r="G14" s="125"/>
      <c r="H14" s="125"/>
      <c r="I14" s="125"/>
      <c r="J14" s="125"/>
      <c r="K14" s="118"/>
      <c r="L14" s="118"/>
      <c r="M14" s="118"/>
      <c r="N14" s="118"/>
      <c r="O14" s="119"/>
      <c r="P14" s="125"/>
      <c r="S14" s="119"/>
      <c r="T14" s="119"/>
      <c r="U14" s="119"/>
      <c r="V14" s="118"/>
      <c r="W14" s="113"/>
      <c r="X14" s="119"/>
      <c r="Y14" s="119"/>
    </row>
    <row r="15" spans="2:29" x14ac:dyDescent="0.25">
      <c r="C15" s="128"/>
      <c r="E15" s="127"/>
      <c r="F15" s="125"/>
      <c r="G15" s="125"/>
      <c r="H15" s="125"/>
      <c r="I15" s="125"/>
      <c r="J15" s="125"/>
      <c r="K15" s="118"/>
      <c r="L15" s="118"/>
      <c r="M15" s="118"/>
      <c r="N15" s="118"/>
      <c r="O15" s="119"/>
      <c r="P15" s="125"/>
      <c r="S15" s="119"/>
      <c r="T15" s="119"/>
      <c r="U15" s="119"/>
      <c r="V15" s="119"/>
      <c r="X15" s="119"/>
      <c r="Y15" s="119"/>
    </row>
    <row r="16" spans="2:29" x14ac:dyDescent="0.25">
      <c r="C16" s="53" t="s">
        <v>10</v>
      </c>
      <c r="K16" s="118"/>
      <c r="L16" s="118"/>
      <c r="M16" s="118"/>
      <c r="N16" s="118"/>
      <c r="O16" s="119"/>
    </row>
    <row r="17" spans="2:25" x14ac:dyDescent="0.25">
      <c r="K17" s="118"/>
      <c r="L17" s="118"/>
      <c r="M17" s="118"/>
      <c r="N17" s="118"/>
      <c r="O17" s="119"/>
    </row>
    <row r="18" spans="2:25" ht="15.6" x14ac:dyDescent="0.3">
      <c r="C18" s="113"/>
      <c r="D18" s="113"/>
      <c r="E18" s="113"/>
      <c r="F18" s="113"/>
      <c r="G18" s="113"/>
      <c r="H18" s="113"/>
      <c r="I18" s="113"/>
      <c r="J18" s="113"/>
      <c r="K18" s="118"/>
      <c r="L18" s="118"/>
      <c r="M18" s="118"/>
      <c r="N18" s="118"/>
      <c r="O18" s="119"/>
      <c r="X18" s="198" t="s">
        <v>73</v>
      </c>
      <c r="Y18" s="113"/>
    </row>
    <row r="19" spans="2:25" x14ac:dyDescent="0.25">
      <c r="C19" s="120" t="s">
        <v>11</v>
      </c>
      <c r="D19" s="120"/>
      <c r="E19" s="120"/>
      <c r="F19" s="139">
        <v>100</v>
      </c>
      <c r="G19" s="139">
        <f t="shared" ref="G19:J19" si="4">F19*1.025</f>
        <v>102.49999999999999</v>
      </c>
      <c r="H19" s="139">
        <f t="shared" si="4"/>
        <v>105.06249999999997</v>
      </c>
      <c r="I19" s="139">
        <f t="shared" si="4"/>
        <v>107.68906249999996</v>
      </c>
      <c r="J19" s="139">
        <f t="shared" si="4"/>
        <v>110.38128906249996</v>
      </c>
      <c r="K19" s="118"/>
      <c r="L19" s="118"/>
      <c r="M19" s="118"/>
      <c r="N19" s="118"/>
      <c r="O19" s="119"/>
      <c r="P19" s="129"/>
      <c r="S19" s="119"/>
      <c r="T19" s="119"/>
      <c r="U19" s="119"/>
      <c r="X19" s="159">
        <f>NPV(Rate_of_Return,F19:J19)</f>
        <v>425.07839666347598</v>
      </c>
      <c r="Y19" s="159">
        <f>-PMT(Rate_of_Return,E5,X19)</f>
        <v>104.75755598888578</v>
      </c>
    </row>
    <row r="20" spans="2:25" x14ac:dyDescent="0.25">
      <c r="C20" s="142" t="s">
        <v>12</v>
      </c>
      <c r="D20" s="142"/>
      <c r="E20" s="142"/>
      <c r="F20" s="143">
        <f>F19/$Y$19</f>
        <v>0.95458508034121625</v>
      </c>
      <c r="G20" s="143">
        <f>G19/$Y$19</f>
        <v>0.97844970734974657</v>
      </c>
      <c r="H20" s="143">
        <f>H19/$Y$19</f>
        <v>1.0029109500334901</v>
      </c>
      <c r="I20" s="143">
        <f>I19/$Y$19</f>
        <v>1.0279837237843272</v>
      </c>
      <c r="J20" s="143">
        <f>J19/$Y$19</f>
        <v>1.0536833168789355</v>
      </c>
      <c r="K20" s="118"/>
      <c r="L20" s="118"/>
      <c r="M20" s="118"/>
      <c r="N20" s="118"/>
      <c r="O20" s="119"/>
      <c r="P20" s="130"/>
      <c r="S20" s="119"/>
      <c r="T20" s="119"/>
      <c r="U20" s="119"/>
      <c r="X20" s="158">
        <f>NPV(Rate_of_Return,F20:J20)</f>
        <v>4.0577349543031964</v>
      </c>
      <c r="Y20" s="158">
        <f>-PMT(Rate_of_Return,E5,X20)</f>
        <v>1</v>
      </c>
    </row>
    <row r="21" spans="2:25" x14ac:dyDescent="0.25">
      <c r="C21" s="113"/>
      <c r="D21" s="113"/>
      <c r="E21" s="140"/>
      <c r="F21" s="140"/>
      <c r="G21" s="140"/>
      <c r="H21" s="140"/>
      <c r="I21" s="140"/>
      <c r="J21" s="140"/>
      <c r="K21" s="140"/>
      <c r="L21" s="140"/>
      <c r="M21" s="141"/>
      <c r="N21" s="141"/>
      <c r="O21" s="141"/>
      <c r="P21" s="118"/>
      <c r="S21" s="118"/>
      <c r="T21" s="118"/>
      <c r="U21" s="119"/>
      <c r="W21" s="113"/>
      <c r="X21" s="118"/>
      <c r="Y21" s="118"/>
    </row>
    <row r="22" spans="2:25" x14ac:dyDescent="0.25">
      <c r="B22" s="131" t="s">
        <v>13</v>
      </c>
      <c r="C22" s="132"/>
      <c r="D22" s="133"/>
      <c r="E22" s="133"/>
      <c r="F22" s="133"/>
      <c r="G22" s="133"/>
      <c r="H22" s="133"/>
      <c r="I22" s="133"/>
      <c r="J22" s="133"/>
      <c r="K22" s="133"/>
      <c r="L22" s="133"/>
      <c r="M22" s="133"/>
      <c r="N22" s="133"/>
      <c r="O22" s="133"/>
      <c r="Y22" s="128"/>
    </row>
    <row r="23" spans="2:25" x14ac:dyDescent="0.25">
      <c r="B23" s="134">
        <v>1</v>
      </c>
      <c r="C23" s="280" t="s">
        <v>113</v>
      </c>
      <c r="D23" s="133"/>
      <c r="E23" s="133"/>
      <c r="F23" s="133"/>
      <c r="G23" s="133"/>
      <c r="H23" s="133"/>
      <c r="I23" s="133"/>
      <c r="J23" s="133"/>
      <c r="K23" s="133"/>
      <c r="L23" s="133"/>
      <c r="M23" s="133"/>
      <c r="N23" s="133"/>
      <c r="O23" s="133"/>
      <c r="Y23" s="124"/>
    </row>
    <row r="24" spans="2:25" x14ac:dyDescent="0.25">
      <c r="B24" s="134">
        <v>2</v>
      </c>
      <c r="C24" s="133" t="s">
        <v>115</v>
      </c>
      <c r="D24" s="133"/>
      <c r="E24" s="133"/>
      <c r="F24" s="133"/>
      <c r="G24" s="133"/>
      <c r="H24" s="133"/>
      <c r="I24" s="133"/>
      <c r="J24" s="133"/>
      <c r="K24" s="133"/>
      <c r="L24" s="133"/>
      <c r="M24" s="133"/>
      <c r="N24" s="133"/>
      <c r="O24" s="133"/>
      <c r="Y24" s="125"/>
    </row>
    <row r="25" spans="2:25" x14ac:dyDescent="0.25">
      <c r="B25" s="134">
        <v>3</v>
      </c>
      <c r="C25" s="133" t="s">
        <v>44</v>
      </c>
      <c r="D25" s="133"/>
      <c r="E25" s="133"/>
      <c r="F25" s="133"/>
      <c r="G25" s="133"/>
      <c r="H25" s="133"/>
      <c r="I25" s="133"/>
      <c r="J25" s="133"/>
      <c r="K25" s="133"/>
      <c r="L25" s="133"/>
      <c r="M25" s="133"/>
      <c r="N25" s="133"/>
      <c r="O25" s="133"/>
      <c r="Y25" s="135"/>
    </row>
    <row r="26" spans="2:25" x14ac:dyDescent="0.25">
      <c r="B26" s="134">
        <v>4</v>
      </c>
      <c r="C26" s="133" t="s">
        <v>118</v>
      </c>
      <c r="D26" s="133"/>
      <c r="E26" s="133"/>
      <c r="F26" s="133"/>
      <c r="G26" s="133"/>
      <c r="H26" s="133"/>
      <c r="I26" s="133"/>
      <c r="J26" s="133"/>
      <c r="K26" s="133"/>
      <c r="L26" s="133"/>
      <c r="M26" s="133"/>
      <c r="N26" s="133"/>
      <c r="O26" s="133"/>
      <c r="Y26" s="135"/>
    </row>
    <row r="27" spans="2:25" x14ac:dyDescent="0.25">
      <c r="B27" s="134">
        <v>5</v>
      </c>
      <c r="C27" s="133" t="s">
        <v>78</v>
      </c>
      <c r="D27" s="133"/>
      <c r="E27" s="133"/>
      <c r="F27" s="133"/>
      <c r="G27" s="133"/>
      <c r="H27" s="133"/>
      <c r="I27" s="133"/>
      <c r="J27" s="133"/>
      <c r="K27" s="133"/>
      <c r="L27" s="133"/>
      <c r="M27" s="133"/>
      <c r="N27" s="133"/>
      <c r="O27" s="133"/>
      <c r="Y27" s="124"/>
    </row>
    <row r="28" spans="2:25" x14ac:dyDescent="0.25">
      <c r="B28" s="134">
        <v>6</v>
      </c>
      <c r="C28" s="133" t="s">
        <v>79</v>
      </c>
      <c r="D28" s="133"/>
      <c r="E28" s="133"/>
      <c r="F28" s="133"/>
      <c r="G28" s="133"/>
      <c r="H28" s="133"/>
      <c r="I28" s="133"/>
      <c r="J28" s="133"/>
      <c r="K28" s="133"/>
      <c r="L28" s="133"/>
      <c r="M28" s="133"/>
      <c r="N28" s="133"/>
      <c r="O28" s="133"/>
      <c r="Y28" s="125"/>
    </row>
    <row r="29" spans="2:25" x14ac:dyDescent="0.25">
      <c r="B29" s="134">
        <v>7</v>
      </c>
      <c r="C29" s="133" t="s">
        <v>80</v>
      </c>
      <c r="D29" s="133"/>
      <c r="E29" s="133"/>
      <c r="F29" s="133"/>
      <c r="G29" s="133"/>
      <c r="H29" s="133"/>
      <c r="I29" s="133"/>
      <c r="J29" s="133"/>
      <c r="K29" s="133"/>
      <c r="L29" s="133"/>
      <c r="M29" s="133"/>
      <c r="N29" s="133"/>
      <c r="O29" s="133"/>
      <c r="P29" s="133"/>
      <c r="Q29" s="133"/>
    </row>
    <row r="30" spans="2:25" x14ac:dyDescent="0.25">
      <c r="B30" s="134">
        <v>8</v>
      </c>
      <c r="C30" s="133" t="s">
        <v>50</v>
      </c>
      <c r="D30" s="133"/>
      <c r="E30" s="133"/>
      <c r="F30" s="133"/>
      <c r="G30" s="133"/>
      <c r="H30" s="133"/>
      <c r="I30" s="133"/>
      <c r="J30" s="133"/>
      <c r="K30" s="133"/>
      <c r="L30" s="133"/>
      <c r="M30" s="133"/>
      <c r="N30" s="133"/>
      <c r="O30" s="133"/>
      <c r="P30" s="133"/>
      <c r="Q30" s="133"/>
    </row>
    <row r="31" spans="2:25" x14ac:dyDescent="0.25">
      <c r="B31" s="134">
        <v>9</v>
      </c>
      <c r="C31" s="133" t="s">
        <v>81</v>
      </c>
      <c r="D31" s="133"/>
      <c r="E31" s="133"/>
      <c r="F31" s="133"/>
      <c r="G31" s="133"/>
      <c r="H31" s="133"/>
      <c r="I31" s="133"/>
      <c r="J31" s="133"/>
      <c r="K31" s="133"/>
      <c r="L31" s="133"/>
      <c r="M31" s="133"/>
      <c r="N31" s="133"/>
      <c r="O31" s="133"/>
      <c r="P31" s="133"/>
      <c r="Q31" s="133"/>
    </row>
    <row r="32" spans="2:25" x14ac:dyDescent="0.25">
      <c r="B32" s="134">
        <v>10</v>
      </c>
      <c r="C32" s="53" t="s">
        <v>82</v>
      </c>
    </row>
    <row r="33" spans="2:20" x14ac:dyDescent="0.25">
      <c r="B33" s="134">
        <v>11</v>
      </c>
      <c r="C33" s="53" t="s">
        <v>101</v>
      </c>
    </row>
    <row r="34" spans="2:20" ht="15.6" x14ac:dyDescent="0.3">
      <c r="B34" s="136"/>
      <c r="C34" s="5"/>
      <c r="D34" s="5"/>
      <c r="E34" s="5"/>
      <c r="F34" s="5"/>
    </row>
    <row r="35" spans="2:20" ht="15.6" x14ac:dyDescent="0.3">
      <c r="B35" s="136"/>
      <c r="C35" s="5"/>
      <c r="D35" s="5"/>
      <c r="E35" s="5"/>
      <c r="F35" s="5"/>
    </row>
    <row r="37" spans="2:20" x14ac:dyDescent="0.25">
      <c r="F37" s="119"/>
      <c r="G37" s="137"/>
      <c r="H37" s="137"/>
      <c r="I37" s="137"/>
      <c r="J37" s="137"/>
      <c r="K37" s="137"/>
      <c r="L37" s="137"/>
      <c r="M37" s="137"/>
      <c r="N37" s="137"/>
      <c r="O37" s="137"/>
      <c r="P37" s="137"/>
      <c r="Q37" s="137"/>
      <c r="R37" s="137"/>
      <c r="S37" s="137"/>
      <c r="T37" s="137"/>
    </row>
    <row r="38" spans="2:20" x14ac:dyDescent="0.25">
      <c r="G38" s="137"/>
      <c r="H38" s="137"/>
      <c r="I38" s="137"/>
      <c r="J38" s="137"/>
      <c r="K38" s="137"/>
      <c r="L38" s="137"/>
      <c r="M38" s="137"/>
      <c r="N38" s="137"/>
      <c r="O38" s="137"/>
      <c r="P38" s="137"/>
      <c r="Q38" s="137"/>
      <c r="R38" s="137"/>
      <c r="S38" s="137"/>
      <c r="T38" s="137"/>
    </row>
    <row r="39" spans="2:20" x14ac:dyDescent="0.25">
      <c r="F39" s="119"/>
      <c r="G39" s="119"/>
      <c r="H39" s="119"/>
      <c r="I39" s="119"/>
      <c r="J39" s="119"/>
      <c r="K39" s="119"/>
      <c r="L39" s="119"/>
      <c r="M39" s="119"/>
      <c r="N39" s="119"/>
      <c r="O39" s="119"/>
      <c r="P39" s="119"/>
      <c r="Q39" s="119"/>
      <c r="R39" s="119"/>
      <c r="S39" s="119"/>
      <c r="T39" s="119"/>
    </row>
    <row r="40" spans="2:20" x14ac:dyDescent="0.25">
      <c r="D40" s="129"/>
    </row>
  </sheetData>
  <customSheetViews>
    <customSheetView guid="{78103E26-15C6-4D37-9879-762EF0B43905}" fitToPage="1" topLeftCell="A11">
      <selection activeCell="H5" sqref="H5"/>
      <pageMargins left="0.75" right="0.5" top="0.76" bottom="0.79" header="0.5" footer="0.26"/>
      <pageSetup scale="35" orientation="landscape" r:id="rId1"/>
      <headerFooter alignWithMargins="0">
        <oddFooter>&amp;L&amp;F&amp;C&amp;A&amp;RPSE Advice No. 2018-48 &amp;D
Page &amp;P of &amp;N</oddFooter>
      </headerFooter>
    </customSheetView>
  </customSheetViews>
  <dataValidations count="3">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 type="decimal" operator="greaterThan" allowBlank="1" showInputMessage="1" showErrorMessage="1" sqref="C5:D5">
      <formula1>0</formula1>
    </dataValidation>
  </dataValidations>
  <pageMargins left="0.75" right="0.5" top="0.76" bottom="0.79" header="0.5" footer="0.26"/>
  <pageSetup scale="35" orientation="landscape" r:id="rId2"/>
  <headerFooter alignWithMargins="0">
    <oddFooter>&amp;L&amp;F&amp;C&amp;A&amp;RPSE Advice No. 2018-48 &amp;D
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D40"/>
  <sheetViews>
    <sheetView workbookViewId="0"/>
  </sheetViews>
  <sheetFormatPr defaultColWidth="9.109375" defaultRowHeight="15" x14ac:dyDescent="0.25"/>
  <cols>
    <col min="1" max="1" width="2.6640625" style="53" customWidth="1"/>
    <col min="2" max="2" width="5" style="53" customWidth="1"/>
    <col min="3" max="3" width="46.6640625" style="53" customWidth="1"/>
    <col min="4" max="4" width="2.6640625" style="53" customWidth="1"/>
    <col min="5" max="22" width="12.6640625" style="53" customWidth="1"/>
    <col min="23" max="23" width="2.6640625" style="53" customWidth="1"/>
    <col min="24" max="25" width="12.6640625" style="53" customWidth="1"/>
    <col min="26" max="29" width="12.33203125" style="53" customWidth="1"/>
    <col min="30" max="16384" width="9.109375" style="53"/>
  </cols>
  <sheetData>
    <row r="2" spans="2:30" ht="19.5" customHeight="1" x14ac:dyDescent="0.3">
      <c r="C2" s="207" t="s">
        <v>83</v>
      </c>
      <c r="D2" s="207"/>
      <c r="E2" s="207"/>
      <c r="F2" s="207"/>
      <c r="G2" s="207"/>
      <c r="H2" s="207"/>
      <c r="I2" s="207"/>
      <c r="J2" s="207"/>
      <c r="K2" s="207"/>
      <c r="L2" s="207"/>
    </row>
    <row r="3" spans="2:30" ht="15.6" x14ac:dyDescent="0.3">
      <c r="C3" s="42" t="s">
        <v>84</v>
      </c>
    </row>
    <row r="4" spans="2:30" s="110" customFormat="1" ht="45" x14ac:dyDescent="0.25">
      <c r="B4" s="109"/>
      <c r="C4" s="144" t="s">
        <v>0</v>
      </c>
      <c r="D4" s="144"/>
      <c r="E4" s="144" t="s">
        <v>1</v>
      </c>
      <c r="F4" s="144" t="s">
        <v>2</v>
      </c>
      <c r="G4" s="144" t="s">
        <v>3</v>
      </c>
      <c r="H4" s="144" t="s">
        <v>4</v>
      </c>
      <c r="I4" s="144" t="s">
        <v>5</v>
      </c>
      <c r="J4" s="144" t="s">
        <v>6</v>
      </c>
      <c r="K4" s="144" t="s">
        <v>7</v>
      </c>
      <c r="L4" s="145" t="s">
        <v>14</v>
      </c>
      <c r="M4" s="145"/>
    </row>
    <row r="5" spans="2:30" x14ac:dyDescent="0.25">
      <c r="C5" s="147"/>
      <c r="D5" s="148"/>
      <c r="E5" s="149">
        <v>10</v>
      </c>
      <c r="F5" s="283">
        <f>+'Capacity Delivered'!$G$5</f>
        <v>1</v>
      </c>
      <c r="G5" s="150" t="s">
        <v>8</v>
      </c>
      <c r="H5" s="151">
        <f>'Electric EES CE Std Energy'!D18</f>
        <v>2.255503119083823E-2</v>
      </c>
      <c r="I5" s="152">
        <f>'Baseload Avoided Capacity Calcs'!Y16</f>
        <v>1.2504898068648419E-2</v>
      </c>
      <c r="J5" s="152">
        <f>H5+I5</f>
        <v>3.5059929259486651E-2</v>
      </c>
      <c r="K5" s="153">
        <f>J5</f>
        <v>3.5059929259486651E-2</v>
      </c>
      <c r="L5" s="154">
        <f>K5*1000</f>
        <v>35.059929259486651</v>
      </c>
      <c r="M5" s="138"/>
    </row>
    <row r="6" spans="2:30" ht="15.6" x14ac:dyDescent="0.3">
      <c r="C6" s="146"/>
      <c r="D6" s="146"/>
      <c r="E6" s="113"/>
      <c r="F6" s="113"/>
      <c r="G6" s="113"/>
      <c r="H6" s="32">
        <f>H5*1000</f>
        <v>22.555031190838232</v>
      </c>
      <c r="I6" s="32">
        <f t="shared" ref="I6:K6" si="0">I5*1000</f>
        <v>12.504898068648419</v>
      </c>
      <c r="J6" s="32">
        <f t="shared" si="0"/>
        <v>35.059929259486651</v>
      </c>
      <c r="K6" s="32">
        <f t="shared" si="0"/>
        <v>35.059929259486651</v>
      </c>
      <c r="L6" s="115">
        <f>L5*(1-M6)</f>
        <v>34.00813138170205</v>
      </c>
      <c r="M6" s="232">
        <v>0.03</v>
      </c>
      <c r="N6" s="116" t="s">
        <v>36</v>
      </c>
    </row>
    <row r="7" spans="2:30" x14ac:dyDescent="0.25">
      <c r="C7" s="117"/>
      <c r="D7" s="114"/>
      <c r="H7" s="40"/>
      <c r="I7" s="112"/>
      <c r="J7" s="40"/>
      <c r="K7" s="112"/>
      <c r="L7" s="112"/>
      <c r="M7" s="113"/>
    </row>
    <row r="8" spans="2:30" ht="15.6" x14ac:dyDescent="0.3">
      <c r="C8" s="113"/>
      <c r="D8" s="113"/>
      <c r="E8" s="113"/>
      <c r="F8" s="113"/>
      <c r="G8" s="113"/>
      <c r="H8" s="118"/>
      <c r="I8" s="118"/>
      <c r="J8" s="118"/>
      <c r="K8" s="118"/>
      <c r="L8" s="118"/>
      <c r="M8" s="118"/>
      <c r="N8" s="118"/>
      <c r="O8" s="118"/>
      <c r="P8" s="118"/>
      <c r="Q8" s="118"/>
      <c r="R8" s="118"/>
      <c r="U8" s="119"/>
      <c r="V8" s="119"/>
      <c r="X8" s="198" t="s">
        <v>73</v>
      </c>
      <c r="Y8" s="119"/>
      <c r="Z8" s="119"/>
      <c r="AA8" s="119"/>
      <c r="AB8" s="118"/>
      <c r="AC8" s="113"/>
    </row>
    <row r="9" spans="2:30" x14ac:dyDescent="0.25">
      <c r="C9" s="120" t="s">
        <v>9</v>
      </c>
      <c r="D9" s="120"/>
      <c r="E9" s="120"/>
      <c r="F9" s="121">
        <f>+L6</f>
        <v>34.00813138170205</v>
      </c>
      <c r="G9" s="121">
        <f t="shared" ref="G9:O9" si="1">F9</f>
        <v>34.00813138170205</v>
      </c>
      <c r="H9" s="121">
        <f t="shared" si="1"/>
        <v>34.00813138170205</v>
      </c>
      <c r="I9" s="121">
        <f t="shared" si="1"/>
        <v>34.00813138170205</v>
      </c>
      <c r="J9" s="121">
        <f t="shared" si="1"/>
        <v>34.00813138170205</v>
      </c>
      <c r="K9" s="121">
        <f t="shared" si="1"/>
        <v>34.00813138170205</v>
      </c>
      <c r="L9" s="121">
        <f t="shared" si="1"/>
        <v>34.00813138170205</v>
      </c>
      <c r="M9" s="121">
        <f t="shared" si="1"/>
        <v>34.00813138170205</v>
      </c>
      <c r="N9" s="121">
        <f t="shared" si="1"/>
        <v>34.00813138170205</v>
      </c>
      <c r="O9" s="121">
        <f t="shared" si="1"/>
        <v>34.00813138170205</v>
      </c>
      <c r="P9" s="118"/>
      <c r="Q9" s="118"/>
      <c r="R9" s="118"/>
      <c r="U9" s="119"/>
      <c r="V9" s="40"/>
      <c r="X9" s="197">
        <f>NPV(Rate_of_Return,F9:O9)</f>
        <v>234.61157869798373</v>
      </c>
      <c r="Y9" s="197">
        <f>-PMT(Rate_of_Return,10,X9)</f>
        <v>34.008131381702036</v>
      </c>
      <c r="Z9" s="40"/>
      <c r="AA9" s="40"/>
    </row>
    <row r="10" spans="2:30" x14ac:dyDescent="0.25">
      <c r="C10" s="113"/>
      <c r="D10" s="113"/>
      <c r="E10" s="113"/>
      <c r="F10" s="122"/>
      <c r="G10" s="122"/>
      <c r="H10" s="122"/>
      <c r="I10" s="122"/>
      <c r="J10" s="122"/>
      <c r="K10" s="122"/>
      <c r="L10" s="122"/>
      <c r="M10" s="122"/>
      <c r="N10" s="122"/>
      <c r="O10" s="122"/>
      <c r="P10" s="118"/>
      <c r="Q10" s="118"/>
      <c r="R10" s="118"/>
      <c r="U10" s="119"/>
      <c r="V10" s="40"/>
      <c r="X10" s="32"/>
      <c r="Y10" s="32"/>
      <c r="Z10" s="40"/>
      <c r="AA10" s="40"/>
    </row>
    <row r="11" spans="2:30" x14ac:dyDescent="0.25">
      <c r="C11" s="53" t="s">
        <v>55</v>
      </c>
      <c r="F11" s="202">
        <v>1</v>
      </c>
      <c r="G11" s="202">
        <v>2</v>
      </c>
      <c r="H11" s="202">
        <v>3</v>
      </c>
      <c r="I11" s="202">
        <v>4</v>
      </c>
      <c r="J11" s="202">
        <v>5</v>
      </c>
      <c r="K11" s="202">
        <v>6</v>
      </c>
      <c r="L11" s="202">
        <v>7</v>
      </c>
      <c r="M11" s="202">
        <v>8</v>
      </c>
      <c r="N11" s="202">
        <v>9</v>
      </c>
      <c r="O11" s="202">
        <v>10</v>
      </c>
      <c r="P11" s="202">
        <v>11</v>
      </c>
      <c r="Q11" s="202">
        <v>12</v>
      </c>
      <c r="R11" s="118"/>
      <c r="U11" s="119"/>
      <c r="V11" s="40"/>
      <c r="X11" s="40"/>
      <c r="Y11" s="40"/>
      <c r="Z11" s="40"/>
      <c r="AA11" s="40"/>
    </row>
    <row r="12" spans="2:30" ht="15.6" x14ac:dyDescent="0.3">
      <c r="C12" s="113"/>
      <c r="D12" s="111"/>
      <c r="E12" s="113"/>
      <c r="F12" s="123">
        <f>'Energy Prices'!$C$6</f>
        <v>2021</v>
      </c>
      <c r="G12" s="123">
        <f>F12+1</f>
        <v>2022</v>
      </c>
      <c r="H12" s="123">
        <f>G12+1</f>
        <v>2023</v>
      </c>
      <c r="I12" s="123">
        <f t="shared" ref="I12:O12" si="2">H12+1</f>
        <v>2024</v>
      </c>
      <c r="J12" s="123">
        <f t="shared" si="2"/>
        <v>2025</v>
      </c>
      <c r="K12" s="123">
        <f t="shared" si="2"/>
        <v>2026</v>
      </c>
      <c r="L12" s="123">
        <f t="shared" si="2"/>
        <v>2027</v>
      </c>
      <c r="M12" s="123">
        <f t="shared" si="2"/>
        <v>2028</v>
      </c>
      <c r="N12" s="123">
        <f t="shared" si="2"/>
        <v>2029</v>
      </c>
      <c r="O12" s="123">
        <f t="shared" si="2"/>
        <v>2030</v>
      </c>
      <c r="P12" s="123">
        <f t="shared" ref="P12:Q12" si="3">O12+1</f>
        <v>2031</v>
      </c>
      <c r="Q12" s="123">
        <f t="shared" si="3"/>
        <v>2032</v>
      </c>
      <c r="R12" s="118"/>
      <c r="U12" s="119"/>
      <c r="V12" s="200"/>
      <c r="X12" s="198" t="s">
        <v>73</v>
      </c>
      <c r="Y12" s="32"/>
      <c r="Z12" s="119"/>
      <c r="AA12" s="119"/>
    </row>
    <row r="13" spans="2:30" ht="52.95" customHeight="1" x14ac:dyDescent="0.25">
      <c r="B13" s="113"/>
      <c r="C13" s="203" t="s">
        <v>90</v>
      </c>
      <c r="D13" s="113"/>
      <c r="F13" s="155">
        <f>F$9*F$20</f>
        <v>30.797061708290375</v>
      </c>
      <c r="G13" s="156">
        <f t="shared" ref="G13:O13" si="4">G$9*G$20</f>
        <v>31.566988250997628</v>
      </c>
      <c r="H13" s="157">
        <f t="shared" si="4"/>
        <v>32.356162957272559</v>
      </c>
      <c r="I13" s="157">
        <f t="shared" si="4"/>
        <v>33.165067031204373</v>
      </c>
      <c r="J13" s="157">
        <f t="shared" si="4"/>
        <v>33.994193706984483</v>
      </c>
      <c r="K13" s="157">
        <f t="shared" si="4"/>
        <v>34.844048549659092</v>
      </c>
      <c r="L13" s="157">
        <f t="shared" si="4"/>
        <v>35.715149763400568</v>
      </c>
      <c r="M13" s="157">
        <f t="shared" si="4"/>
        <v>36.608028507485571</v>
      </c>
      <c r="N13" s="157">
        <f t="shared" si="4"/>
        <v>37.523229220172709</v>
      </c>
      <c r="O13" s="157">
        <f t="shared" si="4"/>
        <v>38.46130995067702</v>
      </c>
      <c r="P13" s="199">
        <f>O13*1.025</f>
        <v>39.42284269944394</v>
      </c>
      <c r="Q13" s="199">
        <f>P13*1.025</f>
        <v>40.408413766930032</v>
      </c>
      <c r="R13" s="118"/>
      <c r="U13" s="119"/>
      <c r="V13" s="125"/>
      <c r="X13" s="197">
        <f>NPV(Rate_of_Return,F13:O13)</f>
        <v>234.61157869798387</v>
      </c>
      <c r="Y13" s="197">
        <f>-PMT(Rate_of_Return,10,X13)</f>
        <v>34.008131381702057</v>
      </c>
      <c r="Z13" s="125"/>
      <c r="AA13" s="125"/>
      <c r="AD13" s="126"/>
    </row>
    <row r="14" spans="2:30" x14ac:dyDescent="0.25">
      <c r="C14" s="124"/>
      <c r="E14" s="127"/>
      <c r="F14" s="125"/>
      <c r="G14" s="125"/>
      <c r="H14" s="125"/>
      <c r="I14" s="125"/>
      <c r="J14" s="125"/>
      <c r="K14" s="125"/>
      <c r="L14" s="125"/>
      <c r="M14" s="125"/>
      <c r="N14" s="125"/>
      <c r="O14" s="125"/>
      <c r="P14" s="118"/>
      <c r="Q14" s="118"/>
      <c r="R14" s="118"/>
      <c r="U14" s="119"/>
      <c r="V14" s="125"/>
      <c r="X14" s="119"/>
      <c r="Y14" s="119"/>
      <c r="Z14" s="119"/>
      <c r="AA14" s="119"/>
      <c r="AB14" s="118"/>
      <c r="AC14" s="113"/>
    </row>
    <row r="15" spans="2:30" x14ac:dyDescent="0.25">
      <c r="C15" s="128"/>
      <c r="E15" s="127"/>
      <c r="F15" s="125"/>
      <c r="G15" s="125"/>
      <c r="H15" s="125"/>
      <c r="I15" s="125"/>
      <c r="J15" s="125"/>
      <c r="K15" s="125"/>
      <c r="L15" s="125"/>
      <c r="M15" s="125"/>
      <c r="N15" s="125"/>
      <c r="O15" s="125"/>
      <c r="P15" s="118"/>
      <c r="Q15" s="118"/>
      <c r="R15" s="118"/>
      <c r="U15" s="119"/>
      <c r="V15" s="125"/>
      <c r="X15" s="119"/>
      <c r="Y15" s="119"/>
      <c r="Z15" s="119"/>
      <c r="AA15" s="119"/>
      <c r="AB15" s="119"/>
    </row>
    <row r="16" spans="2:30" x14ac:dyDescent="0.25">
      <c r="C16" s="53" t="s">
        <v>10</v>
      </c>
      <c r="P16" s="118"/>
      <c r="Q16" s="118"/>
      <c r="R16" s="118"/>
      <c r="U16" s="119"/>
    </row>
    <row r="17" spans="2:27" x14ac:dyDescent="0.25">
      <c r="P17" s="118"/>
      <c r="Q17" s="118"/>
      <c r="R17" s="118"/>
      <c r="U17" s="119"/>
    </row>
    <row r="18" spans="2:27" ht="15.6" x14ac:dyDescent="0.3">
      <c r="C18" s="113"/>
      <c r="D18" s="113"/>
      <c r="E18" s="113"/>
      <c r="F18" s="113"/>
      <c r="G18" s="113"/>
      <c r="H18" s="113"/>
      <c r="I18" s="113"/>
      <c r="J18" s="113"/>
      <c r="K18" s="113"/>
      <c r="L18" s="113"/>
      <c r="M18" s="113"/>
      <c r="N18" s="113"/>
      <c r="O18" s="113"/>
      <c r="P18" s="118"/>
      <c r="Q18" s="118"/>
      <c r="R18" s="118"/>
      <c r="U18" s="119"/>
      <c r="X18" s="198" t="s">
        <v>73</v>
      </c>
      <c r="Y18" s="113"/>
    </row>
    <row r="19" spans="2:27" x14ac:dyDescent="0.25">
      <c r="C19" s="120" t="s">
        <v>11</v>
      </c>
      <c r="D19" s="120"/>
      <c r="E19" s="120"/>
      <c r="F19" s="139">
        <v>100</v>
      </c>
      <c r="G19" s="139">
        <f t="shared" ref="G19:O19" si="5">F19*1.025</f>
        <v>102.49999999999999</v>
      </c>
      <c r="H19" s="139">
        <f t="shared" si="5"/>
        <v>105.06249999999997</v>
      </c>
      <c r="I19" s="139">
        <f t="shared" si="5"/>
        <v>107.68906249999996</v>
      </c>
      <c r="J19" s="139">
        <f t="shared" si="5"/>
        <v>110.38128906249996</v>
      </c>
      <c r="K19" s="139">
        <f t="shared" si="5"/>
        <v>113.14082128906244</v>
      </c>
      <c r="L19" s="139">
        <f t="shared" si="5"/>
        <v>115.96934182128899</v>
      </c>
      <c r="M19" s="139">
        <f t="shared" si="5"/>
        <v>118.8685753668212</v>
      </c>
      <c r="N19" s="139">
        <f t="shared" si="5"/>
        <v>121.84028975099173</v>
      </c>
      <c r="O19" s="139">
        <f t="shared" si="5"/>
        <v>124.88629699476651</v>
      </c>
      <c r="P19" s="118"/>
      <c r="Q19" s="118"/>
      <c r="R19" s="118"/>
      <c r="U19" s="119"/>
      <c r="V19" s="129"/>
      <c r="X19" s="159">
        <f>NPV(Rate_of_Return,F19:O19)</f>
        <v>761.7985797483658</v>
      </c>
      <c r="Y19" s="159">
        <f>-PMT(Rate_of_Return,10,X19)</f>
        <v>110.42654557057071</v>
      </c>
      <c r="Z19" s="119"/>
      <c r="AA19" s="119"/>
    </row>
    <row r="20" spans="2:27" x14ac:dyDescent="0.25">
      <c r="C20" s="142" t="s">
        <v>12</v>
      </c>
      <c r="D20" s="142"/>
      <c r="E20" s="142"/>
      <c r="F20" s="143">
        <f t="shared" ref="F20:O20" si="6">F19/$Y$19</f>
        <v>0.90557935579079241</v>
      </c>
      <c r="G20" s="143">
        <f t="shared" si="6"/>
        <v>0.92821883968556207</v>
      </c>
      <c r="H20" s="143">
        <f t="shared" si="6"/>
        <v>0.95142431067770095</v>
      </c>
      <c r="I20" s="143">
        <f t="shared" si="6"/>
        <v>0.97520991844464344</v>
      </c>
      <c r="J20" s="143">
        <f t="shared" si="6"/>
        <v>0.99959016640575948</v>
      </c>
      <c r="K20" s="143">
        <f t="shared" si="6"/>
        <v>1.0245799205659034</v>
      </c>
      <c r="L20" s="143">
        <f t="shared" si="6"/>
        <v>1.0501944185800509</v>
      </c>
      <c r="M20" s="143">
        <f t="shared" si="6"/>
        <v>1.0764492790445519</v>
      </c>
      <c r="N20" s="143">
        <f t="shared" si="6"/>
        <v>1.1033605110206657</v>
      </c>
      <c r="O20" s="143">
        <f t="shared" si="6"/>
        <v>1.1309445237961822</v>
      </c>
      <c r="P20" s="118"/>
      <c r="Q20" s="118"/>
      <c r="R20" s="118"/>
      <c r="U20" s="119"/>
      <c r="V20" s="130"/>
      <c r="X20" s="158">
        <f>NPV(Rate_of_Return,F20:O20)</f>
        <v>6.8986906709086568</v>
      </c>
      <c r="Y20" s="158">
        <f>-PMT(Rate_of_Return,10,X20)</f>
        <v>1.0000000000000002</v>
      </c>
      <c r="Z20" s="119"/>
      <c r="AA20" s="119"/>
    </row>
    <row r="21" spans="2:27" x14ac:dyDescent="0.25">
      <c r="C21" s="113"/>
      <c r="D21" s="113"/>
      <c r="E21" s="140"/>
      <c r="F21" s="140"/>
      <c r="G21" s="140"/>
      <c r="H21" s="140"/>
      <c r="I21" s="140"/>
      <c r="J21" s="140"/>
      <c r="K21" s="140"/>
      <c r="L21" s="140"/>
      <c r="M21" s="141"/>
      <c r="N21" s="141"/>
      <c r="O21" s="141"/>
      <c r="P21" s="118"/>
      <c r="Q21" s="118"/>
      <c r="R21" s="118"/>
      <c r="S21" s="118"/>
      <c r="T21" s="118"/>
      <c r="U21" s="119"/>
      <c r="W21" s="113"/>
      <c r="X21" s="113"/>
    </row>
    <row r="22" spans="2:27" x14ac:dyDescent="0.25">
      <c r="B22" s="131" t="s">
        <v>13</v>
      </c>
      <c r="C22" s="132"/>
      <c r="D22" s="133"/>
      <c r="E22" s="133"/>
      <c r="F22" s="133"/>
      <c r="G22" s="133"/>
      <c r="H22" s="133"/>
      <c r="I22" s="133"/>
      <c r="J22" s="133"/>
      <c r="K22" s="133"/>
      <c r="L22" s="133"/>
      <c r="M22" s="133"/>
      <c r="N22" s="133"/>
      <c r="O22" s="133"/>
      <c r="Y22" s="128"/>
    </row>
    <row r="23" spans="2:27" x14ac:dyDescent="0.25">
      <c r="B23" s="134">
        <v>1</v>
      </c>
      <c r="C23" s="280" t="s">
        <v>113</v>
      </c>
      <c r="D23" s="133"/>
      <c r="E23" s="133"/>
      <c r="F23" s="133"/>
      <c r="G23" s="133"/>
      <c r="H23" s="133"/>
      <c r="I23" s="133"/>
      <c r="J23" s="133"/>
      <c r="K23" s="133"/>
      <c r="L23" s="133"/>
      <c r="M23" s="133"/>
      <c r="N23" s="133"/>
      <c r="O23" s="133"/>
      <c r="Y23" s="124"/>
    </row>
    <row r="24" spans="2:27" x14ac:dyDescent="0.25">
      <c r="B24" s="134">
        <v>2</v>
      </c>
      <c r="C24" s="133" t="s">
        <v>103</v>
      </c>
      <c r="D24" s="133"/>
      <c r="E24" s="133"/>
      <c r="F24" s="133"/>
      <c r="G24" s="133"/>
      <c r="H24" s="133"/>
      <c r="I24" s="133"/>
      <c r="J24" s="133"/>
      <c r="K24" s="133"/>
      <c r="L24" s="133"/>
      <c r="M24" s="133"/>
      <c r="N24" s="133"/>
      <c r="O24" s="133"/>
      <c r="Y24" s="125"/>
    </row>
    <row r="25" spans="2:27" x14ac:dyDescent="0.25">
      <c r="B25" s="134">
        <v>3</v>
      </c>
      <c r="C25" s="133" t="s">
        <v>44</v>
      </c>
      <c r="D25" s="133"/>
      <c r="E25" s="133"/>
      <c r="F25" s="133"/>
      <c r="G25" s="133"/>
      <c r="H25" s="133"/>
      <c r="I25" s="133"/>
      <c r="J25" s="133"/>
      <c r="K25" s="133"/>
      <c r="L25" s="133"/>
      <c r="M25" s="133"/>
      <c r="N25" s="133"/>
      <c r="O25" s="133"/>
      <c r="Y25" s="135"/>
    </row>
    <row r="26" spans="2:27" x14ac:dyDescent="0.25">
      <c r="B26" s="134">
        <v>4</v>
      </c>
      <c r="C26" s="133" t="s">
        <v>118</v>
      </c>
      <c r="D26" s="133"/>
      <c r="E26" s="133"/>
      <c r="F26" s="133"/>
      <c r="G26" s="133"/>
      <c r="H26" s="133"/>
      <c r="I26" s="133"/>
      <c r="J26" s="133"/>
      <c r="K26" s="133"/>
      <c r="L26" s="133"/>
      <c r="M26" s="133"/>
      <c r="N26" s="133"/>
      <c r="O26" s="133"/>
      <c r="Y26" s="135"/>
    </row>
    <row r="27" spans="2:27" x14ac:dyDescent="0.25">
      <c r="B27" s="134">
        <v>5</v>
      </c>
      <c r="C27" s="133" t="s">
        <v>78</v>
      </c>
      <c r="D27" s="133"/>
      <c r="E27" s="133"/>
      <c r="F27" s="133"/>
      <c r="G27" s="133"/>
      <c r="H27" s="133"/>
      <c r="I27" s="133"/>
      <c r="J27" s="133"/>
      <c r="K27" s="133"/>
      <c r="L27" s="133"/>
      <c r="M27" s="133"/>
      <c r="N27" s="133"/>
      <c r="O27" s="133"/>
      <c r="Y27" s="124"/>
    </row>
    <row r="28" spans="2:27" x14ac:dyDescent="0.25">
      <c r="B28" s="134">
        <v>6</v>
      </c>
      <c r="C28" s="133" t="s">
        <v>79</v>
      </c>
      <c r="D28" s="133"/>
      <c r="E28" s="133"/>
      <c r="F28" s="133"/>
      <c r="G28" s="133"/>
      <c r="H28" s="133"/>
      <c r="I28" s="133"/>
      <c r="J28" s="133"/>
      <c r="K28" s="133"/>
      <c r="L28" s="133"/>
      <c r="M28" s="133"/>
      <c r="N28" s="133"/>
      <c r="O28" s="133"/>
      <c r="Y28" s="125"/>
    </row>
    <row r="29" spans="2:27" x14ac:dyDescent="0.25">
      <c r="B29" s="134">
        <v>7</v>
      </c>
      <c r="C29" s="133" t="s">
        <v>80</v>
      </c>
      <c r="D29" s="133"/>
      <c r="E29" s="133"/>
      <c r="F29" s="133"/>
      <c r="G29" s="133"/>
      <c r="H29" s="133"/>
      <c r="I29" s="133"/>
      <c r="J29" s="133"/>
      <c r="K29" s="133"/>
      <c r="L29" s="133"/>
      <c r="M29" s="133"/>
      <c r="N29" s="133"/>
      <c r="O29" s="133"/>
      <c r="P29" s="133"/>
      <c r="Q29" s="133"/>
    </row>
    <row r="30" spans="2:27" x14ac:dyDescent="0.25">
      <c r="B30" s="134">
        <v>8</v>
      </c>
      <c r="C30" s="133" t="s">
        <v>50</v>
      </c>
      <c r="D30" s="133"/>
      <c r="E30" s="133"/>
      <c r="F30" s="133"/>
      <c r="G30" s="133"/>
      <c r="H30" s="133"/>
      <c r="I30" s="133"/>
      <c r="J30" s="133"/>
      <c r="K30" s="133"/>
      <c r="L30" s="133"/>
      <c r="M30" s="133"/>
      <c r="N30" s="133"/>
      <c r="O30" s="133"/>
      <c r="P30" s="133"/>
      <c r="Q30" s="133"/>
    </row>
    <row r="31" spans="2:27" x14ac:dyDescent="0.25">
      <c r="B31" s="134">
        <v>9</v>
      </c>
      <c r="C31" s="133" t="s">
        <v>81</v>
      </c>
      <c r="D31" s="133"/>
      <c r="E31" s="133"/>
      <c r="F31" s="133"/>
      <c r="G31" s="133"/>
      <c r="H31" s="133"/>
      <c r="I31" s="133"/>
      <c r="J31" s="133"/>
      <c r="K31" s="133"/>
      <c r="L31" s="133"/>
      <c r="M31" s="133"/>
      <c r="N31" s="133"/>
      <c r="O31" s="133"/>
      <c r="P31" s="133"/>
      <c r="Q31" s="133"/>
    </row>
    <row r="32" spans="2:27" x14ac:dyDescent="0.25">
      <c r="B32" s="134">
        <v>10</v>
      </c>
      <c r="C32" s="53" t="s">
        <v>82</v>
      </c>
    </row>
    <row r="33" spans="2:20" x14ac:dyDescent="0.25">
      <c r="B33" s="134">
        <v>11</v>
      </c>
      <c r="C33" s="53" t="s">
        <v>101</v>
      </c>
    </row>
    <row r="34" spans="2:20" ht="15.6" x14ac:dyDescent="0.3">
      <c r="B34" s="136"/>
      <c r="C34" s="5"/>
      <c r="D34" s="5"/>
      <c r="E34" s="5"/>
      <c r="F34" s="5"/>
    </row>
    <row r="35" spans="2:20" ht="15.6" x14ac:dyDescent="0.3">
      <c r="B35" s="136"/>
      <c r="C35" s="5"/>
      <c r="D35" s="5"/>
      <c r="E35" s="5"/>
      <c r="F35" s="5"/>
    </row>
    <row r="37" spans="2:20" x14ac:dyDescent="0.25">
      <c r="F37" s="119"/>
      <c r="G37" s="137"/>
      <c r="H37" s="137"/>
      <c r="I37" s="137"/>
      <c r="J37" s="137"/>
      <c r="K37" s="137"/>
      <c r="L37" s="137"/>
      <c r="M37" s="137"/>
      <c r="N37" s="137"/>
      <c r="O37" s="137"/>
      <c r="P37" s="137"/>
      <c r="Q37" s="137"/>
      <c r="R37" s="137"/>
      <c r="S37" s="137"/>
      <c r="T37" s="137"/>
    </row>
    <row r="38" spans="2:20" x14ac:dyDescent="0.25">
      <c r="G38" s="137"/>
      <c r="H38" s="137"/>
      <c r="I38" s="137"/>
      <c r="J38" s="137"/>
      <c r="K38" s="137"/>
      <c r="L38" s="137"/>
      <c r="M38" s="137"/>
      <c r="N38" s="137"/>
      <c r="O38" s="137"/>
      <c r="P38" s="137"/>
      <c r="Q38" s="137"/>
      <c r="R38" s="137"/>
      <c r="S38" s="137"/>
      <c r="T38" s="137"/>
    </row>
    <row r="39" spans="2:20" x14ac:dyDescent="0.25">
      <c r="F39" s="119"/>
      <c r="G39" s="119"/>
      <c r="H39" s="119"/>
      <c r="I39" s="119"/>
      <c r="J39" s="119"/>
      <c r="K39" s="119"/>
      <c r="L39" s="119"/>
      <c r="M39" s="119"/>
      <c r="N39" s="119"/>
      <c r="O39" s="119"/>
      <c r="P39" s="119"/>
      <c r="Q39" s="119"/>
      <c r="R39" s="119"/>
      <c r="S39" s="119"/>
      <c r="T39" s="119"/>
    </row>
    <row r="40" spans="2:20" x14ac:dyDescent="0.25">
      <c r="D40" s="129"/>
    </row>
  </sheetData>
  <customSheetViews>
    <customSheetView guid="{78103E26-15C6-4D37-9879-762EF0B43905}" fitToPage="1">
      <pageMargins left="0.75" right="0.5" top="0.76" bottom="0.79" header="0.5" footer="0.26"/>
      <pageSetup scale="35" orientation="landscape" r:id="rId1"/>
      <headerFooter alignWithMargins="0">
        <oddFooter>&amp;L&amp;F&amp;C&amp;A&amp;RPSE Advice No. 2018-48 &amp;D
Page &amp;P of &amp;N</oddFooter>
      </headerFooter>
    </customSheetView>
  </customSheetViews>
  <dataValidations count="3">
    <dataValidation type="decimal" operator="greaterThan" allowBlank="1" showInputMessage="1" showErrorMessage="1" sqref="C5:D5">
      <formula1>0</formula1>
    </dataValidation>
    <dataValidation type="list" allowBlank="1" showInputMessage="1" showErrorMessage="1" sqref="G5">
      <formula1>MeasureList</formula1>
    </dataValidation>
    <dataValidation type="list" allowBlank="1" showInputMessage="1" showErrorMessage="1" sqref="E5">
      <formula1>"1,2,3,4,5,6,7,8,9,10,11,12,13,14,15,16,17,18,19,20,21,22,23,24,25,26,27,28,29,30"</formula1>
    </dataValidation>
  </dataValidations>
  <pageMargins left="0.75" right="0.5" top="0.76" bottom="0.79" header="0.5" footer="0.26"/>
  <pageSetup scale="35" orientation="landscape" r:id="rId2"/>
  <headerFooter alignWithMargins="0">
    <oddFooter>&amp;L&amp;F&amp;C&amp;A&amp;RPSE Advice No. 2018-48 &amp;D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E40"/>
  <sheetViews>
    <sheetView workbookViewId="0"/>
  </sheetViews>
  <sheetFormatPr defaultColWidth="9.109375" defaultRowHeight="15" x14ac:dyDescent="0.25"/>
  <cols>
    <col min="1" max="1" width="2.6640625" style="53" customWidth="1"/>
    <col min="2" max="2" width="5" style="53" customWidth="1"/>
    <col min="3" max="3" width="46.6640625" style="53" customWidth="1"/>
    <col min="4" max="4" width="2.6640625" style="53" customWidth="1"/>
    <col min="5" max="22" width="12.6640625" style="53" customWidth="1"/>
    <col min="23" max="23" width="2.6640625" style="53" customWidth="1"/>
    <col min="24" max="25" width="12.6640625" style="53" customWidth="1"/>
    <col min="26" max="30" width="12.33203125" style="53" customWidth="1"/>
    <col min="31" max="16384" width="9.109375" style="53"/>
  </cols>
  <sheetData>
    <row r="2" spans="2:31" ht="19.5" customHeight="1" x14ac:dyDescent="0.3">
      <c r="C2" s="207" t="s">
        <v>83</v>
      </c>
      <c r="D2" s="207"/>
      <c r="E2" s="207"/>
      <c r="F2" s="207"/>
      <c r="G2" s="207"/>
      <c r="H2" s="207"/>
      <c r="I2" s="207"/>
      <c r="J2" s="207"/>
      <c r="K2" s="207"/>
      <c r="L2" s="207"/>
    </row>
    <row r="3" spans="2:31" ht="15.6" x14ac:dyDescent="0.3">
      <c r="C3" s="42" t="s">
        <v>84</v>
      </c>
    </row>
    <row r="4" spans="2:31" s="110" customFormat="1" ht="45" x14ac:dyDescent="0.25">
      <c r="B4" s="109"/>
      <c r="C4" s="144" t="s">
        <v>0</v>
      </c>
      <c r="D4" s="144"/>
      <c r="E4" s="144" t="s">
        <v>1</v>
      </c>
      <c r="F4" s="144" t="s">
        <v>2</v>
      </c>
      <c r="G4" s="144" t="s">
        <v>3</v>
      </c>
      <c r="H4" s="144" t="s">
        <v>4</v>
      </c>
      <c r="I4" s="144" t="s">
        <v>5</v>
      </c>
      <c r="J4" s="144" t="s">
        <v>6</v>
      </c>
      <c r="K4" s="144" t="s">
        <v>7</v>
      </c>
      <c r="L4" s="145" t="s">
        <v>14</v>
      </c>
      <c r="M4" s="145"/>
    </row>
    <row r="5" spans="2:31" x14ac:dyDescent="0.25">
      <c r="C5" s="147"/>
      <c r="D5" s="148"/>
      <c r="E5" s="149">
        <v>15</v>
      </c>
      <c r="F5" s="283">
        <f>+'Capacity Delivered'!$G$5</f>
        <v>1</v>
      </c>
      <c r="G5" s="150" t="s">
        <v>8</v>
      </c>
      <c r="H5" s="151">
        <f>'Electric EES CE Std Energy'!D23</f>
        <v>2.356871902062823E-2</v>
      </c>
      <c r="I5" s="152">
        <f>'Baseload Avoided Capacity Calcs'!Y21</f>
        <v>1.2553350397165779E-2</v>
      </c>
      <c r="J5" s="152">
        <f>H5+I5</f>
        <v>3.6122069417794007E-2</v>
      </c>
      <c r="K5" s="153">
        <f>J5</f>
        <v>3.6122069417794007E-2</v>
      </c>
      <c r="L5" s="154">
        <f>K5*1000</f>
        <v>36.122069417794009</v>
      </c>
      <c r="M5" s="138"/>
    </row>
    <row r="6" spans="2:31" ht="15.6" x14ac:dyDescent="0.3">
      <c r="C6" s="146"/>
      <c r="D6" s="146"/>
      <c r="E6" s="113"/>
      <c r="F6" s="113"/>
      <c r="G6" s="113"/>
      <c r="H6" s="32">
        <f>H5*1000</f>
        <v>23.56871902062823</v>
      </c>
      <c r="I6" s="32">
        <f t="shared" ref="I6:K6" si="0">I5*1000</f>
        <v>12.553350397165779</v>
      </c>
      <c r="J6" s="32">
        <f t="shared" si="0"/>
        <v>36.122069417794009</v>
      </c>
      <c r="K6" s="32">
        <f t="shared" si="0"/>
        <v>36.122069417794009</v>
      </c>
      <c r="L6" s="115">
        <f>L5*(1-M6)</f>
        <v>35.038407335260189</v>
      </c>
      <c r="M6" s="232">
        <v>0.03</v>
      </c>
      <c r="N6" s="116" t="s">
        <v>36</v>
      </c>
    </row>
    <row r="7" spans="2:31" x14ac:dyDescent="0.25">
      <c r="C7" s="117"/>
      <c r="D7" s="114"/>
      <c r="H7" s="40"/>
      <c r="I7" s="112"/>
      <c r="J7" s="40"/>
      <c r="K7" s="112"/>
      <c r="L7" s="112"/>
      <c r="M7" s="113"/>
    </row>
    <row r="8" spans="2:31" ht="15.6" x14ac:dyDescent="0.3">
      <c r="C8" s="113"/>
      <c r="D8" s="113"/>
      <c r="E8" s="113"/>
      <c r="F8" s="113"/>
      <c r="G8" s="113"/>
      <c r="H8" s="118"/>
      <c r="I8" s="118"/>
      <c r="J8" s="118"/>
      <c r="K8" s="118"/>
      <c r="L8" s="118"/>
      <c r="M8" s="118"/>
      <c r="N8" s="118"/>
      <c r="O8" s="118"/>
      <c r="P8" s="118"/>
      <c r="Q8" s="118"/>
      <c r="R8" s="118"/>
      <c r="S8" s="118"/>
      <c r="T8" s="118"/>
      <c r="U8" s="119"/>
      <c r="V8" s="119"/>
      <c r="W8" s="119"/>
      <c r="X8" s="198" t="s">
        <v>73</v>
      </c>
      <c r="Y8" s="119"/>
      <c r="Z8" s="119"/>
      <c r="AA8" s="119"/>
      <c r="AB8" s="119"/>
      <c r="AC8" s="118"/>
      <c r="AD8" s="113"/>
    </row>
    <row r="9" spans="2:31" x14ac:dyDescent="0.25">
      <c r="C9" s="120" t="s">
        <v>9</v>
      </c>
      <c r="D9" s="120"/>
      <c r="E9" s="120"/>
      <c r="F9" s="121">
        <f>+L6</f>
        <v>35.038407335260189</v>
      </c>
      <c r="G9" s="121">
        <f t="shared" ref="G9:T9" si="1">F9</f>
        <v>35.038407335260189</v>
      </c>
      <c r="H9" s="121">
        <f t="shared" si="1"/>
        <v>35.038407335260189</v>
      </c>
      <c r="I9" s="121">
        <f t="shared" si="1"/>
        <v>35.038407335260189</v>
      </c>
      <c r="J9" s="121">
        <f t="shared" si="1"/>
        <v>35.038407335260189</v>
      </c>
      <c r="K9" s="121">
        <f t="shared" si="1"/>
        <v>35.038407335260189</v>
      </c>
      <c r="L9" s="121">
        <f t="shared" si="1"/>
        <v>35.038407335260189</v>
      </c>
      <c r="M9" s="121">
        <f t="shared" si="1"/>
        <v>35.038407335260189</v>
      </c>
      <c r="N9" s="121">
        <f t="shared" si="1"/>
        <v>35.038407335260189</v>
      </c>
      <c r="O9" s="121">
        <f t="shared" si="1"/>
        <v>35.038407335260189</v>
      </c>
      <c r="P9" s="121">
        <f t="shared" si="1"/>
        <v>35.038407335260189</v>
      </c>
      <c r="Q9" s="121">
        <f t="shared" si="1"/>
        <v>35.038407335260189</v>
      </c>
      <c r="R9" s="121">
        <f t="shared" si="1"/>
        <v>35.038407335260189</v>
      </c>
      <c r="S9" s="121">
        <f t="shared" si="1"/>
        <v>35.038407335260189</v>
      </c>
      <c r="T9" s="121">
        <f t="shared" si="1"/>
        <v>35.038407335260189</v>
      </c>
      <c r="U9" s="40"/>
      <c r="V9" s="40"/>
      <c r="W9" s="40"/>
      <c r="X9" s="197">
        <f>NPV(Rate_of_Return,F9:T9)</f>
        <v>311.41220601284664</v>
      </c>
      <c r="Y9" s="197">
        <f>-PMT(Rate_of_Return,15,X9)</f>
        <v>35.038407335260175</v>
      </c>
      <c r="Z9" s="40"/>
      <c r="AA9" s="40"/>
      <c r="AB9" s="40"/>
    </row>
    <row r="10" spans="2:31" x14ac:dyDescent="0.25">
      <c r="C10" s="113"/>
      <c r="D10" s="113"/>
      <c r="E10" s="113"/>
      <c r="F10" s="122"/>
      <c r="G10" s="122"/>
      <c r="H10" s="122"/>
      <c r="I10" s="122"/>
      <c r="J10" s="122"/>
      <c r="K10" s="122"/>
      <c r="L10" s="122"/>
      <c r="M10" s="122"/>
      <c r="N10" s="122"/>
      <c r="O10" s="122"/>
      <c r="P10" s="122"/>
      <c r="Q10" s="122"/>
      <c r="R10" s="122"/>
      <c r="S10" s="122"/>
      <c r="T10" s="122"/>
      <c r="U10" s="40"/>
      <c r="V10" s="40"/>
      <c r="W10" s="40"/>
      <c r="X10" s="32"/>
      <c r="Y10" s="32"/>
      <c r="Z10" s="40"/>
      <c r="AA10" s="40"/>
      <c r="AB10" s="40"/>
    </row>
    <row r="11" spans="2:31" x14ac:dyDescent="0.25">
      <c r="C11" s="53" t="s">
        <v>55</v>
      </c>
      <c r="F11" s="202">
        <v>1</v>
      </c>
      <c r="G11" s="202">
        <v>2</v>
      </c>
      <c r="H11" s="202">
        <v>3</v>
      </c>
      <c r="I11" s="202">
        <v>4</v>
      </c>
      <c r="J11" s="202">
        <v>5</v>
      </c>
      <c r="K11" s="202">
        <v>6</v>
      </c>
      <c r="L11" s="202">
        <v>7</v>
      </c>
      <c r="M11" s="202">
        <v>8</v>
      </c>
      <c r="N11" s="202">
        <v>9</v>
      </c>
      <c r="O11" s="202">
        <v>10</v>
      </c>
      <c r="P11" s="202">
        <v>11</v>
      </c>
      <c r="Q11" s="202">
        <v>12</v>
      </c>
      <c r="R11" s="202">
        <v>13</v>
      </c>
      <c r="S11" s="202">
        <v>14</v>
      </c>
      <c r="T11" s="202">
        <v>15</v>
      </c>
      <c r="U11" s="202">
        <v>16</v>
      </c>
      <c r="V11" s="202">
        <v>17</v>
      </c>
      <c r="W11" s="40"/>
      <c r="X11" s="40"/>
      <c r="Y11" s="40"/>
      <c r="Z11" s="40"/>
      <c r="AA11" s="40"/>
      <c r="AB11" s="40"/>
    </row>
    <row r="12" spans="2:31" ht="15.6" x14ac:dyDescent="0.3">
      <c r="C12" s="113"/>
      <c r="D12" s="111"/>
      <c r="E12" s="113"/>
      <c r="F12" s="123">
        <f>'Energy Prices'!$C$6</f>
        <v>2021</v>
      </c>
      <c r="G12" s="123">
        <f>F12+1</f>
        <v>2022</v>
      </c>
      <c r="H12" s="123">
        <f>G12+1</f>
        <v>2023</v>
      </c>
      <c r="I12" s="123">
        <f t="shared" ref="I12:T12" si="2">H12+1</f>
        <v>2024</v>
      </c>
      <c r="J12" s="123">
        <f t="shared" si="2"/>
        <v>2025</v>
      </c>
      <c r="K12" s="123">
        <f t="shared" si="2"/>
        <v>2026</v>
      </c>
      <c r="L12" s="123">
        <f t="shared" si="2"/>
        <v>2027</v>
      </c>
      <c r="M12" s="123">
        <f t="shared" si="2"/>
        <v>2028</v>
      </c>
      <c r="N12" s="123">
        <f t="shared" si="2"/>
        <v>2029</v>
      </c>
      <c r="O12" s="123">
        <f t="shared" si="2"/>
        <v>2030</v>
      </c>
      <c r="P12" s="123">
        <f t="shared" si="2"/>
        <v>2031</v>
      </c>
      <c r="Q12" s="123">
        <f t="shared" si="2"/>
        <v>2032</v>
      </c>
      <c r="R12" s="123">
        <f t="shared" si="2"/>
        <v>2033</v>
      </c>
      <c r="S12" s="123">
        <f t="shared" si="2"/>
        <v>2034</v>
      </c>
      <c r="T12" s="123">
        <f t="shared" si="2"/>
        <v>2035</v>
      </c>
      <c r="U12" s="123">
        <f>T12+1</f>
        <v>2036</v>
      </c>
      <c r="V12" s="123">
        <f>U12+1</f>
        <v>2037</v>
      </c>
      <c r="W12" s="200"/>
      <c r="X12" s="198" t="s">
        <v>73</v>
      </c>
      <c r="Y12" s="32"/>
      <c r="Z12" s="119"/>
      <c r="AA12" s="119"/>
      <c r="AB12" s="119"/>
    </row>
    <row r="13" spans="2:31" ht="52.5" customHeight="1" x14ac:dyDescent="0.25">
      <c r="B13" s="113"/>
      <c r="C13" s="203" t="s">
        <v>90</v>
      </c>
      <c r="D13" s="113"/>
      <c r="F13" s="155">
        <f>F$9*F$20</f>
        <v>30.277495036610134</v>
      </c>
      <c r="G13" s="156">
        <f t="shared" ref="G13:T13" si="3">G$9*G$20</f>
        <v>31.034432412525383</v>
      </c>
      <c r="H13" s="157">
        <f t="shared" si="3"/>
        <v>31.810293222838514</v>
      </c>
      <c r="I13" s="157">
        <f t="shared" si="3"/>
        <v>32.605550553409472</v>
      </c>
      <c r="J13" s="157">
        <f t="shared" si="3"/>
        <v>33.420689317244708</v>
      </c>
      <c r="K13" s="157">
        <f t="shared" si="3"/>
        <v>34.256206550175825</v>
      </c>
      <c r="L13" s="157">
        <f t="shared" si="3"/>
        <v>35.112611713930214</v>
      </c>
      <c r="M13" s="157">
        <f t="shared" si="3"/>
        <v>35.990427006778468</v>
      </c>
      <c r="N13" s="157">
        <f t="shared" si="3"/>
        <v>36.890187681947928</v>
      </c>
      <c r="O13" s="157">
        <f t="shared" si="3"/>
        <v>37.812442373996625</v>
      </c>
      <c r="P13" s="157">
        <f t="shared" si="3"/>
        <v>38.757753433346537</v>
      </c>
      <c r="Q13" s="157">
        <f t="shared" si="3"/>
        <v>39.726697269180185</v>
      </c>
      <c r="R13" s="157">
        <f t="shared" si="3"/>
        <v>40.719864700909689</v>
      </c>
      <c r="S13" s="157">
        <f t="shared" si="3"/>
        <v>41.737861318432422</v>
      </c>
      <c r="T13" s="157">
        <f t="shared" si="3"/>
        <v>42.78130785139323</v>
      </c>
      <c r="U13" s="199">
        <f>T13*1.025</f>
        <v>43.850840547678054</v>
      </c>
      <c r="V13" s="199">
        <f>U13*1.025</f>
        <v>44.947111561370001</v>
      </c>
      <c r="W13" s="125"/>
      <c r="X13" s="197">
        <f>NPV(Rate_of_Return,F13:T13)</f>
        <v>311.41220601284681</v>
      </c>
      <c r="Y13" s="197">
        <f>-PMT(Rate_of_Return,15,X13)</f>
        <v>35.038407335260189</v>
      </c>
      <c r="Z13" s="125"/>
      <c r="AA13" s="125"/>
      <c r="AB13" s="125"/>
      <c r="AE13" s="126"/>
    </row>
    <row r="14" spans="2:31" x14ac:dyDescent="0.25">
      <c r="C14" s="124"/>
      <c r="E14" s="127"/>
      <c r="F14" s="125"/>
      <c r="G14" s="125"/>
      <c r="H14" s="125"/>
      <c r="I14" s="125"/>
      <c r="J14" s="125"/>
      <c r="K14" s="125"/>
      <c r="L14" s="125"/>
      <c r="M14" s="125"/>
      <c r="N14" s="125"/>
      <c r="O14" s="125"/>
      <c r="P14" s="125"/>
      <c r="Q14" s="125"/>
      <c r="R14" s="125"/>
      <c r="S14" s="125"/>
      <c r="T14" s="125"/>
      <c r="U14" s="125"/>
      <c r="V14" s="125"/>
      <c r="W14" s="125"/>
      <c r="X14" s="119"/>
      <c r="Y14" s="119"/>
      <c r="Z14" s="119"/>
      <c r="AA14" s="119"/>
      <c r="AB14" s="119"/>
      <c r="AC14" s="118"/>
      <c r="AD14" s="113"/>
    </row>
    <row r="15" spans="2:31" x14ac:dyDescent="0.25">
      <c r="C15" s="128"/>
      <c r="E15" s="127"/>
      <c r="F15" s="125"/>
      <c r="G15" s="125"/>
      <c r="H15" s="125"/>
      <c r="I15" s="125"/>
      <c r="J15" s="125"/>
      <c r="K15" s="125"/>
      <c r="L15" s="125"/>
      <c r="M15" s="125"/>
      <c r="N15" s="125"/>
      <c r="O15" s="125"/>
      <c r="P15" s="125"/>
      <c r="Q15" s="125"/>
      <c r="R15" s="125"/>
      <c r="S15" s="125"/>
      <c r="T15" s="125"/>
      <c r="U15" s="125"/>
      <c r="V15" s="125"/>
      <c r="W15" s="125"/>
      <c r="X15" s="119"/>
      <c r="Y15" s="119"/>
      <c r="Z15" s="119"/>
      <c r="AA15" s="119"/>
      <c r="AB15" s="119"/>
      <c r="AC15" s="119"/>
    </row>
    <row r="16" spans="2:31" x14ac:dyDescent="0.25">
      <c r="C16" s="53" t="s">
        <v>10</v>
      </c>
      <c r="Q16" s="119"/>
      <c r="R16" s="119"/>
    </row>
    <row r="17" spans="2:28" x14ac:dyDescent="0.25">
      <c r="Q17" s="119"/>
      <c r="R17" s="119"/>
    </row>
    <row r="18" spans="2:28" ht="15.6" x14ac:dyDescent="0.3">
      <c r="C18" s="113"/>
      <c r="D18" s="113"/>
      <c r="E18" s="113"/>
      <c r="F18" s="113"/>
      <c r="G18" s="113"/>
      <c r="H18" s="113"/>
      <c r="I18" s="113"/>
      <c r="J18" s="113"/>
      <c r="K18" s="113"/>
      <c r="L18" s="113"/>
      <c r="M18" s="113"/>
      <c r="N18" s="113"/>
      <c r="O18" s="113"/>
      <c r="P18" s="113"/>
      <c r="Q18" s="118"/>
      <c r="R18" s="118"/>
      <c r="S18" s="113"/>
      <c r="T18" s="113"/>
      <c r="X18" s="198" t="s">
        <v>73</v>
      </c>
      <c r="Y18" s="113"/>
    </row>
    <row r="19" spans="2:28" x14ac:dyDescent="0.25">
      <c r="C19" s="120" t="s">
        <v>11</v>
      </c>
      <c r="D19" s="120"/>
      <c r="E19" s="120"/>
      <c r="F19" s="139">
        <v>100</v>
      </c>
      <c r="G19" s="139">
        <f t="shared" ref="G19:T19" si="4">F19*1.025</f>
        <v>102.49999999999999</v>
      </c>
      <c r="H19" s="139">
        <f t="shared" si="4"/>
        <v>105.06249999999997</v>
      </c>
      <c r="I19" s="139">
        <f t="shared" si="4"/>
        <v>107.68906249999996</v>
      </c>
      <c r="J19" s="139">
        <f t="shared" si="4"/>
        <v>110.38128906249996</v>
      </c>
      <c r="K19" s="139">
        <f t="shared" si="4"/>
        <v>113.14082128906244</v>
      </c>
      <c r="L19" s="139">
        <f t="shared" si="4"/>
        <v>115.96934182128899</v>
      </c>
      <c r="M19" s="139">
        <f t="shared" si="4"/>
        <v>118.8685753668212</v>
      </c>
      <c r="N19" s="139">
        <f t="shared" si="4"/>
        <v>121.84028975099173</v>
      </c>
      <c r="O19" s="139">
        <f t="shared" si="4"/>
        <v>124.88629699476651</v>
      </c>
      <c r="P19" s="139">
        <f t="shared" si="4"/>
        <v>128.00845441963565</v>
      </c>
      <c r="Q19" s="139">
        <f t="shared" si="4"/>
        <v>131.20866578012652</v>
      </c>
      <c r="R19" s="139">
        <f t="shared" si="4"/>
        <v>134.48888242462968</v>
      </c>
      <c r="S19" s="139">
        <f t="shared" si="4"/>
        <v>137.8511044852454</v>
      </c>
      <c r="T19" s="139">
        <f t="shared" si="4"/>
        <v>141.29738209737653</v>
      </c>
      <c r="U19" s="129"/>
      <c r="V19" s="129"/>
      <c r="W19" s="129"/>
      <c r="X19" s="159">
        <f>NPV(Rate_of_Return,F19:T19)</f>
        <v>1028.5269822893265</v>
      </c>
      <c r="Y19" s="159">
        <f>-PMT(Rate_of_Return,15,X19)</f>
        <v>115.72426085081801</v>
      </c>
      <c r="Z19" s="119"/>
      <c r="AA19" s="119"/>
      <c r="AB19" s="119"/>
    </row>
    <row r="20" spans="2:28" x14ac:dyDescent="0.25">
      <c r="C20" s="142" t="s">
        <v>12</v>
      </c>
      <c r="D20" s="142"/>
      <c r="E20" s="142"/>
      <c r="F20" s="143">
        <f>F19/$Y$19</f>
        <v>0.86412303923817313</v>
      </c>
      <c r="G20" s="143">
        <f t="shared" ref="G20:T20" si="5">G19/$Y$19</f>
        <v>0.88572611521912736</v>
      </c>
      <c r="H20" s="143">
        <f t="shared" si="5"/>
        <v>0.90786926809960544</v>
      </c>
      <c r="I20" s="143">
        <f t="shared" si="5"/>
        <v>0.93056599980209553</v>
      </c>
      <c r="J20" s="143">
        <f t="shared" si="5"/>
        <v>0.95383014979714786</v>
      </c>
      <c r="K20" s="143">
        <f t="shared" si="5"/>
        <v>0.97767590354207645</v>
      </c>
      <c r="L20" s="143">
        <f t="shared" si="5"/>
        <v>1.0021178011306282</v>
      </c>
      <c r="M20" s="143">
        <f t="shared" si="5"/>
        <v>1.0271707461588939</v>
      </c>
      <c r="N20" s="143">
        <f t="shared" si="5"/>
        <v>1.0528500148128661</v>
      </c>
      <c r="O20" s="143">
        <f t="shared" si="5"/>
        <v>1.0791712651831877</v>
      </c>
      <c r="P20" s="143">
        <f t="shared" si="5"/>
        <v>1.1061505468127673</v>
      </c>
      <c r="Q20" s="143">
        <f t="shared" si="5"/>
        <v>1.1338043104830862</v>
      </c>
      <c r="R20" s="143">
        <f t="shared" si="5"/>
        <v>1.1621494182451633</v>
      </c>
      <c r="S20" s="143">
        <f t="shared" si="5"/>
        <v>1.1912031537012922</v>
      </c>
      <c r="T20" s="143">
        <f t="shared" si="5"/>
        <v>1.2209832325438243</v>
      </c>
      <c r="U20" s="130"/>
      <c r="V20" s="130"/>
      <c r="W20" s="130"/>
      <c r="X20" s="158">
        <f>NPV(Rate_of_Return,F20:T20)</f>
        <v>8.8877386187431942</v>
      </c>
      <c r="Y20" s="158">
        <f>-PMT(Rate_of_Return,15,X20)</f>
        <v>1</v>
      </c>
      <c r="Z20" s="119"/>
      <c r="AA20" s="119"/>
      <c r="AB20" s="119"/>
    </row>
    <row r="21" spans="2:28" x14ac:dyDescent="0.25">
      <c r="C21" s="113"/>
      <c r="D21" s="113"/>
      <c r="E21" s="140"/>
      <c r="F21" s="140"/>
      <c r="G21" s="140"/>
      <c r="H21" s="140"/>
      <c r="I21" s="140"/>
      <c r="J21" s="140"/>
      <c r="K21" s="140"/>
      <c r="L21" s="140"/>
      <c r="M21" s="141"/>
      <c r="N21" s="141"/>
      <c r="O21" s="141"/>
      <c r="P21" s="141"/>
      <c r="Q21" s="141"/>
      <c r="R21" s="141"/>
      <c r="S21" s="141"/>
      <c r="T21" s="141"/>
      <c r="X21" s="113"/>
      <c r="Y21" s="113"/>
    </row>
    <row r="22" spans="2:28" x14ac:dyDescent="0.25">
      <c r="B22" s="131" t="s">
        <v>13</v>
      </c>
      <c r="C22" s="132"/>
      <c r="D22" s="133"/>
      <c r="E22" s="133"/>
      <c r="F22" s="133"/>
      <c r="G22" s="133"/>
      <c r="H22" s="133"/>
      <c r="I22" s="133"/>
      <c r="J22" s="133"/>
      <c r="K22" s="133"/>
      <c r="L22" s="133"/>
      <c r="M22" s="133"/>
      <c r="N22" s="133"/>
      <c r="O22" s="133"/>
      <c r="Z22" s="128"/>
    </row>
    <row r="23" spans="2:28" x14ac:dyDescent="0.25">
      <c r="B23" s="134">
        <v>1</v>
      </c>
      <c r="C23" s="280" t="s">
        <v>113</v>
      </c>
      <c r="D23" s="133"/>
      <c r="E23" s="133"/>
      <c r="F23" s="133"/>
      <c r="G23" s="133"/>
      <c r="H23" s="133"/>
      <c r="I23" s="133"/>
      <c r="J23" s="133"/>
      <c r="K23" s="133"/>
      <c r="L23" s="133"/>
      <c r="M23" s="133"/>
      <c r="N23" s="133"/>
      <c r="O23" s="133"/>
      <c r="Z23" s="124"/>
    </row>
    <row r="24" spans="2:28" x14ac:dyDescent="0.25">
      <c r="B24" s="134">
        <v>2</v>
      </c>
      <c r="C24" s="133" t="s">
        <v>103</v>
      </c>
      <c r="D24" s="133"/>
      <c r="E24" s="133"/>
      <c r="F24" s="133"/>
      <c r="G24" s="133"/>
      <c r="H24" s="133"/>
      <c r="I24" s="133"/>
      <c r="J24" s="133"/>
      <c r="K24" s="133"/>
      <c r="L24" s="133"/>
      <c r="M24" s="133"/>
      <c r="N24" s="133"/>
      <c r="O24" s="133"/>
      <c r="Z24" s="125"/>
    </row>
    <row r="25" spans="2:28" x14ac:dyDescent="0.25">
      <c r="B25" s="134">
        <v>3</v>
      </c>
      <c r="C25" s="133" t="s">
        <v>44</v>
      </c>
      <c r="D25" s="133"/>
      <c r="E25" s="133"/>
      <c r="F25" s="133"/>
      <c r="G25" s="133"/>
      <c r="H25" s="133"/>
      <c r="I25" s="133"/>
      <c r="J25" s="133"/>
      <c r="K25" s="133"/>
      <c r="L25" s="133"/>
      <c r="M25" s="133"/>
      <c r="N25" s="133"/>
      <c r="O25" s="133"/>
      <c r="Z25" s="135"/>
    </row>
    <row r="26" spans="2:28" x14ac:dyDescent="0.25">
      <c r="B26" s="134">
        <v>4</v>
      </c>
      <c r="C26" s="133" t="s">
        <v>118</v>
      </c>
      <c r="D26" s="133"/>
      <c r="E26" s="133"/>
      <c r="F26" s="133"/>
      <c r="G26" s="133"/>
      <c r="H26" s="133"/>
      <c r="I26" s="133"/>
      <c r="J26" s="133"/>
      <c r="K26" s="133"/>
      <c r="L26" s="133"/>
      <c r="M26" s="133"/>
      <c r="N26" s="133"/>
      <c r="O26" s="133"/>
      <c r="Z26" s="135"/>
    </row>
    <row r="27" spans="2:28" x14ac:dyDescent="0.25">
      <c r="B27" s="134">
        <v>5</v>
      </c>
      <c r="C27" s="133" t="s">
        <v>78</v>
      </c>
      <c r="D27" s="133"/>
      <c r="E27" s="133"/>
      <c r="F27" s="133"/>
      <c r="G27" s="133"/>
      <c r="H27" s="133"/>
      <c r="I27" s="133"/>
      <c r="J27" s="133"/>
      <c r="K27" s="133"/>
      <c r="L27" s="133"/>
      <c r="M27" s="133"/>
      <c r="N27" s="133"/>
      <c r="O27" s="133"/>
      <c r="Z27" s="124"/>
    </row>
    <row r="28" spans="2:28" x14ac:dyDescent="0.25">
      <c r="B28" s="134">
        <v>6</v>
      </c>
      <c r="C28" s="133" t="s">
        <v>79</v>
      </c>
      <c r="D28" s="133"/>
      <c r="E28" s="133"/>
      <c r="F28" s="133"/>
      <c r="G28" s="133"/>
      <c r="H28" s="133"/>
      <c r="I28" s="133"/>
      <c r="J28" s="133"/>
      <c r="K28" s="133"/>
      <c r="L28" s="133"/>
      <c r="M28" s="133"/>
      <c r="N28" s="133"/>
      <c r="O28" s="133"/>
      <c r="Z28" s="125"/>
    </row>
    <row r="29" spans="2:28" x14ac:dyDescent="0.25">
      <c r="B29" s="134">
        <v>7</v>
      </c>
      <c r="C29" s="133" t="s">
        <v>80</v>
      </c>
      <c r="D29" s="133"/>
      <c r="E29" s="133"/>
      <c r="F29" s="133"/>
      <c r="G29" s="133"/>
      <c r="H29" s="133"/>
      <c r="I29" s="133"/>
      <c r="J29" s="133"/>
      <c r="K29" s="133"/>
      <c r="L29" s="133"/>
      <c r="M29" s="133"/>
      <c r="N29" s="133"/>
      <c r="O29" s="133"/>
      <c r="P29" s="133"/>
      <c r="Q29" s="133"/>
    </row>
    <row r="30" spans="2:28" x14ac:dyDescent="0.25">
      <c r="B30" s="134">
        <v>8</v>
      </c>
      <c r="C30" s="133" t="s">
        <v>50</v>
      </c>
      <c r="D30" s="133"/>
      <c r="E30" s="133"/>
      <c r="F30" s="133"/>
      <c r="G30" s="133"/>
      <c r="H30" s="133"/>
      <c r="I30" s="133"/>
      <c r="J30" s="133"/>
      <c r="K30" s="133"/>
      <c r="L30" s="133"/>
      <c r="M30" s="133"/>
      <c r="N30" s="133"/>
      <c r="O30" s="133"/>
      <c r="P30" s="133"/>
      <c r="Q30" s="133"/>
    </row>
    <row r="31" spans="2:28" x14ac:dyDescent="0.25">
      <c r="B31" s="134">
        <v>9</v>
      </c>
      <c r="C31" s="133" t="s">
        <v>81</v>
      </c>
      <c r="D31" s="133"/>
      <c r="E31" s="133"/>
      <c r="F31" s="133"/>
      <c r="G31" s="133"/>
      <c r="H31" s="133"/>
      <c r="I31" s="133"/>
      <c r="J31" s="133"/>
      <c r="K31" s="133"/>
      <c r="L31" s="133"/>
      <c r="M31" s="133"/>
      <c r="N31" s="133"/>
      <c r="O31" s="133"/>
      <c r="P31" s="133"/>
      <c r="Q31" s="133"/>
    </row>
    <row r="32" spans="2:28" x14ac:dyDescent="0.25">
      <c r="B32" s="134">
        <v>10</v>
      </c>
      <c r="C32" s="53" t="s">
        <v>82</v>
      </c>
    </row>
    <row r="33" spans="2:20" x14ac:dyDescent="0.25">
      <c r="B33" s="134">
        <v>11</v>
      </c>
      <c r="C33" s="53" t="s">
        <v>101</v>
      </c>
    </row>
    <row r="34" spans="2:20" ht="15.6" x14ac:dyDescent="0.3">
      <c r="B34" s="136"/>
      <c r="C34" s="5"/>
      <c r="D34" s="5"/>
      <c r="E34" s="5"/>
      <c r="F34" s="5"/>
    </row>
    <row r="35" spans="2:20" ht="15.6" x14ac:dyDescent="0.3">
      <c r="B35" s="136"/>
      <c r="C35" s="5"/>
      <c r="D35" s="5"/>
      <c r="E35" s="5"/>
      <c r="F35" s="5"/>
    </row>
    <row r="37" spans="2:20" x14ac:dyDescent="0.25">
      <c r="F37" s="119"/>
      <c r="G37" s="137"/>
      <c r="H37" s="137"/>
      <c r="I37" s="137"/>
      <c r="J37" s="137"/>
      <c r="K37" s="137"/>
      <c r="L37" s="137"/>
      <c r="M37" s="137"/>
      <c r="N37" s="137"/>
      <c r="O37" s="137"/>
      <c r="P37" s="137"/>
      <c r="Q37" s="137"/>
      <c r="R37" s="137"/>
      <c r="S37" s="137"/>
      <c r="T37" s="137"/>
    </row>
    <row r="38" spans="2:20" x14ac:dyDescent="0.25">
      <c r="G38" s="137"/>
      <c r="H38" s="137"/>
      <c r="I38" s="137"/>
      <c r="J38" s="137"/>
      <c r="K38" s="137"/>
      <c r="L38" s="137"/>
      <c r="M38" s="137"/>
      <c r="N38" s="137"/>
      <c r="O38" s="137"/>
      <c r="P38" s="137"/>
      <c r="Q38" s="137"/>
      <c r="R38" s="137"/>
      <c r="S38" s="137"/>
      <c r="T38" s="137"/>
    </row>
    <row r="39" spans="2:20" x14ac:dyDescent="0.25">
      <c r="F39" s="119"/>
      <c r="G39" s="119"/>
      <c r="H39" s="119"/>
      <c r="I39" s="119"/>
      <c r="J39" s="119"/>
      <c r="K39" s="119"/>
      <c r="L39" s="119"/>
      <c r="M39" s="119"/>
      <c r="N39" s="119"/>
      <c r="O39" s="119"/>
      <c r="P39" s="119"/>
      <c r="Q39" s="119"/>
      <c r="R39" s="119"/>
      <c r="S39" s="119"/>
      <c r="T39" s="119"/>
    </row>
    <row r="40" spans="2:20" x14ac:dyDescent="0.25">
      <c r="D40" s="129"/>
    </row>
  </sheetData>
  <customSheetViews>
    <customSheetView guid="{78103E26-15C6-4D37-9879-762EF0B43905}" fitToPage="1">
      <pageMargins left="0.75" right="0.5" top="0.76" bottom="0.79" header="0.5" footer="0.26"/>
      <pageSetup scale="34" orientation="landscape" r:id="rId1"/>
      <headerFooter alignWithMargins="0">
        <oddFooter>&amp;L&amp;F&amp;C&amp;A&amp;RPSE Advice No. 2018-48 &amp;D
Page &amp;P of &amp;N</oddFooter>
      </headerFooter>
    </customSheetView>
  </customSheetViews>
  <phoneticPr fontId="8" type="noConversion"/>
  <dataValidations count="3">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 type="decimal" operator="greaterThan" allowBlank="1" showInputMessage="1" showErrorMessage="1" sqref="C5:D5">
      <formula1>0</formula1>
    </dataValidation>
  </dataValidations>
  <pageMargins left="0.75" right="0.5" top="0.76" bottom="0.79" header="0.5" footer="0.26"/>
  <pageSetup scale="34" orientation="landscape" r:id="rId2"/>
  <headerFooter alignWithMargins="0">
    <oddFooter>&amp;L&amp;F&amp;C&amp;A&amp;RPSE Advice No. 2018-48 &amp;D
Page &amp;P of &amp;N</oddFooter>
  </headerFooter>
  <customProperties>
    <customPr name="_pios_id" r:id="rId3"/>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D40"/>
  <sheetViews>
    <sheetView workbookViewId="0">
      <selection activeCell="H5" sqref="H5"/>
    </sheetView>
  </sheetViews>
  <sheetFormatPr defaultColWidth="9.109375" defaultRowHeight="15" x14ac:dyDescent="0.25"/>
  <cols>
    <col min="1" max="1" width="2.6640625" style="53" customWidth="1"/>
    <col min="2" max="2" width="5" style="53" customWidth="1"/>
    <col min="3" max="3" width="46.6640625" style="53" customWidth="1"/>
    <col min="4" max="4" width="2.6640625" style="53" customWidth="1"/>
    <col min="5" max="22" width="12.6640625" style="53" customWidth="1"/>
    <col min="23" max="23" width="2.6640625" style="53" customWidth="1"/>
    <col min="24" max="25" width="12.6640625" style="53" customWidth="1"/>
    <col min="26" max="29" width="12.33203125" style="53" customWidth="1"/>
    <col min="30" max="16384" width="9.109375" style="53"/>
  </cols>
  <sheetData>
    <row r="2" spans="2:30" ht="19.5" customHeight="1" x14ac:dyDescent="0.3">
      <c r="C2" s="207" t="s">
        <v>83</v>
      </c>
      <c r="D2" s="207"/>
      <c r="E2" s="207"/>
      <c r="F2" s="207"/>
      <c r="G2" s="207"/>
      <c r="H2" s="207"/>
      <c r="I2" s="207"/>
      <c r="J2" s="207"/>
      <c r="K2" s="207"/>
      <c r="L2" s="207"/>
    </row>
    <row r="3" spans="2:30" ht="15.6" x14ac:dyDescent="0.3">
      <c r="C3" s="42" t="s">
        <v>42</v>
      </c>
    </row>
    <row r="4" spans="2:30" s="110" customFormat="1" ht="45" x14ac:dyDescent="0.25">
      <c r="B4" s="109"/>
      <c r="C4" s="144" t="s">
        <v>0</v>
      </c>
      <c r="D4" s="144"/>
      <c r="E4" s="144" t="s">
        <v>1</v>
      </c>
      <c r="F4" s="144" t="s">
        <v>2</v>
      </c>
      <c r="G4" s="144" t="s">
        <v>3</v>
      </c>
      <c r="H4" s="144" t="s">
        <v>4</v>
      </c>
      <c r="I4" s="144" t="s">
        <v>5</v>
      </c>
      <c r="J4" s="144" t="s">
        <v>6</v>
      </c>
      <c r="K4" s="144" t="s">
        <v>7</v>
      </c>
      <c r="L4" s="145" t="s">
        <v>14</v>
      </c>
      <c r="M4" s="145"/>
    </row>
    <row r="5" spans="2:30" x14ac:dyDescent="0.25">
      <c r="C5" s="147"/>
      <c r="D5" s="148"/>
      <c r="E5" s="149">
        <v>10</v>
      </c>
      <c r="F5" s="283">
        <f>+'Capacity Delivered'!$H$5</f>
        <v>0.17799999999999999</v>
      </c>
      <c r="G5" s="150" t="s">
        <v>8</v>
      </c>
      <c r="H5" s="151">
        <f>'Electric EES CE Std Energy'!D18</f>
        <v>2.255503119083823E-2</v>
      </c>
      <c r="I5" s="152">
        <f>'Wind Avoided Capacity Calcs'!Y16</f>
        <v>6.9041272874159195E-3</v>
      </c>
      <c r="J5" s="152">
        <f>H5+I5</f>
        <v>2.9459158478254151E-2</v>
      </c>
      <c r="K5" s="153">
        <f>J5</f>
        <v>2.9459158478254151E-2</v>
      </c>
      <c r="L5" s="154">
        <f>K5*1000</f>
        <v>29.45915847825415</v>
      </c>
      <c r="M5" s="138"/>
    </row>
    <row r="6" spans="2:30" ht="15.6" x14ac:dyDescent="0.3">
      <c r="C6" s="146"/>
      <c r="D6" s="146"/>
      <c r="E6" s="113"/>
      <c r="F6" s="113"/>
      <c r="G6" s="113"/>
      <c r="H6" s="32">
        <f>H5*1000</f>
        <v>22.555031190838232</v>
      </c>
      <c r="I6" s="32">
        <f t="shared" ref="I6:K6" si="0">I5*1000</f>
        <v>6.9041272874159194</v>
      </c>
      <c r="J6" s="32">
        <f t="shared" si="0"/>
        <v>29.45915847825415</v>
      </c>
      <c r="K6" s="32">
        <f t="shared" si="0"/>
        <v>29.45915847825415</v>
      </c>
      <c r="L6" s="115">
        <f>L5*(1-M6)</f>
        <v>28.575383723906523</v>
      </c>
      <c r="M6" s="232">
        <v>0.03</v>
      </c>
      <c r="N6" s="116" t="s">
        <v>36</v>
      </c>
    </row>
    <row r="7" spans="2:30" x14ac:dyDescent="0.25">
      <c r="C7" s="117"/>
      <c r="D7" s="114"/>
      <c r="H7" s="40"/>
      <c r="I7" s="112"/>
      <c r="J7" s="40"/>
      <c r="K7" s="112"/>
      <c r="L7" s="112"/>
      <c r="M7" s="113"/>
    </row>
    <row r="8" spans="2:30" ht="15.6" x14ac:dyDescent="0.3">
      <c r="C8" s="113"/>
      <c r="D8" s="113"/>
      <c r="E8" s="113"/>
      <c r="F8" s="113"/>
      <c r="G8" s="113"/>
      <c r="H8" s="118"/>
      <c r="I8" s="118"/>
      <c r="J8" s="118"/>
      <c r="K8" s="118"/>
      <c r="L8" s="118"/>
      <c r="M8" s="118"/>
      <c r="N8" s="118"/>
      <c r="O8" s="118"/>
      <c r="P8" s="118"/>
      <c r="Q8" s="118"/>
      <c r="R8" s="118"/>
      <c r="U8" s="119"/>
      <c r="V8" s="119"/>
      <c r="X8" s="198" t="s">
        <v>73</v>
      </c>
      <c r="Y8" s="119"/>
      <c r="Z8" s="119"/>
      <c r="AA8" s="119"/>
      <c r="AB8" s="119"/>
    </row>
    <row r="9" spans="2:30" x14ac:dyDescent="0.25">
      <c r="C9" s="120" t="s">
        <v>9</v>
      </c>
      <c r="D9" s="120"/>
      <c r="E9" s="120"/>
      <c r="F9" s="121">
        <f>+L6</f>
        <v>28.575383723906523</v>
      </c>
      <c r="G9" s="121">
        <f t="shared" ref="G9:O9" si="1">F9</f>
        <v>28.575383723906523</v>
      </c>
      <c r="H9" s="121">
        <f t="shared" si="1"/>
        <v>28.575383723906523</v>
      </c>
      <c r="I9" s="121">
        <f t="shared" si="1"/>
        <v>28.575383723906523</v>
      </c>
      <c r="J9" s="121">
        <f t="shared" si="1"/>
        <v>28.575383723906523</v>
      </c>
      <c r="K9" s="121">
        <f t="shared" si="1"/>
        <v>28.575383723906523</v>
      </c>
      <c r="L9" s="121">
        <f t="shared" si="1"/>
        <v>28.575383723906523</v>
      </c>
      <c r="M9" s="121">
        <f t="shared" si="1"/>
        <v>28.575383723906523</v>
      </c>
      <c r="N9" s="121">
        <f t="shared" si="1"/>
        <v>28.575383723906523</v>
      </c>
      <c r="O9" s="121">
        <f t="shared" si="1"/>
        <v>28.575383723906523</v>
      </c>
      <c r="P9" s="118"/>
      <c r="Q9" s="118"/>
      <c r="R9" s="118"/>
      <c r="U9" s="119"/>
      <c r="V9" s="40"/>
      <c r="X9" s="197">
        <f>NPV(Rate_of_Return,F9:O9)</f>
        <v>197.13273311374891</v>
      </c>
      <c r="Y9" s="197">
        <f>-PMT(Rate_of_Return,$E$5,X9)</f>
        <v>28.575383723906512</v>
      </c>
      <c r="Z9" s="40"/>
      <c r="AA9" s="40"/>
    </row>
    <row r="10" spans="2:30" x14ac:dyDescent="0.25">
      <c r="C10" s="113"/>
      <c r="D10" s="113"/>
      <c r="E10" s="113"/>
      <c r="F10" s="122"/>
      <c r="G10" s="122"/>
      <c r="H10" s="122"/>
      <c r="I10" s="122"/>
      <c r="J10" s="122"/>
      <c r="K10" s="122"/>
      <c r="L10" s="122"/>
      <c r="M10" s="122"/>
      <c r="N10" s="122"/>
      <c r="O10" s="122"/>
      <c r="P10" s="118"/>
      <c r="Q10" s="118"/>
      <c r="R10" s="118"/>
      <c r="U10" s="119"/>
      <c r="V10" s="40"/>
      <c r="X10" s="32"/>
      <c r="Y10" s="32"/>
      <c r="Z10" s="40"/>
      <c r="AA10" s="40"/>
    </row>
    <row r="11" spans="2:30" x14ac:dyDescent="0.25">
      <c r="C11" s="53" t="s">
        <v>55</v>
      </c>
      <c r="F11" s="202">
        <v>1</v>
      </c>
      <c r="G11" s="202">
        <v>2</v>
      </c>
      <c r="H11" s="202">
        <v>3</v>
      </c>
      <c r="I11" s="202">
        <v>4</v>
      </c>
      <c r="J11" s="202">
        <v>5</v>
      </c>
      <c r="K11" s="202">
        <v>6</v>
      </c>
      <c r="L11" s="202">
        <v>7</v>
      </c>
      <c r="M11" s="202">
        <v>8</v>
      </c>
      <c r="N11" s="202">
        <v>9</v>
      </c>
      <c r="O11" s="202">
        <v>10</v>
      </c>
      <c r="P11" s="202">
        <v>11</v>
      </c>
      <c r="Q11" s="202">
        <v>12</v>
      </c>
      <c r="R11" s="118"/>
      <c r="U11" s="119"/>
      <c r="V11" s="40"/>
      <c r="X11" s="40"/>
      <c r="Y11" s="40"/>
      <c r="Z11" s="40"/>
      <c r="AA11" s="40"/>
    </row>
    <row r="12" spans="2:30" ht="15.6" x14ac:dyDescent="0.3">
      <c r="C12" s="113"/>
      <c r="D12" s="111"/>
      <c r="E12" s="113"/>
      <c r="F12" s="123">
        <f>'Energy Prices'!$C$6</f>
        <v>2021</v>
      </c>
      <c r="G12" s="123">
        <f>F12+1</f>
        <v>2022</v>
      </c>
      <c r="H12" s="123">
        <f>G12+1</f>
        <v>2023</v>
      </c>
      <c r="I12" s="123">
        <f t="shared" ref="I12:O12" si="2">H12+1</f>
        <v>2024</v>
      </c>
      <c r="J12" s="123">
        <f t="shared" si="2"/>
        <v>2025</v>
      </c>
      <c r="K12" s="123">
        <f t="shared" si="2"/>
        <v>2026</v>
      </c>
      <c r="L12" s="123">
        <f t="shared" si="2"/>
        <v>2027</v>
      </c>
      <c r="M12" s="123">
        <f t="shared" si="2"/>
        <v>2028</v>
      </c>
      <c r="N12" s="123">
        <f t="shared" si="2"/>
        <v>2029</v>
      </c>
      <c r="O12" s="123">
        <f t="shared" si="2"/>
        <v>2030</v>
      </c>
      <c r="P12" s="123">
        <f>O12+1</f>
        <v>2031</v>
      </c>
      <c r="Q12" s="123">
        <f>P12+1</f>
        <v>2032</v>
      </c>
      <c r="R12" s="118"/>
      <c r="U12" s="119"/>
      <c r="V12" s="200"/>
      <c r="X12" s="198" t="s">
        <v>73</v>
      </c>
      <c r="Y12" s="32"/>
      <c r="Z12" s="119"/>
      <c r="AA12" s="119"/>
    </row>
    <row r="13" spans="2:30" ht="52.95" customHeight="1" x14ac:dyDescent="0.25">
      <c r="B13" s="113"/>
      <c r="C13" s="204" t="s">
        <v>76</v>
      </c>
      <c r="D13" s="113"/>
      <c r="F13" s="155">
        <f>F$9*F$20</f>
        <v>25.877277584169963</v>
      </c>
      <c r="G13" s="156">
        <f t="shared" ref="G13:O13" si="3">G$9*G$20</f>
        <v>26.524209523774207</v>
      </c>
      <c r="H13" s="157">
        <f t="shared" si="3"/>
        <v>27.18731476186856</v>
      </c>
      <c r="I13" s="157">
        <f t="shared" si="3"/>
        <v>27.866997630915272</v>
      </c>
      <c r="J13" s="157">
        <f t="shared" si="3"/>
        <v>28.563672571688151</v>
      </c>
      <c r="K13" s="157">
        <f t="shared" si="3"/>
        <v>29.277764385980355</v>
      </c>
      <c r="L13" s="157">
        <f t="shared" si="3"/>
        <v>30.009708495629862</v>
      </c>
      <c r="M13" s="157">
        <f t="shared" si="3"/>
        <v>30.759951208020599</v>
      </c>
      <c r="N13" s="157">
        <f t="shared" si="3"/>
        <v>31.528949988221115</v>
      </c>
      <c r="O13" s="157">
        <f t="shared" si="3"/>
        <v>32.317173737926638</v>
      </c>
      <c r="P13" s="199">
        <f>O13*1.025</f>
        <v>33.125103081374803</v>
      </c>
      <c r="Q13" s="199">
        <f>P13*1.025</f>
        <v>33.953230658409169</v>
      </c>
      <c r="R13" s="118"/>
      <c r="U13" s="119"/>
      <c r="V13" s="125"/>
      <c r="X13" s="197">
        <f>NPV(Rate_of_Return,F13:O13)</f>
        <v>197.132733113749</v>
      </c>
      <c r="Y13" s="197">
        <f>-PMT(Rate_of_Return,$E$5,X13)</f>
        <v>28.575383723906523</v>
      </c>
      <c r="Z13" s="125"/>
      <c r="AA13" s="125"/>
      <c r="AD13" s="126"/>
    </row>
    <row r="14" spans="2:30" x14ac:dyDescent="0.25">
      <c r="C14" s="124"/>
      <c r="E14" s="127"/>
      <c r="F14" s="125"/>
      <c r="G14" s="125"/>
      <c r="H14" s="125"/>
      <c r="I14" s="125"/>
      <c r="J14" s="125"/>
      <c r="K14" s="125"/>
      <c r="L14" s="125"/>
      <c r="M14" s="125"/>
      <c r="N14" s="125"/>
      <c r="O14" s="125"/>
      <c r="P14" s="118"/>
      <c r="Q14" s="118"/>
      <c r="R14" s="118"/>
      <c r="U14" s="119"/>
      <c r="V14" s="125"/>
      <c r="X14" s="119"/>
      <c r="Y14" s="119"/>
      <c r="Z14" s="119"/>
      <c r="AA14" s="119"/>
      <c r="AB14" s="119"/>
    </row>
    <row r="15" spans="2:30" x14ac:dyDescent="0.25">
      <c r="C15" s="128"/>
      <c r="E15" s="127"/>
      <c r="F15" s="125"/>
      <c r="G15" s="125"/>
      <c r="H15" s="125"/>
      <c r="I15" s="125"/>
      <c r="J15" s="125"/>
      <c r="K15" s="125"/>
      <c r="L15" s="125"/>
      <c r="M15" s="125"/>
      <c r="N15" s="125"/>
      <c r="O15" s="125"/>
      <c r="P15" s="118"/>
      <c r="Q15" s="118"/>
      <c r="R15" s="118"/>
      <c r="U15" s="119"/>
      <c r="V15" s="125"/>
      <c r="X15" s="119"/>
      <c r="Y15" s="119"/>
      <c r="Z15" s="119"/>
      <c r="AA15" s="119"/>
      <c r="AB15" s="119"/>
    </row>
    <row r="16" spans="2:30" x14ac:dyDescent="0.25">
      <c r="C16" s="53" t="s">
        <v>10</v>
      </c>
      <c r="P16" s="118"/>
      <c r="Q16" s="118"/>
      <c r="R16" s="118"/>
      <c r="U16" s="119"/>
    </row>
    <row r="17" spans="2:27" x14ac:dyDescent="0.25">
      <c r="P17" s="118"/>
      <c r="Q17" s="118"/>
      <c r="R17" s="118"/>
      <c r="U17" s="119"/>
    </row>
    <row r="18" spans="2:27" ht="15.6" x14ac:dyDescent="0.3">
      <c r="C18" s="113"/>
      <c r="D18" s="113"/>
      <c r="E18" s="113"/>
      <c r="F18" s="113"/>
      <c r="G18" s="113"/>
      <c r="H18" s="113"/>
      <c r="I18" s="113"/>
      <c r="J18" s="113"/>
      <c r="K18" s="113"/>
      <c r="L18" s="113"/>
      <c r="M18" s="113"/>
      <c r="N18" s="113"/>
      <c r="O18" s="113"/>
      <c r="P18" s="118"/>
      <c r="Q18" s="118"/>
      <c r="R18" s="118"/>
      <c r="U18" s="119"/>
      <c r="X18" s="198" t="s">
        <v>73</v>
      </c>
      <c r="Y18" s="113"/>
    </row>
    <row r="19" spans="2:27" x14ac:dyDescent="0.25">
      <c r="C19" s="120" t="s">
        <v>11</v>
      </c>
      <c r="D19" s="120"/>
      <c r="E19" s="120"/>
      <c r="F19" s="139">
        <v>100</v>
      </c>
      <c r="G19" s="139">
        <f t="shared" ref="G19:O19" si="4">F19*1.025</f>
        <v>102.49999999999999</v>
      </c>
      <c r="H19" s="139">
        <f t="shared" si="4"/>
        <v>105.06249999999997</v>
      </c>
      <c r="I19" s="139">
        <f t="shared" si="4"/>
        <v>107.68906249999996</v>
      </c>
      <c r="J19" s="139">
        <f t="shared" si="4"/>
        <v>110.38128906249996</v>
      </c>
      <c r="K19" s="139">
        <f t="shared" si="4"/>
        <v>113.14082128906244</v>
      </c>
      <c r="L19" s="139">
        <f>K19*1.025</f>
        <v>115.96934182128899</v>
      </c>
      <c r="M19" s="139">
        <f t="shared" si="4"/>
        <v>118.8685753668212</v>
      </c>
      <c r="N19" s="139">
        <f t="shared" si="4"/>
        <v>121.84028975099173</v>
      </c>
      <c r="O19" s="139">
        <f t="shared" si="4"/>
        <v>124.88629699476651</v>
      </c>
      <c r="P19" s="118"/>
      <c r="Q19" s="118"/>
      <c r="R19" s="118"/>
      <c r="U19" s="119"/>
      <c r="V19" s="129"/>
      <c r="X19" s="197">
        <f>NPV(Rate_of_Return,F19:O19)</f>
        <v>761.7985797483658</v>
      </c>
      <c r="Y19" s="197">
        <f>-PMT(Rate_of_Return,$E$5,X19)</f>
        <v>110.42654557057071</v>
      </c>
      <c r="Z19" s="119"/>
      <c r="AA19" s="119"/>
    </row>
    <row r="20" spans="2:27" x14ac:dyDescent="0.25">
      <c r="C20" s="142" t="s">
        <v>12</v>
      </c>
      <c r="D20" s="142"/>
      <c r="E20" s="142"/>
      <c r="F20" s="143">
        <f t="shared" ref="F20:O20" si="5">F19/$Y$19</f>
        <v>0.90557935579079241</v>
      </c>
      <c r="G20" s="143">
        <f t="shared" si="5"/>
        <v>0.92821883968556207</v>
      </c>
      <c r="H20" s="143">
        <f t="shared" si="5"/>
        <v>0.95142431067770095</v>
      </c>
      <c r="I20" s="143">
        <f t="shared" si="5"/>
        <v>0.97520991844464344</v>
      </c>
      <c r="J20" s="143">
        <f t="shared" si="5"/>
        <v>0.99959016640575948</v>
      </c>
      <c r="K20" s="143">
        <f t="shared" si="5"/>
        <v>1.0245799205659034</v>
      </c>
      <c r="L20" s="143">
        <f t="shared" si="5"/>
        <v>1.0501944185800509</v>
      </c>
      <c r="M20" s="143">
        <f t="shared" si="5"/>
        <v>1.0764492790445519</v>
      </c>
      <c r="N20" s="143">
        <f t="shared" si="5"/>
        <v>1.1033605110206657</v>
      </c>
      <c r="O20" s="143">
        <f t="shared" si="5"/>
        <v>1.1309445237961822</v>
      </c>
      <c r="P20" s="118"/>
      <c r="Q20" s="118"/>
      <c r="R20" s="118"/>
      <c r="U20" s="119"/>
      <c r="V20" s="130"/>
      <c r="X20" s="197">
        <f>NPV(Rate_of_Return,F20:O20)</f>
        <v>6.8986906709086568</v>
      </c>
      <c r="Y20" s="197">
        <f>-PMT(Rate_of_Return,$E$5,X20)</f>
        <v>1.0000000000000002</v>
      </c>
      <c r="Z20" s="119"/>
      <c r="AA20" s="119"/>
    </row>
    <row r="21" spans="2:27" x14ac:dyDescent="0.25">
      <c r="C21" s="113"/>
      <c r="D21" s="113"/>
      <c r="E21" s="140"/>
      <c r="F21" s="140"/>
      <c r="G21" s="140"/>
      <c r="H21" s="140"/>
      <c r="I21" s="140"/>
      <c r="J21" s="140"/>
      <c r="K21" s="140"/>
      <c r="L21" s="140"/>
      <c r="M21" s="141"/>
      <c r="N21" s="141"/>
      <c r="O21" s="141"/>
      <c r="P21" s="141"/>
      <c r="Q21" s="141"/>
      <c r="R21" s="141"/>
      <c r="S21" s="141"/>
      <c r="T21" s="141"/>
      <c r="W21" s="113"/>
      <c r="X21" s="113"/>
    </row>
    <row r="22" spans="2:27" x14ac:dyDescent="0.25">
      <c r="B22" s="131" t="s">
        <v>13</v>
      </c>
      <c r="C22" s="132"/>
      <c r="D22" s="133"/>
      <c r="E22" s="133"/>
      <c r="F22" s="133"/>
      <c r="G22" s="133"/>
      <c r="H22" s="133"/>
      <c r="I22" s="133"/>
      <c r="J22" s="133"/>
      <c r="K22" s="133"/>
      <c r="L22" s="133"/>
      <c r="M22" s="133"/>
      <c r="N22" s="133"/>
      <c r="O22" s="133"/>
      <c r="Y22" s="128"/>
    </row>
    <row r="23" spans="2:27" x14ac:dyDescent="0.25">
      <c r="B23" s="134">
        <v>1</v>
      </c>
      <c r="C23" s="280" t="s">
        <v>113</v>
      </c>
      <c r="D23" s="133"/>
      <c r="E23" s="133"/>
      <c r="F23" s="133"/>
      <c r="G23" s="133"/>
      <c r="H23" s="133"/>
      <c r="I23" s="133"/>
      <c r="J23" s="133"/>
      <c r="K23" s="133"/>
      <c r="L23" s="133"/>
      <c r="M23" s="133"/>
      <c r="N23" s="133"/>
      <c r="O23" s="133"/>
      <c r="Y23" s="124"/>
    </row>
    <row r="24" spans="2:27" x14ac:dyDescent="0.25">
      <c r="B24" s="134">
        <v>2</v>
      </c>
      <c r="C24" s="133" t="s">
        <v>103</v>
      </c>
      <c r="D24" s="133"/>
      <c r="E24" s="133"/>
      <c r="F24" s="133"/>
      <c r="G24" s="133"/>
      <c r="H24" s="133"/>
      <c r="I24" s="133"/>
      <c r="J24" s="133"/>
      <c r="K24" s="133"/>
      <c r="L24" s="133"/>
      <c r="M24" s="133"/>
      <c r="N24" s="133"/>
      <c r="O24" s="133"/>
      <c r="Y24" s="125"/>
    </row>
    <row r="25" spans="2:27" x14ac:dyDescent="0.25">
      <c r="B25" s="134">
        <v>3</v>
      </c>
      <c r="C25" s="133" t="s">
        <v>44</v>
      </c>
      <c r="D25" s="133"/>
      <c r="E25" s="133"/>
      <c r="F25" s="133"/>
      <c r="G25" s="133"/>
      <c r="H25" s="133"/>
      <c r="I25" s="133"/>
      <c r="J25" s="133"/>
      <c r="K25" s="133"/>
      <c r="L25" s="133"/>
      <c r="M25" s="133"/>
      <c r="N25" s="133"/>
      <c r="O25" s="133"/>
      <c r="Y25" s="135"/>
    </row>
    <row r="26" spans="2:27" x14ac:dyDescent="0.25">
      <c r="B26" s="134">
        <v>4</v>
      </c>
      <c r="C26" s="133" t="s">
        <v>118</v>
      </c>
      <c r="D26" s="133"/>
      <c r="E26" s="133"/>
      <c r="F26" s="133"/>
      <c r="G26" s="133"/>
      <c r="H26" s="133"/>
      <c r="I26" s="133"/>
      <c r="J26" s="133"/>
      <c r="K26" s="133"/>
      <c r="L26" s="133"/>
      <c r="M26" s="133"/>
      <c r="N26" s="133"/>
      <c r="O26" s="133"/>
      <c r="Y26" s="135"/>
    </row>
    <row r="27" spans="2:27" x14ac:dyDescent="0.25">
      <c r="B27" s="134">
        <v>5</v>
      </c>
      <c r="C27" s="133" t="s">
        <v>78</v>
      </c>
      <c r="D27" s="133"/>
      <c r="E27" s="133"/>
      <c r="F27" s="133"/>
      <c r="G27" s="133"/>
      <c r="H27" s="133"/>
      <c r="I27" s="133"/>
      <c r="J27" s="133"/>
      <c r="K27" s="133"/>
      <c r="L27" s="133"/>
      <c r="M27" s="133"/>
      <c r="N27" s="133"/>
      <c r="O27" s="133"/>
      <c r="Y27" s="124"/>
    </row>
    <row r="28" spans="2:27" x14ac:dyDescent="0.25">
      <c r="B28" s="134">
        <v>6</v>
      </c>
      <c r="C28" s="133" t="s">
        <v>79</v>
      </c>
      <c r="D28" s="133"/>
      <c r="E28" s="133"/>
      <c r="F28" s="133"/>
      <c r="G28" s="133"/>
      <c r="H28" s="133"/>
      <c r="I28" s="133"/>
      <c r="J28" s="133"/>
      <c r="K28" s="133"/>
      <c r="L28" s="133"/>
      <c r="M28" s="133"/>
      <c r="N28" s="133"/>
      <c r="O28" s="133"/>
      <c r="Y28" s="125"/>
    </row>
    <row r="29" spans="2:27" x14ac:dyDescent="0.25">
      <c r="B29" s="134">
        <v>7</v>
      </c>
      <c r="C29" s="133" t="s">
        <v>80</v>
      </c>
      <c r="D29" s="133"/>
      <c r="E29" s="133"/>
      <c r="F29" s="133"/>
      <c r="G29" s="133"/>
      <c r="H29" s="133"/>
      <c r="I29" s="133"/>
      <c r="J29" s="133"/>
      <c r="K29" s="133"/>
      <c r="L29" s="133"/>
      <c r="M29" s="133"/>
      <c r="N29" s="133"/>
      <c r="O29" s="133"/>
      <c r="P29" s="133"/>
      <c r="Q29" s="133"/>
    </row>
    <row r="30" spans="2:27" x14ac:dyDescent="0.25">
      <c r="B30" s="134">
        <v>8</v>
      </c>
      <c r="C30" s="133" t="s">
        <v>50</v>
      </c>
      <c r="D30" s="133"/>
      <c r="E30" s="133"/>
      <c r="F30" s="133"/>
      <c r="G30" s="133"/>
      <c r="H30" s="133"/>
      <c r="I30" s="133"/>
      <c r="J30" s="133"/>
      <c r="K30" s="133"/>
      <c r="L30" s="133"/>
      <c r="M30" s="133"/>
      <c r="N30" s="133"/>
      <c r="O30" s="133"/>
      <c r="P30" s="133"/>
      <c r="Q30" s="133"/>
    </row>
    <row r="31" spans="2:27" x14ac:dyDescent="0.25">
      <c r="B31" s="134">
        <v>9</v>
      </c>
      <c r="C31" s="133" t="s">
        <v>81</v>
      </c>
      <c r="D31" s="133"/>
      <c r="E31" s="133"/>
      <c r="F31" s="133"/>
      <c r="G31" s="133"/>
      <c r="H31" s="133"/>
      <c r="I31" s="133"/>
      <c r="J31" s="133"/>
      <c r="K31" s="133"/>
      <c r="L31" s="133"/>
      <c r="M31" s="133"/>
      <c r="N31" s="133"/>
      <c r="O31" s="133"/>
      <c r="P31" s="133"/>
      <c r="Q31" s="133"/>
    </row>
    <row r="32" spans="2:27" x14ac:dyDescent="0.25">
      <c r="B32" s="134">
        <v>10</v>
      </c>
      <c r="C32" s="53" t="s">
        <v>82</v>
      </c>
    </row>
    <row r="33" spans="2:20" x14ac:dyDescent="0.25">
      <c r="B33" s="134">
        <v>11</v>
      </c>
      <c r="C33" s="53" t="s">
        <v>101</v>
      </c>
    </row>
    <row r="34" spans="2:20" ht="15.6" x14ac:dyDescent="0.3">
      <c r="B34" s="136"/>
      <c r="C34" s="5"/>
      <c r="D34" s="5"/>
      <c r="E34" s="5"/>
      <c r="F34" s="5"/>
    </row>
    <row r="35" spans="2:20" ht="15.6" x14ac:dyDescent="0.3">
      <c r="B35" s="136"/>
      <c r="C35" s="201"/>
      <c r="D35" s="5"/>
      <c r="E35" s="5"/>
      <c r="F35" s="5"/>
    </row>
    <row r="37" spans="2:20" x14ac:dyDescent="0.25">
      <c r="F37" s="119"/>
      <c r="G37" s="137"/>
      <c r="H37" s="137"/>
      <c r="I37" s="137"/>
      <c r="J37" s="137"/>
      <c r="K37" s="137"/>
      <c r="L37" s="137"/>
      <c r="M37" s="137"/>
      <c r="N37" s="137"/>
      <c r="O37" s="137"/>
      <c r="P37" s="137"/>
      <c r="Q37" s="137"/>
      <c r="R37" s="137"/>
      <c r="S37" s="137"/>
      <c r="T37" s="137"/>
    </row>
    <row r="38" spans="2:20" x14ac:dyDescent="0.25">
      <c r="G38" s="137"/>
      <c r="H38" s="137"/>
      <c r="I38" s="137"/>
      <c r="J38" s="137"/>
      <c r="K38" s="137"/>
      <c r="L38" s="137"/>
      <c r="M38" s="137"/>
      <c r="N38" s="137"/>
      <c r="O38" s="137"/>
      <c r="P38" s="137"/>
      <c r="Q38" s="137"/>
      <c r="R38" s="137"/>
      <c r="S38" s="137"/>
      <c r="T38" s="137"/>
    </row>
    <row r="39" spans="2:20" x14ac:dyDescent="0.25">
      <c r="F39" s="119"/>
      <c r="G39" s="119"/>
      <c r="H39" s="119"/>
      <c r="I39" s="119"/>
      <c r="J39" s="119"/>
      <c r="K39" s="119"/>
      <c r="L39" s="119"/>
      <c r="M39" s="119"/>
      <c r="N39" s="119"/>
      <c r="O39" s="119"/>
      <c r="P39" s="119"/>
      <c r="Q39" s="119"/>
      <c r="R39" s="119"/>
      <c r="S39" s="119"/>
      <c r="T39" s="119"/>
    </row>
    <row r="40" spans="2:20" x14ac:dyDescent="0.25">
      <c r="D40" s="129"/>
    </row>
  </sheetData>
  <customSheetViews>
    <customSheetView guid="{78103E26-15C6-4D37-9879-762EF0B43905}" fitToPage="1">
      <selection activeCell="H5" sqref="H5"/>
      <pageMargins left="0.75" right="0.5" top="0.76" bottom="0.79" header="0.5" footer="0.26"/>
      <pageSetup scale="35" orientation="landscape" r:id="rId1"/>
      <headerFooter alignWithMargins="0">
        <oddFooter>&amp;L&amp;F&amp;C&amp;A&amp;RPSE Advice No. 2018-48 &amp;D
Page &amp;P of &amp;N</oddFooter>
      </headerFooter>
    </customSheetView>
  </customSheetViews>
  <dataValidations count="3">
    <dataValidation type="decimal" operator="greaterThan" allowBlank="1" showInputMessage="1" showErrorMessage="1" sqref="C5:D5">
      <formula1>0</formula1>
    </dataValidation>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s>
  <pageMargins left="0.75" right="0.5" top="0.76" bottom="0.79" header="0.5" footer="0.26"/>
  <pageSetup scale="35" orientation="landscape" r:id="rId2"/>
  <headerFooter alignWithMargins="0">
    <oddFooter>&amp;L&amp;F&amp;C&amp;A&amp;RPSE Advice No. 2018-48 &amp;D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E40"/>
  <sheetViews>
    <sheetView workbookViewId="0"/>
  </sheetViews>
  <sheetFormatPr defaultColWidth="9.109375" defaultRowHeight="15" x14ac:dyDescent="0.25"/>
  <cols>
    <col min="1" max="1" width="2.6640625" style="53" customWidth="1"/>
    <col min="2" max="2" width="5" style="53" customWidth="1"/>
    <col min="3" max="3" width="46.6640625" style="53" customWidth="1"/>
    <col min="4" max="4" width="2.6640625" style="53" customWidth="1"/>
    <col min="5" max="22" width="12.6640625" style="53" customWidth="1"/>
    <col min="23" max="23" width="2.6640625" style="53" customWidth="1"/>
    <col min="24" max="25" width="12.6640625" style="53" customWidth="1"/>
    <col min="26" max="30" width="12.33203125" style="53" customWidth="1"/>
    <col min="31" max="16384" width="9.109375" style="53"/>
  </cols>
  <sheetData>
    <row r="2" spans="2:31" ht="19.5" customHeight="1" x14ac:dyDescent="0.3">
      <c r="C2" s="207" t="s">
        <v>83</v>
      </c>
      <c r="D2" s="207"/>
      <c r="E2" s="207"/>
      <c r="F2" s="207"/>
      <c r="G2" s="207"/>
      <c r="H2" s="207"/>
      <c r="I2" s="207"/>
      <c r="J2" s="207"/>
      <c r="K2" s="207"/>
      <c r="L2" s="207"/>
    </row>
    <row r="3" spans="2:31" ht="15.6" x14ac:dyDescent="0.3">
      <c r="C3" s="42" t="s">
        <v>42</v>
      </c>
    </row>
    <row r="4" spans="2:31" s="110" customFormat="1" ht="45" x14ac:dyDescent="0.25">
      <c r="B4" s="109"/>
      <c r="C4" s="144" t="s">
        <v>0</v>
      </c>
      <c r="D4" s="144"/>
      <c r="E4" s="144" t="s">
        <v>1</v>
      </c>
      <c r="F4" s="144" t="s">
        <v>2</v>
      </c>
      <c r="G4" s="144" t="s">
        <v>3</v>
      </c>
      <c r="H4" s="144" t="s">
        <v>4</v>
      </c>
      <c r="I4" s="144" t="s">
        <v>5</v>
      </c>
      <c r="J4" s="144" t="s">
        <v>6</v>
      </c>
      <c r="K4" s="144" t="s">
        <v>7</v>
      </c>
      <c r="L4" s="145" t="s">
        <v>14</v>
      </c>
      <c r="M4" s="145"/>
    </row>
    <row r="5" spans="2:31" x14ac:dyDescent="0.25">
      <c r="C5" s="147"/>
      <c r="D5" s="148"/>
      <c r="E5" s="149">
        <v>15</v>
      </c>
      <c r="F5" s="283">
        <f>+'Capacity Delivered'!$H$5</f>
        <v>0.17799999999999999</v>
      </c>
      <c r="G5" s="150" t="s">
        <v>8</v>
      </c>
      <c r="H5" s="151">
        <f>'Electric EES CE Std Energy'!D23</f>
        <v>2.356871902062823E-2</v>
      </c>
      <c r="I5" s="152">
        <f>'Wind Avoided Capacity Calcs'!Y21</f>
        <v>6.9678822683410177E-3</v>
      </c>
      <c r="J5" s="152">
        <f>H5+I5</f>
        <v>3.0536601288969248E-2</v>
      </c>
      <c r="K5" s="153">
        <f>J5</f>
        <v>3.0536601288969248E-2</v>
      </c>
      <c r="L5" s="154">
        <f>K5*1000</f>
        <v>30.536601288969248</v>
      </c>
      <c r="M5" s="138"/>
    </row>
    <row r="6" spans="2:31" ht="15.6" x14ac:dyDescent="0.3">
      <c r="C6" s="146"/>
      <c r="D6" s="146"/>
      <c r="E6" s="113"/>
      <c r="F6" s="113"/>
      <c r="G6" s="113"/>
      <c r="H6" s="32">
        <f>H5*1000</f>
        <v>23.56871902062823</v>
      </c>
      <c r="I6" s="32">
        <f t="shared" ref="I6:K6" si="0">I5*1000</f>
        <v>6.9678822683410173</v>
      </c>
      <c r="J6" s="32">
        <f t="shared" si="0"/>
        <v>30.536601288969248</v>
      </c>
      <c r="K6" s="32">
        <f t="shared" si="0"/>
        <v>30.536601288969248</v>
      </c>
      <c r="L6" s="115">
        <f>L5*(1-M6)</f>
        <v>29.620503250300171</v>
      </c>
      <c r="M6" s="232">
        <v>0.03</v>
      </c>
      <c r="N6" s="116" t="s">
        <v>36</v>
      </c>
    </row>
    <row r="7" spans="2:31" x14ac:dyDescent="0.25">
      <c r="C7" s="117"/>
      <c r="D7" s="114"/>
      <c r="H7" s="40"/>
      <c r="I7" s="112"/>
      <c r="J7" s="40"/>
      <c r="K7" s="112"/>
      <c r="L7" s="112"/>
      <c r="M7" s="113"/>
    </row>
    <row r="8" spans="2:31" ht="15.6" x14ac:dyDescent="0.3">
      <c r="C8" s="113"/>
      <c r="D8" s="113"/>
      <c r="E8" s="113"/>
      <c r="F8" s="113"/>
      <c r="G8" s="113"/>
      <c r="H8" s="118"/>
      <c r="I8" s="118"/>
      <c r="J8" s="118"/>
      <c r="K8" s="118"/>
      <c r="L8" s="118"/>
      <c r="M8" s="118"/>
      <c r="N8" s="118"/>
      <c r="O8" s="118"/>
      <c r="P8" s="118"/>
      <c r="Q8" s="118"/>
      <c r="R8" s="118"/>
      <c r="S8" s="118"/>
      <c r="T8" s="118"/>
      <c r="U8" s="119"/>
      <c r="V8" s="119"/>
      <c r="W8" s="119"/>
      <c r="X8" s="198" t="s">
        <v>73</v>
      </c>
      <c r="Y8" s="119"/>
      <c r="Z8" s="119"/>
      <c r="AA8" s="119"/>
      <c r="AB8" s="119"/>
      <c r="AC8" s="119"/>
    </row>
    <row r="9" spans="2:31" x14ac:dyDescent="0.25">
      <c r="C9" s="120" t="s">
        <v>9</v>
      </c>
      <c r="D9" s="120"/>
      <c r="E9" s="120"/>
      <c r="F9" s="121">
        <f>+L6</f>
        <v>29.620503250300171</v>
      </c>
      <c r="G9" s="121">
        <f t="shared" ref="G9:T9" si="1">F9</f>
        <v>29.620503250300171</v>
      </c>
      <c r="H9" s="121">
        <f t="shared" si="1"/>
        <v>29.620503250300171</v>
      </c>
      <c r="I9" s="121">
        <f t="shared" si="1"/>
        <v>29.620503250300171</v>
      </c>
      <c r="J9" s="121">
        <f t="shared" si="1"/>
        <v>29.620503250300171</v>
      </c>
      <c r="K9" s="121">
        <f t="shared" si="1"/>
        <v>29.620503250300171</v>
      </c>
      <c r="L9" s="121">
        <f t="shared" si="1"/>
        <v>29.620503250300171</v>
      </c>
      <c r="M9" s="121">
        <f t="shared" si="1"/>
        <v>29.620503250300171</v>
      </c>
      <c r="N9" s="121">
        <f t="shared" si="1"/>
        <v>29.620503250300171</v>
      </c>
      <c r="O9" s="121">
        <f t="shared" si="1"/>
        <v>29.620503250300171</v>
      </c>
      <c r="P9" s="121">
        <f t="shared" si="1"/>
        <v>29.620503250300171</v>
      </c>
      <c r="Q9" s="121">
        <f t="shared" si="1"/>
        <v>29.620503250300171</v>
      </c>
      <c r="R9" s="121">
        <f t="shared" si="1"/>
        <v>29.620503250300171</v>
      </c>
      <c r="S9" s="121">
        <f t="shared" si="1"/>
        <v>29.620503250300171</v>
      </c>
      <c r="T9" s="121">
        <f t="shared" si="1"/>
        <v>29.620503250300171</v>
      </c>
      <c r="U9" s="40"/>
      <c r="V9" s="40"/>
      <c r="W9" s="40"/>
      <c r="X9" s="197">
        <f>NPV(Rate_of_Return,F9:T9)</f>
        <v>263.25929064430107</v>
      </c>
      <c r="Y9" s="197">
        <f>-PMT(Rate_of_Return,15,X9)</f>
        <v>29.620503250300164</v>
      </c>
      <c r="Z9" s="40"/>
      <c r="AA9" s="40"/>
      <c r="AB9" s="40"/>
    </row>
    <row r="10" spans="2:31" x14ac:dyDescent="0.25">
      <c r="C10" s="113"/>
      <c r="D10" s="113"/>
      <c r="E10" s="113"/>
      <c r="F10" s="122"/>
      <c r="G10" s="122"/>
      <c r="H10" s="122"/>
      <c r="I10" s="122"/>
      <c r="J10" s="122"/>
      <c r="K10" s="122"/>
      <c r="L10" s="122"/>
      <c r="M10" s="122"/>
      <c r="N10" s="122"/>
      <c r="O10" s="122"/>
      <c r="P10" s="122"/>
      <c r="Q10" s="122"/>
      <c r="R10" s="122"/>
      <c r="S10" s="122"/>
      <c r="T10" s="122"/>
      <c r="U10" s="40"/>
      <c r="V10" s="40"/>
      <c r="W10" s="40"/>
      <c r="X10" s="32"/>
      <c r="Y10" s="32"/>
      <c r="Z10" s="40"/>
      <c r="AA10" s="40"/>
      <c r="AB10" s="40"/>
    </row>
    <row r="11" spans="2:31" x14ac:dyDescent="0.25">
      <c r="C11" s="53" t="s">
        <v>55</v>
      </c>
      <c r="F11" s="202">
        <v>1</v>
      </c>
      <c r="G11" s="202">
        <v>2</v>
      </c>
      <c r="H11" s="202">
        <v>3</v>
      </c>
      <c r="I11" s="202">
        <v>4</v>
      </c>
      <c r="J11" s="202">
        <v>5</v>
      </c>
      <c r="K11" s="202">
        <v>6</v>
      </c>
      <c r="L11" s="202">
        <v>7</v>
      </c>
      <c r="M11" s="202">
        <v>8</v>
      </c>
      <c r="N11" s="202">
        <v>9</v>
      </c>
      <c r="O11" s="202">
        <v>10</v>
      </c>
      <c r="P11" s="202">
        <v>11</v>
      </c>
      <c r="Q11" s="202">
        <v>12</v>
      </c>
      <c r="R11" s="202">
        <v>13</v>
      </c>
      <c r="S11" s="202">
        <v>14</v>
      </c>
      <c r="T11" s="202">
        <v>15</v>
      </c>
      <c r="U11" s="202">
        <v>16</v>
      </c>
      <c r="V11" s="202">
        <v>17</v>
      </c>
      <c r="W11" s="40"/>
      <c r="X11" s="40"/>
      <c r="Y11" s="40"/>
      <c r="Z11" s="40"/>
      <c r="AA11" s="40"/>
      <c r="AB11" s="40"/>
    </row>
    <row r="12" spans="2:31" ht="15.6" x14ac:dyDescent="0.3">
      <c r="C12" s="113"/>
      <c r="D12" s="111"/>
      <c r="E12" s="113"/>
      <c r="F12" s="123">
        <f>'Energy Prices'!$C$6</f>
        <v>2021</v>
      </c>
      <c r="G12" s="123">
        <f>F12+1</f>
        <v>2022</v>
      </c>
      <c r="H12" s="123">
        <f>G12+1</f>
        <v>2023</v>
      </c>
      <c r="I12" s="123">
        <f t="shared" ref="I12:T12" si="2">H12+1</f>
        <v>2024</v>
      </c>
      <c r="J12" s="123">
        <f t="shared" si="2"/>
        <v>2025</v>
      </c>
      <c r="K12" s="123">
        <f t="shared" si="2"/>
        <v>2026</v>
      </c>
      <c r="L12" s="123">
        <f t="shared" si="2"/>
        <v>2027</v>
      </c>
      <c r="M12" s="123">
        <f t="shared" si="2"/>
        <v>2028</v>
      </c>
      <c r="N12" s="123">
        <f t="shared" si="2"/>
        <v>2029</v>
      </c>
      <c r="O12" s="123">
        <f t="shared" si="2"/>
        <v>2030</v>
      </c>
      <c r="P12" s="123">
        <f t="shared" si="2"/>
        <v>2031</v>
      </c>
      <c r="Q12" s="123">
        <f t="shared" si="2"/>
        <v>2032</v>
      </c>
      <c r="R12" s="123">
        <f t="shared" si="2"/>
        <v>2033</v>
      </c>
      <c r="S12" s="123">
        <f t="shared" si="2"/>
        <v>2034</v>
      </c>
      <c r="T12" s="123">
        <f t="shared" si="2"/>
        <v>2035</v>
      </c>
      <c r="U12" s="123">
        <f>T12+1</f>
        <v>2036</v>
      </c>
      <c r="V12" s="123">
        <f>U12+1</f>
        <v>2037</v>
      </c>
      <c r="W12" s="200"/>
      <c r="X12" s="198" t="s">
        <v>73</v>
      </c>
      <c r="Y12" s="32"/>
      <c r="Z12" s="119"/>
      <c r="AA12" s="119"/>
      <c r="AB12" s="119"/>
    </row>
    <row r="13" spans="2:31" ht="52.95" customHeight="1" x14ac:dyDescent="0.25">
      <c r="B13" s="113"/>
      <c r="C13" s="204" t="s">
        <v>76</v>
      </c>
      <c r="D13" s="113"/>
      <c r="F13" s="155">
        <f t="shared" ref="F13:T13" si="3">F$9*F$20</f>
        <v>25.595759292413568</v>
      </c>
      <c r="G13" s="156">
        <f t="shared" si="3"/>
        <v>26.235653274723905</v>
      </c>
      <c r="H13" s="157">
        <f t="shared" si="3"/>
        <v>26.891544606591999</v>
      </c>
      <c r="I13" s="157">
        <f t="shared" si="3"/>
        <v>27.563833221756799</v>
      </c>
      <c r="J13" s="157">
        <f t="shared" si="3"/>
        <v>28.252929052300718</v>
      </c>
      <c r="K13" s="157">
        <f t="shared" si="3"/>
        <v>28.959252278608233</v>
      </c>
      <c r="L13" s="157">
        <f t="shared" si="3"/>
        <v>29.683233585573433</v>
      </c>
      <c r="M13" s="157">
        <f t="shared" si="3"/>
        <v>30.425314425212768</v>
      </c>
      <c r="N13" s="157">
        <f t="shared" si="3"/>
        <v>31.185947285843085</v>
      </c>
      <c r="O13" s="157">
        <f t="shared" si="3"/>
        <v>31.965595967989159</v>
      </c>
      <c r="P13" s="157">
        <f t="shared" si="3"/>
        <v>32.764735867188882</v>
      </c>
      <c r="Q13" s="157">
        <f t="shared" si="3"/>
        <v>33.583854263868595</v>
      </c>
      <c r="R13" s="157">
        <f t="shared" si="3"/>
        <v>34.42345062046531</v>
      </c>
      <c r="S13" s="157">
        <f t="shared" si="3"/>
        <v>35.284036885976938</v>
      </c>
      <c r="T13" s="157">
        <f t="shared" si="3"/>
        <v>36.166137808126358</v>
      </c>
      <c r="U13" s="199">
        <f>T13*1.025</f>
        <v>37.070291253329515</v>
      </c>
      <c r="V13" s="199">
        <f>U13*1.025</f>
        <v>37.997048534662753</v>
      </c>
      <c r="W13" s="125"/>
      <c r="X13" s="197">
        <f>NPV(Rate_of_Return,F13:T13)</f>
        <v>263.25929064430119</v>
      </c>
      <c r="Y13" s="197">
        <f>-PMT(Rate_of_Return,15,X13)</f>
        <v>29.620503250300178</v>
      </c>
      <c r="Z13" s="125"/>
      <c r="AA13" s="125"/>
      <c r="AB13" s="125"/>
      <c r="AE13" s="126"/>
    </row>
    <row r="14" spans="2:31" x14ac:dyDescent="0.25">
      <c r="C14" s="124"/>
      <c r="E14" s="127"/>
      <c r="F14" s="125"/>
      <c r="G14" s="125"/>
      <c r="H14" s="125"/>
      <c r="I14" s="125"/>
      <c r="J14" s="125"/>
      <c r="K14" s="125"/>
      <c r="L14" s="125"/>
      <c r="M14" s="125"/>
      <c r="N14" s="125"/>
      <c r="O14" s="125"/>
      <c r="P14" s="125"/>
      <c r="Q14" s="125"/>
      <c r="R14" s="125"/>
      <c r="S14" s="125"/>
      <c r="T14" s="125"/>
      <c r="U14" s="125"/>
      <c r="V14" s="125"/>
      <c r="W14" s="125"/>
      <c r="X14" s="119"/>
      <c r="Y14" s="119"/>
      <c r="Z14" s="119"/>
      <c r="AA14" s="119"/>
      <c r="AB14" s="119"/>
      <c r="AC14" s="119"/>
    </row>
    <row r="15" spans="2:31" x14ac:dyDescent="0.25">
      <c r="C15" s="128"/>
      <c r="E15" s="127"/>
      <c r="F15" s="125"/>
      <c r="G15" s="125"/>
      <c r="H15" s="125"/>
      <c r="I15" s="125"/>
      <c r="J15" s="125"/>
      <c r="K15" s="125"/>
      <c r="L15" s="125"/>
      <c r="M15" s="125"/>
      <c r="N15" s="125"/>
      <c r="O15" s="125"/>
      <c r="P15" s="125"/>
      <c r="Q15" s="125"/>
      <c r="R15" s="125"/>
      <c r="S15" s="125"/>
      <c r="T15" s="125"/>
      <c r="U15" s="125"/>
      <c r="V15" s="125"/>
      <c r="W15" s="125"/>
      <c r="X15" s="119"/>
      <c r="Y15" s="119"/>
      <c r="Z15" s="119"/>
      <c r="AA15" s="119"/>
      <c r="AB15" s="119"/>
      <c r="AC15" s="119"/>
    </row>
    <row r="16" spans="2:31" x14ac:dyDescent="0.25">
      <c r="C16" s="53" t="s">
        <v>10</v>
      </c>
      <c r="Q16" s="119"/>
      <c r="R16" s="119"/>
    </row>
    <row r="17" spans="2:28" x14ac:dyDescent="0.25">
      <c r="Q17" s="119"/>
      <c r="R17" s="119"/>
    </row>
    <row r="18" spans="2:28" ht="15.6" x14ac:dyDescent="0.3">
      <c r="C18" s="113"/>
      <c r="D18" s="113"/>
      <c r="E18" s="113"/>
      <c r="F18" s="113"/>
      <c r="G18" s="113"/>
      <c r="H18" s="113"/>
      <c r="I18" s="113"/>
      <c r="J18" s="113"/>
      <c r="K18" s="113"/>
      <c r="L18" s="113"/>
      <c r="M18" s="113"/>
      <c r="N18" s="113"/>
      <c r="O18" s="113"/>
      <c r="P18" s="113"/>
      <c r="Q18" s="118"/>
      <c r="R18" s="118"/>
      <c r="S18" s="113"/>
      <c r="T18" s="113"/>
      <c r="X18" s="198" t="s">
        <v>73</v>
      </c>
      <c r="Y18" s="113"/>
    </row>
    <row r="19" spans="2:28" x14ac:dyDescent="0.25">
      <c r="C19" s="120" t="s">
        <v>11</v>
      </c>
      <c r="D19" s="120"/>
      <c r="E19" s="120"/>
      <c r="F19" s="139">
        <v>100</v>
      </c>
      <c r="G19" s="139">
        <f t="shared" ref="G19:T19" si="4">F19*1.025</f>
        <v>102.49999999999999</v>
      </c>
      <c r="H19" s="139">
        <f t="shared" si="4"/>
        <v>105.06249999999997</v>
      </c>
      <c r="I19" s="139">
        <f t="shared" si="4"/>
        <v>107.68906249999996</v>
      </c>
      <c r="J19" s="139">
        <f t="shared" si="4"/>
        <v>110.38128906249996</v>
      </c>
      <c r="K19" s="139">
        <f t="shared" si="4"/>
        <v>113.14082128906244</v>
      </c>
      <c r="L19" s="139">
        <f>K19*1.025</f>
        <v>115.96934182128899</v>
      </c>
      <c r="M19" s="139">
        <f t="shared" si="4"/>
        <v>118.8685753668212</v>
      </c>
      <c r="N19" s="139">
        <f t="shared" si="4"/>
        <v>121.84028975099173</v>
      </c>
      <c r="O19" s="139">
        <f t="shared" si="4"/>
        <v>124.88629699476651</v>
      </c>
      <c r="P19" s="139">
        <f t="shared" si="4"/>
        <v>128.00845441963565</v>
      </c>
      <c r="Q19" s="139">
        <f t="shared" si="4"/>
        <v>131.20866578012652</v>
      </c>
      <c r="R19" s="139">
        <f t="shared" si="4"/>
        <v>134.48888242462968</v>
      </c>
      <c r="S19" s="139">
        <f t="shared" si="4"/>
        <v>137.8511044852454</v>
      </c>
      <c r="T19" s="139">
        <f t="shared" si="4"/>
        <v>141.29738209737653</v>
      </c>
      <c r="U19" s="129"/>
      <c r="V19" s="129"/>
      <c r="W19" s="129"/>
      <c r="X19" s="159">
        <f>NPV(Rate_of_Return,F19:T19)</f>
        <v>1028.5269822893265</v>
      </c>
      <c r="Y19" s="159">
        <f>-PMT(Rate_of_Return,15,X19)</f>
        <v>115.72426085081801</v>
      </c>
      <c r="Z19" s="119"/>
      <c r="AA19" s="119"/>
      <c r="AB19" s="119"/>
    </row>
    <row r="20" spans="2:28" x14ac:dyDescent="0.25">
      <c r="C20" s="142" t="s">
        <v>12</v>
      </c>
      <c r="D20" s="142"/>
      <c r="E20" s="142"/>
      <c r="F20" s="143">
        <f>F19/$Y$19</f>
        <v>0.86412303923817313</v>
      </c>
      <c r="G20" s="143">
        <f t="shared" ref="G20:T20" si="5">G19/$Y$19</f>
        <v>0.88572611521912736</v>
      </c>
      <c r="H20" s="143">
        <f t="shared" si="5"/>
        <v>0.90786926809960544</v>
      </c>
      <c r="I20" s="143">
        <f t="shared" si="5"/>
        <v>0.93056599980209553</v>
      </c>
      <c r="J20" s="143">
        <f t="shared" si="5"/>
        <v>0.95383014979714786</v>
      </c>
      <c r="K20" s="143">
        <f t="shared" si="5"/>
        <v>0.97767590354207645</v>
      </c>
      <c r="L20" s="143">
        <f t="shared" si="5"/>
        <v>1.0021178011306282</v>
      </c>
      <c r="M20" s="143">
        <f t="shared" si="5"/>
        <v>1.0271707461588939</v>
      </c>
      <c r="N20" s="143">
        <f t="shared" si="5"/>
        <v>1.0528500148128661</v>
      </c>
      <c r="O20" s="143">
        <f t="shared" si="5"/>
        <v>1.0791712651831877</v>
      </c>
      <c r="P20" s="143">
        <f t="shared" si="5"/>
        <v>1.1061505468127673</v>
      </c>
      <c r="Q20" s="143">
        <f t="shared" si="5"/>
        <v>1.1338043104830862</v>
      </c>
      <c r="R20" s="143">
        <f t="shared" si="5"/>
        <v>1.1621494182451633</v>
      </c>
      <c r="S20" s="143">
        <f t="shared" si="5"/>
        <v>1.1912031537012922</v>
      </c>
      <c r="T20" s="143">
        <f t="shared" si="5"/>
        <v>1.2209832325438243</v>
      </c>
      <c r="U20" s="130"/>
      <c r="V20" s="130"/>
      <c r="W20" s="130"/>
      <c r="X20" s="158">
        <f>NPV(Rate_of_Return,F20:T20)</f>
        <v>8.8877386187431942</v>
      </c>
      <c r="Y20" s="158">
        <f>-PMT(Rate_of_Return,15,X20)</f>
        <v>1</v>
      </c>
      <c r="Z20" s="119"/>
      <c r="AA20" s="119"/>
      <c r="AB20" s="119"/>
    </row>
    <row r="21" spans="2:28" x14ac:dyDescent="0.25">
      <c r="C21" s="113"/>
      <c r="D21" s="113"/>
      <c r="E21" s="140"/>
      <c r="F21" s="140"/>
      <c r="G21" s="140"/>
      <c r="H21" s="140"/>
      <c r="I21" s="140"/>
      <c r="J21" s="140"/>
      <c r="K21" s="140"/>
      <c r="L21" s="140"/>
      <c r="M21" s="141"/>
      <c r="N21" s="141"/>
      <c r="O21" s="141"/>
      <c r="P21" s="141"/>
      <c r="Q21" s="141"/>
      <c r="R21" s="141"/>
      <c r="S21" s="141"/>
      <c r="T21" s="141"/>
      <c r="X21" s="113"/>
      <c r="Y21" s="113"/>
    </row>
    <row r="22" spans="2:28" x14ac:dyDescent="0.25">
      <c r="B22" s="131" t="s">
        <v>13</v>
      </c>
      <c r="C22" s="132"/>
      <c r="D22" s="133"/>
      <c r="E22" s="133"/>
      <c r="F22" s="133"/>
      <c r="G22" s="133"/>
      <c r="H22" s="133"/>
      <c r="I22" s="133"/>
      <c r="J22" s="133"/>
      <c r="K22" s="133"/>
      <c r="L22" s="133"/>
      <c r="M22" s="133"/>
      <c r="N22" s="133"/>
      <c r="O22" s="133"/>
      <c r="Z22" s="128"/>
    </row>
    <row r="23" spans="2:28" x14ac:dyDescent="0.25">
      <c r="B23" s="134">
        <v>1</v>
      </c>
      <c r="C23" s="280" t="s">
        <v>113</v>
      </c>
      <c r="D23" s="133"/>
      <c r="E23" s="133"/>
      <c r="F23" s="133"/>
      <c r="G23" s="133"/>
      <c r="H23" s="133"/>
      <c r="I23" s="133"/>
      <c r="J23" s="133"/>
      <c r="K23" s="133"/>
      <c r="L23" s="133"/>
      <c r="M23" s="133"/>
      <c r="N23" s="133"/>
      <c r="O23" s="133"/>
      <c r="Z23" s="124"/>
    </row>
    <row r="24" spans="2:28" x14ac:dyDescent="0.25">
      <c r="B24" s="134">
        <v>2</v>
      </c>
      <c r="C24" s="133" t="s">
        <v>103</v>
      </c>
      <c r="D24" s="133"/>
      <c r="E24" s="133"/>
      <c r="F24" s="133"/>
      <c r="G24" s="133"/>
      <c r="H24" s="133"/>
      <c r="I24" s="133"/>
      <c r="J24" s="133"/>
      <c r="K24" s="133"/>
      <c r="L24" s="133"/>
      <c r="M24" s="133"/>
      <c r="N24" s="133"/>
      <c r="O24" s="133"/>
      <c r="Z24" s="125"/>
    </row>
    <row r="25" spans="2:28" x14ac:dyDescent="0.25">
      <c r="B25" s="134">
        <v>3</v>
      </c>
      <c r="C25" s="133" t="s">
        <v>44</v>
      </c>
      <c r="D25" s="133"/>
      <c r="E25" s="133"/>
      <c r="F25" s="133"/>
      <c r="G25" s="133"/>
      <c r="H25" s="133"/>
      <c r="I25" s="133"/>
      <c r="J25" s="133"/>
      <c r="K25" s="133"/>
      <c r="L25" s="133"/>
      <c r="M25" s="133"/>
      <c r="N25" s="133"/>
      <c r="O25" s="133"/>
      <c r="Z25" s="135"/>
    </row>
    <row r="26" spans="2:28" x14ac:dyDescent="0.25">
      <c r="B26" s="134">
        <v>4</v>
      </c>
      <c r="C26" s="133" t="s">
        <v>118</v>
      </c>
      <c r="D26" s="133"/>
      <c r="E26" s="133"/>
      <c r="F26" s="133"/>
      <c r="G26" s="133"/>
      <c r="H26" s="133"/>
      <c r="I26" s="133"/>
      <c r="J26" s="133"/>
      <c r="K26" s="133"/>
      <c r="L26" s="133"/>
      <c r="M26" s="133"/>
      <c r="N26" s="133"/>
      <c r="O26" s="133"/>
      <c r="Z26" s="135"/>
    </row>
    <row r="27" spans="2:28" x14ac:dyDescent="0.25">
      <c r="B27" s="134">
        <v>5</v>
      </c>
      <c r="C27" s="133" t="s">
        <v>78</v>
      </c>
      <c r="D27" s="133"/>
      <c r="E27" s="133"/>
      <c r="F27" s="133"/>
      <c r="G27" s="133"/>
      <c r="H27" s="133"/>
      <c r="I27" s="133"/>
      <c r="J27" s="133"/>
      <c r="K27" s="133"/>
      <c r="L27" s="133"/>
      <c r="M27" s="133"/>
      <c r="N27" s="133"/>
      <c r="O27" s="133"/>
      <c r="Z27" s="124"/>
    </row>
    <row r="28" spans="2:28" x14ac:dyDescent="0.25">
      <c r="B28" s="134">
        <v>6</v>
      </c>
      <c r="C28" s="133" t="s">
        <v>79</v>
      </c>
      <c r="D28" s="133"/>
      <c r="E28" s="133"/>
      <c r="F28" s="133"/>
      <c r="G28" s="133"/>
      <c r="H28" s="133"/>
      <c r="I28" s="133"/>
      <c r="J28" s="133"/>
      <c r="K28" s="133"/>
      <c r="L28" s="133"/>
      <c r="M28" s="133"/>
      <c r="N28" s="133"/>
      <c r="O28" s="133"/>
      <c r="Z28" s="125"/>
    </row>
    <row r="29" spans="2:28" x14ac:dyDescent="0.25">
      <c r="B29" s="134">
        <v>7</v>
      </c>
      <c r="C29" s="133" t="s">
        <v>80</v>
      </c>
      <c r="D29" s="133"/>
      <c r="E29" s="133"/>
      <c r="F29" s="133"/>
      <c r="G29" s="133"/>
      <c r="H29" s="133"/>
      <c r="I29" s="133"/>
      <c r="J29" s="133"/>
      <c r="K29" s="133"/>
      <c r="L29" s="133"/>
      <c r="M29" s="133"/>
      <c r="N29" s="133"/>
      <c r="O29" s="133"/>
      <c r="P29" s="133"/>
      <c r="Q29" s="133"/>
    </row>
    <row r="30" spans="2:28" x14ac:dyDescent="0.25">
      <c r="B30" s="134">
        <v>8</v>
      </c>
      <c r="C30" s="133" t="s">
        <v>50</v>
      </c>
      <c r="D30" s="133"/>
      <c r="E30" s="133"/>
      <c r="F30" s="133"/>
      <c r="G30" s="133"/>
      <c r="H30" s="133"/>
      <c r="I30" s="133"/>
      <c r="J30" s="133"/>
      <c r="K30" s="133"/>
      <c r="L30" s="133"/>
      <c r="M30" s="133"/>
      <c r="N30" s="133"/>
      <c r="O30" s="133"/>
      <c r="P30" s="133"/>
      <c r="Q30" s="133"/>
    </row>
    <row r="31" spans="2:28" x14ac:dyDescent="0.25">
      <c r="B31" s="134">
        <v>9</v>
      </c>
      <c r="C31" s="133" t="s">
        <v>81</v>
      </c>
      <c r="D31" s="133"/>
      <c r="E31" s="133"/>
      <c r="F31" s="133"/>
      <c r="G31" s="133"/>
      <c r="H31" s="133"/>
      <c r="I31" s="133"/>
      <c r="J31" s="133"/>
      <c r="K31" s="133"/>
      <c r="L31" s="133"/>
      <c r="M31" s="133"/>
      <c r="N31" s="133"/>
      <c r="O31" s="133"/>
      <c r="P31" s="133"/>
      <c r="Q31" s="133"/>
    </row>
    <row r="32" spans="2:28" x14ac:dyDescent="0.25">
      <c r="B32" s="134">
        <v>10</v>
      </c>
      <c r="C32" s="53" t="s">
        <v>82</v>
      </c>
    </row>
    <row r="33" spans="2:20" x14ac:dyDescent="0.25">
      <c r="B33" s="134">
        <v>11</v>
      </c>
      <c r="C33" s="53" t="s">
        <v>101</v>
      </c>
    </row>
    <row r="34" spans="2:20" ht="15.6" x14ac:dyDescent="0.3">
      <c r="B34" s="136"/>
      <c r="C34" s="5"/>
      <c r="D34" s="5"/>
      <c r="E34" s="5"/>
      <c r="F34" s="5"/>
    </row>
    <row r="35" spans="2:20" ht="15.6" x14ac:dyDescent="0.3">
      <c r="B35" s="136"/>
      <c r="C35" s="201"/>
      <c r="D35" s="5"/>
      <c r="E35" s="5"/>
      <c r="F35" s="5"/>
    </row>
    <row r="37" spans="2:20" x14ac:dyDescent="0.25">
      <c r="F37" s="119"/>
      <c r="G37" s="137"/>
      <c r="H37" s="137"/>
      <c r="I37" s="137"/>
      <c r="J37" s="137"/>
      <c r="K37" s="137"/>
      <c r="L37" s="137"/>
      <c r="M37" s="137"/>
      <c r="N37" s="137"/>
      <c r="O37" s="137"/>
      <c r="P37" s="137"/>
      <c r="Q37" s="137"/>
      <c r="R37" s="137"/>
      <c r="S37" s="137"/>
      <c r="T37" s="137"/>
    </row>
    <row r="38" spans="2:20" x14ac:dyDescent="0.25">
      <c r="G38" s="137"/>
      <c r="H38" s="137"/>
      <c r="I38" s="137"/>
      <c r="J38" s="137"/>
      <c r="K38" s="137"/>
      <c r="L38" s="137"/>
      <c r="M38" s="137"/>
      <c r="N38" s="137"/>
      <c r="O38" s="137"/>
      <c r="P38" s="137"/>
      <c r="Q38" s="137"/>
      <c r="R38" s="137"/>
      <c r="S38" s="137"/>
      <c r="T38" s="137"/>
    </row>
    <row r="39" spans="2:20" x14ac:dyDescent="0.25">
      <c r="F39" s="119"/>
      <c r="G39" s="119"/>
      <c r="H39" s="119"/>
      <c r="I39" s="119"/>
      <c r="J39" s="119"/>
      <c r="K39" s="119"/>
      <c r="L39" s="119"/>
      <c r="M39" s="119"/>
      <c r="N39" s="119"/>
      <c r="O39" s="119"/>
      <c r="P39" s="119"/>
      <c r="Q39" s="119"/>
      <c r="R39" s="119"/>
      <c r="S39" s="119"/>
      <c r="T39" s="119"/>
    </row>
    <row r="40" spans="2:20" x14ac:dyDescent="0.25">
      <c r="D40" s="129"/>
    </row>
  </sheetData>
  <customSheetViews>
    <customSheetView guid="{78103E26-15C6-4D37-9879-762EF0B43905}" fitToPage="1">
      <pageMargins left="0.75" right="0.5" top="0.76" bottom="0.79" header="0.5" footer="0.26"/>
      <pageSetup scale="34" orientation="landscape" r:id="rId1"/>
      <headerFooter alignWithMargins="0">
        <oddFooter>&amp;L&amp;F&amp;C&amp;A&amp;RPSE Advice No. 2018-48 &amp;D
Page &amp;P of &amp;N</oddFooter>
      </headerFooter>
    </customSheetView>
  </customSheetViews>
  <dataValidations count="3">
    <dataValidation type="list" allowBlank="1" showInputMessage="1" showErrorMessage="1" sqref="G5">
      <formula1>MeasureList</formula1>
    </dataValidation>
    <dataValidation type="list" allowBlank="1" showInputMessage="1" showErrorMessage="1" sqref="E5">
      <formula1>"1,2,3,4,5,6,7,8,9,10,11,12,13,14,15,16,17,18,19,20,21,22,23,24,25,26,27,28,29,30"</formula1>
    </dataValidation>
    <dataValidation type="decimal" operator="greaterThan" allowBlank="1" showInputMessage="1" showErrorMessage="1" sqref="C5:D5">
      <formula1>0</formula1>
    </dataValidation>
  </dataValidations>
  <pageMargins left="0.75" right="0.5" top="0.76" bottom="0.79" header="0.5" footer="0.26"/>
  <pageSetup scale="34" orientation="landscape" r:id="rId2"/>
  <headerFooter alignWithMargins="0">
    <oddFooter>&amp;L&amp;F&amp;C&amp;A&amp;RPSE Advice No. 2018-48 &amp;D
Page &amp;P of &amp;N</oddFooter>
  </headerFooter>
  <customProperties>
    <customPr name="_pios_id" r:id="rId3"/>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D40"/>
  <sheetViews>
    <sheetView workbookViewId="0">
      <selection activeCell="H18" sqref="H18"/>
    </sheetView>
  </sheetViews>
  <sheetFormatPr defaultColWidth="9.109375" defaultRowHeight="15" x14ac:dyDescent="0.25"/>
  <cols>
    <col min="1" max="1" width="2.6640625" style="53" customWidth="1"/>
    <col min="2" max="2" width="5" style="53" customWidth="1"/>
    <col min="3" max="3" width="46.6640625" style="53" customWidth="1"/>
    <col min="4" max="4" width="2.6640625" style="53" customWidth="1"/>
    <col min="5" max="17" width="12.6640625" style="53" customWidth="1"/>
    <col min="18" max="20" width="12.6640625" customWidth="1"/>
    <col min="21" max="22" width="12.6640625" style="53" customWidth="1"/>
    <col min="23" max="23" width="2.6640625" style="53" customWidth="1"/>
    <col min="24" max="25" width="12.6640625" style="53" customWidth="1"/>
    <col min="26" max="29" width="12.33203125" style="53" customWidth="1"/>
    <col min="30" max="16384" width="9.109375" style="53"/>
  </cols>
  <sheetData>
    <row r="2" spans="2:30" ht="19.5" customHeight="1" x14ac:dyDescent="0.3">
      <c r="C2" s="207" t="s">
        <v>83</v>
      </c>
      <c r="D2" s="207"/>
      <c r="E2" s="207"/>
      <c r="F2" s="207"/>
      <c r="G2" s="207"/>
      <c r="H2" s="207"/>
      <c r="I2" s="207"/>
      <c r="J2" s="207"/>
      <c r="K2" s="207"/>
      <c r="L2" s="207"/>
    </row>
    <row r="3" spans="2:30" ht="15.6" x14ac:dyDescent="0.3">
      <c r="C3" s="42" t="s">
        <v>43</v>
      </c>
    </row>
    <row r="4" spans="2:30" s="110" customFormat="1" ht="45" x14ac:dyDescent="0.25">
      <c r="B4" s="109"/>
      <c r="C4" s="144" t="s">
        <v>0</v>
      </c>
      <c r="D4" s="144"/>
      <c r="E4" s="144" t="s">
        <v>1</v>
      </c>
      <c r="F4" s="144" t="s">
        <v>2</v>
      </c>
      <c r="G4" s="144" t="s">
        <v>3</v>
      </c>
      <c r="H4" s="144" t="s">
        <v>4</v>
      </c>
      <c r="I4" s="144" t="s">
        <v>5</v>
      </c>
      <c r="J4" s="144" t="s">
        <v>6</v>
      </c>
      <c r="K4" s="144" t="s">
        <v>7</v>
      </c>
      <c r="L4" s="145" t="s">
        <v>14</v>
      </c>
      <c r="M4" s="145"/>
    </row>
    <row r="5" spans="2:30" x14ac:dyDescent="0.25">
      <c r="C5" s="147"/>
      <c r="D5" s="148"/>
      <c r="E5" s="149">
        <v>10</v>
      </c>
      <c r="F5" s="283">
        <f>+'Capacity Delivered'!$I$5</f>
        <v>0.04</v>
      </c>
      <c r="G5" s="150" t="s">
        <v>8</v>
      </c>
      <c r="H5" s="151">
        <f>'Electric EES CE Std Energy'!D18</f>
        <v>2.255503119083823E-2</v>
      </c>
      <c r="I5" s="152">
        <f>'Solar Avoided Capacity Calcs'!Y16</f>
        <v>3.4269422967325024E-3</v>
      </c>
      <c r="J5" s="152">
        <f>H5+I5</f>
        <v>2.5981973487570732E-2</v>
      </c>
      <c r="K5" s="153">
        <f>J5</f>
        <v>2.5981973487570732E-2</v>
      </c>
      <c r="L5" s="154">
        <f>K5*1000</f>
        <v>25.981973487570734</v>
      </c>
      <c r="M5" s="138"/>
    </row>
    <row r="6" spans="2:30" ht="15.6" x14ac:dyDescent="0.3">
      <c r="C6" s="146"/>
      <c r="D6" s="146"/>
      <c r="E6" s="113"/>
      <c r="F6" s="113"/>
      <c r="G6" s="113"/>
      <c r="H6" s="32">
        <f>H5*1000</f>
        <v>22.555031190838232</v>
      </c>
      <c r="I6" s="32">
        <f t="shared" ref="I6:K6" si="0">I5*1000</f>
        <v>3.4269422967325025</v>
      </c>
      <c r="J6" s="32">
        <f t="shared" si="0"/>
        <v>25.981973487570734</v>
      </c>
      <c r="K6" s="32">
        <f t="shared" si="0"/>
        <v>25.981973487570734</v>
      </c>
      <c r="L6" s="115">
        <f>L5*(1-M6)</f>
        <v>25.202514282943611</v>
      </c>
      <c r="M6" s="232">
        <v>0.03</v>
      </c>
      <c r="N6" s="116" t="s">
        <v>36</v>
      </c>
    </row>
    <row r="7" spans="2:30" x14ac:dyDescent="0.25">
      <c r="C7" s="117"/>
      <c r="D7" s="114"/>
      <c r="H7" s="40"/>
      <c r="I7" s="112"/>
      <c r="J7" s="40"/>
      <c r="K7" s="112"/>
      <c r="L7" s="112"/>
      <c r="M7" s="113"/>
    </row>
    <row r="8" spans="2:30" ht="15.6" x14ac:dyDescent="0.3">
      <c r="C8" s="113"/>
      <c r="D8" s="113"/>
      <c r="E8" s="113"/>
      <c r="F8" s="113"/>
      <c r="G8" s="113"/>
      <c r="H8" s="118"/>
      <c r="I8" s="118"/>
      <c r="J8" s="118"/>
      <c r="K8" s="118"/>
      <c r="L8" s="118"/>
      <c r="M8" s="118"/>
      <c r="N8" s="118"/>
      <c r="O8" s="118"/>
      <c r="P8" s="118"/>
      <c r="Q8" s="118"/>
      <c r="U8" s="119"/>
      <c r="V8" s="119"/>
      <c r="W8" s="118"/>
      <c r="X8" s="198" t="s">
        <v>73</v>
      </c>
      <c r="Y8" s="119"/>
      <c r="Z8" s="119"/>
    </row>
    <row r="9" spans="2:30" x14ac:dyDescent="0.25">
      <c r="C9" s="120" t="s">
        <v>9</v>
      </c>
      <c r="D9" s="120"/>
      <c r="E9" s="120"/>
      <c r="F9" s="121">
        <f>+L6</f>
        <v>25.202514282943611</v>
      </c>
      <c r="G9" s="121">
        <f t="shared" ref="G9:O9" si="1">F9</f>
        <v>25.202514282943611</v>
      </c>
      <c r="H9" s="121">
        <f t="shared" si="1"/>
        <v>25.202514282943611</v>
      </c>
      <c r="I9" s="121">
        <f t="shared" si="1"/>
        <v>25.202514282943611</v>
      </c>
      <c r="J9" s="121">
        <f t="shared" si="1"/>
        <v>25.202514282943611</v>
      </c>
      <c r="K9" s="121">
        <f t="shared" si="1"/>
        <v>25.202514282943611</v>
      </c>
      <c r="L9" s="121">
        <f t="shared" si="1"/>
        <v>25.202514282943611</v>
      </c>
      <c r="M9" s="121">
        <f t="shared" si="1"/>
        <v>25.202514282943611</v>
      </c>
      <c r="N9" s="121">
        <f t="shared" si="1"/>
        <v>25.202514282943611</v>
      </c>
      <c r="O9" s="121">
        <f t="shared" si="1"/>
        <v>25.202514282943611</v>
      </c>
      <c r="V9" s="40"/>
      <c r="X9" s="197">
        <f>NPV(Rate_of_Return,F9:O9)</f>
        <v>173.86435016718519</v>
      </c>
      <c r="Y9" s="197">
        <f>-PMT(Rate_of_Return,$E$5,X9)</f>
        <v>25.202514282943604</v>
      </c>
      <c r="Z9" s="40"/>
    </row>
    <row r="10" spans="2:30" x14ac:dyDescent="0.25">
      <c r="C10" s="113"/>
      <c r="D10" s="113"/>
      <c r="E10" s="113"/>
      <c r="F10" s="122"/>
      <c r="G10" s="122"/>
      <c r="H10" s="122"/>
      <c r="I10" s="122"/>
      <c r="J10" s="122"/>
      <c r="K10" s="122"/>
      <c r="L10" s="122"/>
      <c r="M10" s="122"/>
      <c r="N10" s="122"/>
      <c r="O10" s="122"/>
      <c r="P10" s="118"/>
      <c r="Q10" s="118"/>
      <c r="U10" s="119"/>
      <c r="V10" s="40"/>
      <c r="W10" s="118"/>
      <c r="X10" s="32"/>
      <c r="Y10" s="32"/>
      <c r="Z10" s="40"/>
    </row>
    <row r="11" spans="2:30" x14ac:dyDescent="0.25">
      <c r="C11" s="53" t="s">
        <v>55</v>
      </c>
      <c r="F11" s="202">
        <v>1</v>
      </c>
      <c r="G11" s="202">
        <v>2</v>
      </c>
      <c r="H11" s="202">
        <v>3</v>
      </c>
      <c r="I11" s="202">
        <v>4</v>
      </c>
      <c r="J11" s="202">
        <v>5</v>
      </c>
      <c r="K11" s="202">
        <v>6</v>
      </c>
      <c r="L11" s="202">
        <v>7</v>
      </c>
      <c r="M11" s="202">
        <v>8</v>
      </c>
      <c r="N11" s="202">
        <v>9</v>
      </c>
      <c r="O11" s="202">
        <v>10</v>
      </c>
      <c r="P11" s="202">
        <v>11</v>
      </c>
      <c r="Q11" s="202">
        <v>12</v>
      </c>
      <c r="V11" s="40"/>
      <c r="X11" s="40"/>
      <c r="Y11" s="40"/>
      <c r="Z11" s="40"/>
    </row>
    <row r="12" spans="2:30" ht="15.6" x14ac:dyDescent="0.3">
      <c r="C12" s="113"/>
      <c r="D12" s="111"/>
      <c r="E12" s="113"/>
      <c r="F12" s="123">
        <f>'Energy Prices'!$C$6</f>
        <v>2021</v>
      </c>
      <c r="G12" s="123">
        <f>F12+1</f>
        <v>2022</v>
      </c>
      <c r="H12" s="123">
        <f>G12+1</f>
        <v>2023</v>
      </c>
      <c r="I12" s="123">
        <f t="shared" ref="I12:O12" si="2">H12+1</f>
        <v>2024</v>
      </c>
      <c r="J12" s="123">
        <f t="shared" si="2"/>
        <v>2025</v>
      </c>
      <c r="K12" s="123">
        <f t="shared" si="2"/>
        <v>2026</v>
      </c>
      <c r="L12" s="123">
        <f t="shared" si="2"/>
        <v>2027</v>
      </c>
      <c r="M12" s="123">
        <f t="shared" si="2"/>
        <v>2028</v>
      </c>
      <c r="N12" s="123">
        <f t="shared" si="2"/>
        <v>2029</v>
      </c>
      <c r="O12" s="123">
        <f t="shared" si="2"/>
        <v>2030</v>
      </c>
      <c r="P12" s="123">
        <f>O12+1</f>
        <v>2031</v>
      </c>
      <c r="Q12" s="123">
        <f>P12+1</f>
        <v>2032</v>
      </c>
      <c r="U12" s="119"/>
      <c r="V12" s="200"/>
      <c r="W12" s="118"/>
      <c r="X12" s="198" t="s">
        <v>73</v>
      </c>
      <c r="Y12" s="32"/>
      <c r="Z12" s="119"/>
    </row>
    <row r="13" spans="2:30" ht="52.95" customHeight="1" x14ac:dyDescent="0.25">
      <c r="B13" s="113"/>
      <c r="C13" s="203" t="s">
        <v>77</v>
      </c>
      <c r="D13" s="113"/>
      <c r="F13" s="155">
        <f t="shared" ref="F13:O13" si="3">F$9*F$20</f>
        <v>22.822876648656319</v>
      </c>
      <c r="G13" s="156">
        <f t="shared" si="3"/>
        <v>23.393448564872724</v>
      </c>
      <c r="H13" s="157">
        <f t="shared" si="3"/>
        <v>23.978284778994539</v>
      </c>
      <c r="I13" s="157">
        <f t="shared" si="3"/>
        <v>24.577741898469402</v>
      </c>
      <c r="J13" s="157">
        <f t="shared" si="3"/>
        <v>25.192185445931134</v>
      </c>
      <c r="K13" s="157">
        <f t="shared" si="3"/>
        <v>25.821990082079409</v>
      </c>
      <c r="L13" s="157">
        <f t="shared" si="3"/>
        <v>26.467539834131394</v>
      </c>
      <c r="M13" s="157">
        <f t="shared" si="3"/>
        <v>27.12922832998467</v>
      </c>
      <c r="N13" s="157">
        <f t="shared" si="3"/>
        <v>27.807459038234288</v>
      </c>
      <c r="O13" s="157">
        <f t="shared" si="3"/>
        <v>28.502645514190142</v>
      </c>
      <c r="P13" s="199">
        <f>O13*1.025</f>
        <v>29.215211652044893</v>
      </c>
      <c r="Q13" s="199">
        <f>P13*1.025</f>
        <v>29.945591943346013</v>
      </c>
      <c r="V13" s="125"/>
      <c r="X13" s="197">
        <f>NPV(Rate_of_Return,F13:O13)</f>
        <v>173.86435016718525</v>
      </c>
      <c r="Y13" s="197">
        <f>-PMT(Rate_of_Return,$E$5,X13)</f>
        <v>25.202514282943611</v>
      </c>
      <c r="Z13" s="125"/>
      <c r="AD13" s="126"/>
    </row>
    <row r="14" spans="2:30" x14ac:dyDescent="0.25">
      <c r="C14" s="124"/>
      <c r="E14" s="127"/>
      <c r="F14" s="125"/>
      <c r="G14" s="125"/>
      <c r="H14" s="125"/>
      <c r="I14" s="125"/>
      <c r="J14" s="125"/>
      <c r="K14" s="125"/>
      <c r="L14" s="125"/>
      <c r="M14" s="125"/>
      <c r="N14" s="125"/>
      <c r="O14" s="125"/>
      <c r="P14" s="118"/>
      <c r="Q14" s="118"/>
      <c r="U14" s="119"/>
      <c r="V14" s="125"/>
      <c r="W14" s="118"/>
      <c r="X14" s="119"/>
      <c r="Y14" s="119"/>
      <c r="Z14" s="119"/>
    </row>
    <row r="15" spans="2:30" x14ac:dyDescent="0.25">
      <c r="C15" s="128"/>
      <c r="E15" s="127"/>
      <c r="F15" s="125"/>
      <c r="G15" s="125"/>
      <c r="H15" s="125"/>
      <c r="I15" s="125"/>
      <c r="J15" s="125"/>
      <c r="K15" s="125"/>
      <c r="L15" s="125"/>
      <c r="M15" s="125"/>
      <c r="N15" s="125"/>
      <c r="O15" s="125"/>
      <c r="V15" s="125"/>
      <c r="X15" s="119"/>
      <c r="Y15" s="119"/>
      <c r="Z15" s="119"/>
    </row>
    <row r="16" spans="2:30" x14ac:dyDescent="0.25">
      <c r="C16" s="53" t="s">
        <v>10</v>
      </c>
      <c r="P16" s="118"/>
      <c r="Q16" s="118"/>
      <c r="U16" s="119"/>
      <c r="W16" s="118"/>
    </row>
    <row r="18" spans="2:26" ht="15.6" x14ac:dyDescent="0.3">
      <c r="C18" s="113"/>
      <c r="D18" s="113"/>
      <c r="E18" s="113"/>
      <c r="F18" s="113"/>
      <c r="G18" s="113"/>
      <c r="H18" s="113"/>
      <c r="I18" s="113"/>
      <c r="J18" s="113"/>
      <c r="K18" s="113"/>
      <c r="L18" s="113"/>
      <c r="M18" s="113"/>
      <c r="N18" s="113"/>
      <c r="O18" s="113"/>
      <c r="P18" s="118"/>
      <c r="Q18" s="118"/>
      <c r="U18" s="119"/>
      <c r="W18" s="118"/>
      <c r="X18" s="198" t="s">
        <v>73</v>
      </c>
      <c r="Y18" s="113"/>
    </row>
    <row r="19" spans="2:26" x14ac:dyDescent="0.25">
      <c r="C19" s="120" t="s">
        <v>11</v>
      </c>
      <c r="D19" s="120"/>
      <c r="E19" s="120"/>
      <c r="F19" s="139">
        <v>100</v>
      </c>
      <c r="G19" s="139">
        <f t="shared" ref="G19:O19" si="4">F19*1.025</f>
        <v>102.49999999999999</v>
      </c>
      <c r="H19" s="139">
        <f t="shared" si="4"/>
        <v>105.06249999999997</v>
      </c>
      <c r="I19" s="139">
        <f t="shared" si="4"/>
        <v>107.68906249999996</v>
      </c>
      <c r="J19" s="139">
        <f t="shared" si="4"/>
        <v>110.38128906249996</v>
      </c>
      <c r="K19" s="139">
        <f t="shared" si="4"/>
        <v>113.14082128906244</v>
      </c>
      <c r="L19" s="139">
        <f t="shared" si="4"/>
        <v>115.96934182128899</v>
      </c>
      <c r="M19" s="139">
        <f t="shared" si="4"/>
        <v>118.8685753668212</v>
      </c>
      <c r="N19" s="139">
        <f t="shared" si="4"/>
        <v>121.84028975099173</v>
      </c>
      <c r="O19" s="139">
        <f t="shared" si="4"/>
        <v>124.88629699476651</v>
      </c>
      <c r="V19" s="129"/>
      <c r="X19" s="197">
        <f>NPV(Rate_of_Return,F19:O19)</f>
        <v>761.7985797483658</v>
      </c>
      <c r="Y19" s="197">
        <f>-PMT(Rate_of_Return,$E$5,X19)</f>
        <v>110.42654557057071</v>
      </c>
      <c r="Z19" s="119"/>
    </row>
    <row r="20" spans="2:26" x14ac:dyDescent="0.25">
      <c r="C20" s="142" t="s">
        <v>12</v>
      </c>
      <c r="D20" s="142"/>
      <c r="E20" s="142"/>
      <c r="F20" s="143">
        <f t="shared" ref="F20:O20" si="5">F19/$Y$19</f>
        <v>0.90557935579079241</v>
      </c>
      <c r="G20" s="143">
        <f t="shared" si="5"/>
        <v>0.92821883968556207</v>
      </c>
      <c r="H20" s="143">
        <f t="shared" si="5"/>
        <v>0.95142431067770095</v>
      </c>
      <c r="I20" s="143">
        <f t="shared" si="5"/>
        <v>0.97520991844464344</v>
      </c>
      <c r="J20" s="143">
        <f t="shared" si="5"/>
        <v>0.99959016640575948</v>
      </c>
      <c r="K20" s="143">
        <f t="shared" si="5"/>
        <v>1.0245799205659034</v>
      </c>
      <c r="L20" s="143">
        <f t="shared" si="5"/>
        <v>1.0501944185800509</v>
      </c>
      <c r="M20" s="143">
        <f t="shared" si="5"/>
        <v>1.0764492790445519</v>
      </c>
      <c r="N20" s="143">
        <f t="shared" si="5"/>
        <v>1.1033605110206657</v>
      </c>
      <c r="O20" s="143">
        <f t="shared" si="5"/>
        <v>1.1309445237961822</v>
      </c>
      <c r="P20" s="118"/>
      <c r="Q20" s="118"/>
      <c r="U20" s="119"/>
      <c r="V20" s="130"/>
      <c r="W20" s="118"/>
      <c r="X20" s="197">
        <f>NPV(Rate_of_Return,F20:O20)</f>
        <v>6.8986906709086568</v>
      </c>
      <c r="Y20" s="197">
        <f>-PMT(Rate_of_Return,$E$5,X20)</f>
        <v>1.0000000000000002</v>
      </c>
      <c r="Z20" s="119"/>
    </row>
    <row r="21" spans="2:26" x14ac:dyDescent="0.25">
      <c r="C21" s="113"/>
      <c r="D21" s="113"/>
      <c r="E21" s="140"/>
      <c r="F21" s="140"/>
      <c r="G21" s="140"/>
      <c r="H21" s="140"/>
      <c r="I21" s="140"/>
      <c r="J21" s="140"/>
      <c r="K21" s="140"/>
      <c r="L21" s="140"/>
      <c r="M21" s="141"/>
      <c r="N21" s="141"/>
      <c r="O21" s="141"/>
      <c r="P21" s="141"/>
      <c r="Q21" s="141"/>
      <c r="W21" s="141"/>
      <c r="X21" s="141"/>
      <c r="Y21" s="141"/>
    </row>
    <row r="22" spans="2:26" x14ac:dyDescent="0.25">
      <c r="B22" s="131" t="s">
        <v>13</v>
      </c>
      <c r="C22" s="132"/>
      <c r="D22" s="133"/>
      <c r="E22" s="133"/>
      <c r="F22" s="133"/>
      <c r="G22" s="133"/>
      <c r="H22" s="133"/>
      <c r="I22" s="133"/>
      <c r="J22" s="133"/>
      <c r="K22" s="133"/>
      <c r="L22" s="133"/>
      <c r="M22" s="133"/>
      <c r="N22" s="133"/>
      <c r="O22" s="133"/>
    </row>
    <row r="23" spans="2:26" x14ac:dyDescent="0.25">
      <c r="B23" s="134">
        <v>1</v>
      </c>
      <c r="C23" s="280" t="s">
        <v>113</v>
      </c>
      <c r="D23" s="133"/>
      <c r="E23" s="133"/>
      <c r="F23" s="133"/>
      <c r="G23" s="133"/>
      <c r="H23" s="133"/>
      <c r="I23" s="133"/>
      <c r="J23" s="133"/>
      <c r="K23" s="133"/>
      <c r="L23" s="133"/>
      <c r="M23" s="133"/>
      <c r="N23" s="133"/>
      <c r="O23" s="133"/>
    </row>
    <row r="24" spans="2:26" x14ac:dyDescent="0.25">
      <c r="B24" s="134">
        <v>2</v>
      </c>
      <c r="C24" s="133" t="s">
        <v>103</v>
      </c>
      <c r="D24" s="133"/>
      <c r="E24" s="133"/>
      <c r="F24" s="133"/>
      <c r="G24" s="133"/>
      <c r="H24" s="133"/>
      <c r="I24" s="133"/>
      <c r="J24" s="133"/>
      <c r="K24" s="133"/>
      <c r="L24" s="133"/>
      <c r="M24" s="133"/>
      <c r="N24" s="133"/>
      <c r="O24" s="133"/>
    </row>
    <row r="25" spans="2:26" x14ac:dyDescent="0.25">
      <c r="B25" s="134">
        <v>3</v>
      </c>
      <c r="C25" s="133" t="s">
        <v>44</v>
      </c>
      <c r="D25" s="133"/>
      <c r="E25" s="133"/>
      <c r="F25" s="133"/>
      <c r="G25" s="133"/>
      <c r="H25" s="133"/>
      <c r="I25" s="133"/>
      <c r="J25" s="133"/>
      <c r="K25" s="133"/>
      <c r="L25" s="133"/>
      <c r="M25" s="133"/>
      <c r="N25" s="133"/>
      <c r="O25" s="133"/>
    </row>
    <row r="26" spans="2:26" x14ac:dyDescent="0.25">
      <c r="B26" s="134">
        <v>4</v>
      </c>
      <c r="C26" s="133" t="s">
        <v>118</v>
      </c>
      <c r="D26" s="133"/>
      <c r="E26" s="133"/>
      <c r="F26" s="133"/>
      <c r="G26" s="133"/>
      <c r="H26" s="133"/>
      <c r="I26" s="133"/>
      <c r="J26" s="133"/>
      <c r="K26" s="133"/>
      <c r="L26" s="133"/>
      <c r="M26" s="133"/>
      <c r="N26" s="133"/>
      <c r="O26" s="133"/>
    </row>
    <row r="27" spans="2:26" x14ac:dyDescent="0.25">
      <c r="B27" s="134">
        <v>5</v>
      </c>
      <c r="C27" s="133" t="s">
        <v>78</v>
      </c>
      <c r="D27" s="133"/>
      <c r="E27" s="133"/>
      <c r="F27" s="133"/>
      <c r="G27" s="133"/>
      <c r="H27" s="133"/>
      <c r="I27" s="133"/>
      <c r="J27" s="133"/>
      <c r="K27" s="133"/>
      <c r="L27" s="133"/>
      <c r="M27" s="133"/>
      <c r="N27" s="133"/>
      <c r="O27" s="133"/>
    </row>
    <row r="28" spans="2:26" x14ac:dyDescent="0.25">
      <c r="B28" s="134">
        <v>6</v>
      </c>
      <c r="C28" s="133" t="s">
        <v>79</v>
      </c>
      <c r="D28" s="133"/>
      <c r="E28" s="133"/>
      <c r="F28" s="133"/>
      <c r="G28" s="133"/>
      <c r="H28" s="133"/>
      <c r="I28" s="133"/>
      <c r="J28" s="133"/>
      <c r="K28" s="133"/>
      <c r="L28" s="133"/>
      <c r="M28" s="133"/>
      <c r="N28" s="133"/>
      <c r="O28" s="133"/>
    </row>
    <row r="29" spans="2:26" x14ac:dyDescent="0.25">
      <c r="B29" s="134">
        <v>7</v>
      </c>
      <c r="C29" s="133" t="s">
        <v>80</v>
      </c>
      <c r="D29" s="133"/>
      <c r="E29" s="133"/>
      <c r="F29" s="133"/>
      <c r="G29" s="133"/>
      <c r="H29" s="133"/>
      <c r="I29" s="133"/>
      <c r="J29" s="133"/>
      <c r="K29" s="133"/>
      <c r="L29" s="133"/>
      <c r="M29" s="133"/>
      <c r="N29" s="133"/>
      <c r="O29" s="133"/>
      <c r="P29" s="133"/>
      <c r="Q29" s="133"/>
    </row>
    <row r="30" spans="2:26" x14ac:dyDescent="0.25">
      <c r="B30" s="134">
        <v>8</v>
      </c>
      <c r="C30" s="133" t="s">
        <v>50</v>
      </c>
      <c r="D30" s="133"/>
      <c r="E30" s="133"/>
      <c r="F30" s="133"/>
      <c r="G30" s="133"/>
      <c r="H30" s="133"/>
      <c r="I30" s="133"/>
      <c r="J30" s="133"/>
      <c r="K30" s="133"/>
      <c r="L30" s="133"/>
      <c r="M30" s="133"/>
      <c r="N30" s="133"/>
      <c r="O30" s="133"/>
      <c r="P30" s="133"/>
      <c r="Q30" s="133"/>
    </row>
    <row r="31" spans="2:26" x14ac:dyDescent="0.25">
      <c r="B31" s="134">
        <v>9</v>
      </c>
      <c r="C31" s="133" t="s">
        <v>81</v>
      </c>
      <c r="D31" s="133"/>
      <c r="E31" s="133"/>
      <c r="F31" s="133"/>
      <c r="G31" s="133"/>
      <c r="H31" s="133"/>
      <c r="I31" s="133"/>
      <c r="J31" s="133"/>
      <c r="K31" s="133"/>
      <c r="L31" s="133"/>
      <c r="M31" s="133"/>
      <c r="N31" s="133"/>
      <c r="O31" s="133"/>
      <c r="P31" s="133"/>
      <c r="Q31" s="133"/>
    </row>
    <row r="32" spans="2:26" x14ac:dyDescent="0.25">
      <c r="B32" s="134">
        <v>10</v>
      </c>
      <c r="C32" s="53" t="s">
        <v>82</v>
      </c>
    </row>
    <row r="33" spans="2:25" x14ac:dyDescent="0.25">
      <c r="B33" s="134">
        <v>11</v>
      </c>
      <c r="C33" s="53" t="s">
        <v>101</v>
      </c>
    </row>
    <row r="34" spans="2:25" ht="15.6" x14ac:dyDescent="0.3">
      <c r="B34" s="136"/>
      <c r="C34" s="5"/>
      <c r="D34" s="5"/>
      <c r="E34" s="5"/>
      <c r="F34" s="5"/>
    </row>
    <row r="35" spans="2:25" ht="15.6" x14ac:dyDescent="0.3">
      <c r="B35" s="136"/>
      <c r="C35" s="5"/>
      <c r="D35" s="5"/>
      <c r="E35" s="5"/>
      <c r="F35" s="5"/>
    </row>
    <row r="37" spans="2:25" x14ac:dyDescent="0.25">
      <c r="F37" s="119"/>
      <c r="G37" s="137"/>
      <c r="H37" s="137"/>
      <c r="I37" s="137"/>
      <c r="J37" s="137"/>
      <c r="K37" s="137"/>
      <c r="L37" s="137"/>
      <c r="M37" s="137"/>
      <c r="N37" s="137"/>
      <c r="O37" s="137"/>
      <c r="P37" s="137"/>
      <c r="Q37" s="137"/>
      <c r="W37" s="137"/>
      <c r="X37" s="137"/>
      <c r="Y37" s="137"/>
    </row>
    <row r="38" spans="2:25" x14ac:dyDescent="0.25">
      <c r="G38" s="137"/>
      <c r="H38" s="137"/>
      <c r="I38" s="137"/>
      <c r="J38" s="137"/>
      <c r="K38" s="137"/>
      <c r="L38" s="137"/>
      <c r="M38" s="137"/>
      <c r="N38" s="137"/>
      <c r="O38" s="137"/>
      <c r="P38" s="137"/>
      <c r="Q38" s="137"/>
      <c r="W38" s="137"/>
      <c r="X38" s="137"/>
      <c r="Y38" s="137"/>
    </row>
    <row r="39" spans="2:25" x14ac:dyDescent="0.25">
      <c r="F39" s="119"/>
      <c r="G39" s="119"/>
      <c r="H39" s="119"/>
      <c r="I39" s="119"/>
      <c r="J39" s="119"/>
      <c r="K39" s="119"/>
      <c r="L39" s="119"/>
      <c r="M39" s="119"/>
      <c r="N39" s="119"/>
      <c r="O39" s="119"/>
      <c r="P39" s="119"/>
      <c r="Q39" s="119"/>
      <c r="W39" s="119"/>
      <c r="X39" s="119"/>
      <c r="Y39" s="119"/>
    </row>
    <row r="40" spans="2:25" x14ac:dyDescent="0.25">
      <c r="D40" s="129"/>
    </row>
  </sheetData>
  <customSheetViews>
    <customSheetView guid="{78103E26-15C6-4D37-9879-762EF0B43905}" fitToPage="1">
      <selection activeCell="H18" sqref="H18"/>
      <pageMargins left="0.75" right="0.5" top="0.76" bottom="0.79" header="0.5" footer="0.26"/>
      <pageSetup scale="35" orientation="landscape" r:id="rId1"/>
      <headerFooter alignWithMargins="0">
        <oddFooter>&amp;L&amp;F&amp;C&amp;A&amp;RPSE Advice No. 2018-48 &amp;D
Page &amp;P of &amp;N</oddFooter>
      </headerFooter>
    </customSheetView>
  </customSheetViews>
  <dataValidations count="3">
    <dataValidation type="decimal" operator="greaterThan" allowBlank="1" showInputMessage="1" showErrorMessage="1" sqref="C5:D5">
      <formula1>0</formula1>
    </dataValidation>
    <dataValidation type="list" allowBlank="1" showInputMessage="1" showErrorMessage="1" sqref="G5">
      <formula1>MeasureList</formula1>
    </dataValidation>
    <dataValidation type="list" allowBlank="1" showInputMessage="1" showErrorMessage="1" sqref="E5">
      <formula1>"1,2,3,4,5,6,7,8,9,10,11,12,13,14,15,16,17,18,19,20,21,22,23,24,25,26,27,28,29,30"</formula1>
    </dataValidation>
  </dataValidations>
  <pageMargins left="0.75" right="0.5" top="0.76" bottom="0.79" header="0.5" footer="0.26"/>
  <pageSetup scale="35" orientation="landscape" r:id="rId2"/>
  <headerFooter alignWithMargins="0">
    <oddFooter>&amp;L&amp;F&amp;C&amp;A&amp;RPSE Advice No. 2018-48 &amp;D
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F1887CBA80B28418C2C900AC0811FE3" ma:contentTypeVersion="44" ma:contentTypeDescription="" ma:contentTypeScope="" ma:versionID="cc3cb45351c3e48bcc603165e44bdc0f">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2021-10-29T07:00:00+00:00</OpenedDate>
    <SignificantOrder xmlns="dc463f71-b30c-4ab2-9473-d307f9d35888">false</SignificantOrder>
    <Date1 xmlns="dc463f71-b30c-4ab2-9473-d307f9d35888">2021-12-10T08:00:00+00:00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210816</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760F7962-F981-4999-AA29-25F1F97630CD}"/>
</file>

<file path=customXml/itemProps2.xml><?xml version="1.0" encoding="utf-8"?>
<ds:datastoreItem xmlns:ds="http://schemas.openxmlformats.org/officeDocument/2006/customXml" ds:itemID="{7AE01BA9-141D-41B1-9010-9F5A6F197A79}">
  <ds:schemaRefs>
    <ds:schemaRef ds:uri="http://schemas.microsoft.com/sharepoint/v3/contenttype/forms"/>
  </ds:schemaRefs>
</ds:datastoreItem>
</file>

<file path=customXml/itemProps3.xml><?xml version="1.0" encoding="utf-8"?>
<ds:datastoreItem xmlns:ds="http://schemas.openxmlformats.org/officeDocument/2006/customXml" ds:itemID="{03E0F919-B37F-4217-AEE8-BC978C1FFF41}">
  <ds:schemaRefs>
    <ds:schemaRef ds:uri="http://purl.org/dc/elements/1.1/"/>
    <ds:schemaRef ds:uri="http://purl.org/dc/dcmitype/"/>
    <ds:schemaRef ds:uri="http://schemas.microsoft.com/office/infopath/2007/PartnerControls"/>
    <ds:schemaRef ds:uri="http://purl.org/dc/terms/"/>
    <ds:schemaRef ds:uri="http://schemas.microsoft.com/office/2006/metadata/properties"/>
    <ds:schemaRef ds:uri="dc463f71-b30c-4ab2-9473-d307f9d35888"/>
    <ds:schemaRef ds:uri="http://schemas.microsoft.com/office/2006/documentManagement/types"/>
    <ds:schemaRef ds:uri="http://schemas.microsoft.com/sharepoint/v3"/>
    <ds:schemaRef ds:uri="http://schemas.openxmlformats.org/package/2006/metadata/core-properties"/>
    <ds:schemaRef ds:uri="http://www.w3.org/XML/1998/namespace"/>
  </ds:schemaRefs>
</ds:datastoreItem>
</file>

<file path=customXml/itemProps4.xml><?xml version="1.0" encoding="utf-8"?>
<ds:datastoreItem xmlns:ds="http://schemas.openxmlformats.org/officeDocument/2006/customXml" ds:itemID="{001937CA-1EE6-4C6F-ADDB-1885FAD2BEC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15</vt:i4>
      </vt:variant>
    </vt:vector>
  </HeadingPairs>
  <TitlesOfParts>
    <vt:vector size="34" baseType="lpstr">
      <vt:lpstr>READ ME</vt:lpstr>
      <vt:lpstr>Summary of Changes to Inputs</vt:lpstr>
      <vt:lpstr>Output - Summary</vt:lpstr>
      <vt:lpstr>Output - 5yr Baseload</vt:lpstr>
      <vt:lpstr>Output - 10yr Baseload</vt:lpstr>
      <vt:lpstr>Output - 15yr Baseload</vt:lpstr>
      <vt:lpstr>Output - 10yr Wind</vt:lpstr>
      <vt:lpstr>Output - 15yr Wind</vt:lpstr>
      <vt:lpstr>Output - 10yr Solar</vt:lpstr>
      <vt:lpstr>Output - 15yr Solar</vt:lpstr>
      <vt:lpstr>Electric EES CE Std Energy</vt:lpstr>
      <vt:lpstr>FlatLoadShapeEnergy_perMWh</vt:lpstr>
      <vt:lpstr>Baseload Avoided Capacity Calcs</vt:lpstr>
      <vt:lpstr>Wind Avoided Capacity Calcs</vt:lpstr>
      <vt:lpstr>Solar Avoided Capacity Calcs</vt:lpstr>
      <vt:lpstr>Inputs-----&gt;</vt:lpstr>
      <vt:lpstr>Energy Prices</vt:lpstr>
      <vt:lpstr>Capacity Delivered</vt:lpstr>
      <vt:lpstr>Cost of Capital</vt:lpstr>
      <vt:lpstr>'Baseload Avoided Capacity Calcs'!Print_Area</vt:lpstr>
      <vt:lpstr>'Capacity Delivered'!Print_Area</vt:lpstr>
      <vt:lpstr>'Electric EES CE Std Energy'!Print_Area</vt:lpstr>
      <vt:lpstr>FlatLoadShapeEnergy_perMWh!Print_Area</vt:lpstr>
      <vt:lpstr>'Output - 10yr Baseload'!Print_Area</vt:lpstr>
      <vt:lpstr>'Output - 10yr Solar'!Print_Area</vt:lpstr>
      <vt:lpstr>'Output - 10yr Wind'!Print_Area</vt:lpstr>
      <vt:lpstr>'Output - 15yr Baseload'!Print_Area</vt:lpstr>
      <vt:lpstr>'Output - 15yr Solar'!Print_Area</vt:lpstr>
      <vt:lpstr>'Output - 15yr Wind'!Print_Area</vt:lpstr>
      <vt:lpstr>'Output - 5yr Baseload'!Print_Area</vt:lpstr>
      <vt:lpstr>'Output - Summary'!Print_Area</vt:lpstr>
      <vt:lpstr>'Solar Avoided Capacity Calcs'!Print_Area</vt:lpstr>
      <vt:lpstr>'Wind Avoided Capacity Calcs'!Print_Area</vt:lpstr>
      <vt:lpstr>Rate_of_Return</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Elsea</dc:creator>
  <cp:lastModifiedBy>Cass, Mei</cp:lastModifiedBy>
  <cp:lastPrinted>2019-09-23T18:45:11Z</cp:lastPrinted>
  <dcterms:created xsi:type="dcterms:W3CDTF">2011-10-18T17:21:29Z</dcterms:created>
  <dcterms:modified xsi:type="dcterms:W3CDTF">2021-11-23T20:02:42Z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0x0101006E56B4D1795A2E4DB2F0B01679ED314A00EF1887CBA80B28418C2C900AC0811FE3</vt:lpwstr>
  </property>
  <property fmtid="{D5CDD505-2E9C-101B-9397-08002B2CF9AE}" pid="3" name="_docset_NoMedatataSyncRequired">
    <vt:lpwstr>False</vt:lpwstr>
  </property>
  <property fmtid="{D5CDD505-2E9C-101B-9397-08002B2CF9AE}" pid="4" name="IsEFSEC">
    <vt:bool>false</vt:bool>
  </property>
</Properties>
</file>